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omments8.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omments9.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xml"/>
  <Override PartName="/xl/comments10.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7.xml" ContentType="application/vnd.openxmlformats-officedocument.drawing+xml"/>
  <Override PartName="/xl/comments11.xml" ContentType="application/vnd.openxmlformats-officedocument.spreadsheetml.comment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8.xml" ContentType="application/vnd.openxmlformats-officedocument.drawing+xml"/>
  <Override PartName="/xl/comments12.xml" ContentType="application/vnd.openxmlformats-officedocument.spreadsheetml.comment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9.xml" ContentType="application/vnd.openxmlformats-officedocument.drawing+xml"/>
  <Override PartName="/xl/comments13.xml" ContentType="application/vnd.openxmlformats-officedocument.spreadsheetml.comments+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0.xml" ContentType="application/vnd.openxmlformats-officedocument.drawing+xml"/>
  <Override PartName="/xl/comments14.xml" ContentType="application/vnd.openxmlformats-officedocument.spreadsheetml.comments+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1.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drawings/drawing12.xml" ContentType="application/vnd.openxmlformats-officedocument.drawing+xml"/>
  <Override PartName="/xl/comments15.xml" ContentType="application/vnd.openxmlformats-officedocument.spreadsheetml.comments+xml"/>
  <Override PartName="/xl/charts/chart116.xml" ContentType="application/vnd.openxmlformats-officedocument.drawingml.chart+xml"/>
  <Override PartName="/xl/charts/chart117.xml" ContentType="application/vnd.openxmlformats-officedocument.drawingml.chart+xml"/>
  <Override PartName="/xl/charts/style1.xml" ContentType="application/vnd.ms-office.chartstyle+xml"/>
  <Override PartName="/xl/charts/colors1.xml" ContentType="application/vnd.ms-office.chartcolorstyle+xml"/>
  <Override PartName="/xl/charts/chart1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defaultThemeVersion="124226"/>
  <mc:AlternateContent xmlns:mc="http://schemas.openxmlformats.org/markup-compatibility/2006">
    <mc:Choice Requires="x15">
      <x15ac:absPath xmlns:x15ac="http://schemas.microsoft.com/office/spreadsheetml/2010/11/ac" url="C:\Users\Joe\Documents\A) BE projects\A - Completed projects\P726 Basel, HWiA 15, NWR 14\Outputs\NWR outputs\NWDS tool\"/>
    </mc:Choice>
  </mc:AlternateContent>
  <bookViews>
    <workbookView xWindow="0" yWindow="900" windowWidth="18810" windowHeight="4200" tabRatio="872"/>
  </bookViews>
  <sheets>
    <sheet name="Intro" sheetId="6" r:id="rId1"/>
    <sheet name="ACT" sheetId="13" r:id="rId2"/>
    <sheet name="NSW" sheetId="11" r:id="rId3"/>
    <sheet name="NT" sheetId="12" r:id="rId4"/>
    <sheet name="Qld" sheetId="10" r:id="rId5"/>
    <sheet name="SA" sheetId="9" r:id="rId6"/>
    <sheet name="Tas" sheetId="8" r:id="rId7"/>
    <sheet name="Vic" sheetId="3" r:id="rId8"/>
    <sheet name="WA" sheetId="7" r:id="rId9"/>
    <sheet name="Basel data" sheetId="5" r:id="rId10"/>
    <sheet name="Other national data" sheetId="22" r:id="rId11"/>
    <sheet name="ACT." sheetId="31" r:id="rId12"/>
    <sheet name="NSW." sheetId="32" r:id="rId13"/>
    <sheet name="NT." sheetId="30" r:id="rId14"/>
    <sheet name="Qld." sheetId="28" r:id="rId15"/>
    <sheet name="SA." sheetId="27" r:id="rId16"/>
    <sheet name="Tas." sheetId="14" r:id="rId17"/>
    <sheet name="Vic." sheetId="4" r:id="rId18"/>
    <sheet name="WA." sheetId="20" r:id="rId19"/>
    <sheet name="Trends and nat. data" sheetId="36" r:id="rId20"/>
    <sheet name="Int. comparisons" sheetId="37" r:id="rId21"/>
    <sheet name="Validn data - hide" sheetId="33" state="hidden" r:id="rId22"/>
    <sheet name="Inert fraction composn - hide" sheetId="26" state="hidden" r:id="rId23"/>
  </sheets>
  <definedNames>
    <definedName name="_xlnm._FilterDatabase" localSheetId="1" hidden="1">ACT!$C$40:$C$78</definedName>
    <definedName name="Comments_ACT">ACT!$B$275</definedName>
    <definedName name="Comments_NSW">NSW!$B$141</definedName>
    <definedName name="Comments_NT">NT!$B$128</definedName>
    <definedName name="Comments_Qld">Qld!$B$124</definedName>
    <definedName name="Comments_SA">SA!$B$229</definedName>
    <definedName name="Comments_Tas">Tas!$B$132</definedName>
    <definedName name="Comments_Vic">Vic!$B$208</definedName>
    <definedName name="Comments_WA">WA!$B$154</definedName>
    <definedName name="Data_validn_explan">Intro!$B$40</definedName>
    <definedName name="Hazinput_ACT">'Basel data'!$C$8:$F$79</definedName>
    <definedName name="Hazinput_NSW">'Basel data'!$C$83:$F$154</definedName>
    <definedName name="Hazinput_NT">'Basel data'!$C$158:$F$229</definedName>
    <definedName name="Hazinput_Qld">'Basel data'!$C$233:$F$304</definedName>
    <definedName name="Hazinput_SA">'Basel data'!$C$308:$F$379</definedName>
    <definedName name="Hazinput_Tas">'Basel data'!$C$383:$F$454</definedName>
    <definedName name="Hazinput_Vic">'Basel data'!$C$458:$F$529</definedName>
    <definedName name="Hazinput_WA">'Basel data'!$C$533:$F$604</definedName>
    <definedName name="Hazstate">'Other national data'!$H$447:$H$463</definedName>
    <definedName name="Nat_data_bioen_lfill">'Other national data'!$B$153</definedName>
    <definedName name="Nat_data_bioen_other">'Other national data'!$B$355</definedName>
    <definedName name="Nat_data_biosolids">'Other national data'!$B$373</definedName>
    <definedName name="Nat_data_CandI_rec">'Other national data'!$B$44</definedName>
    <definedName name="Nat_data_flyash">'Other national data'!$B$119</definedName>
    <definedName name="Nat_data_hazwaste">'Other national data'!$B$418</definedName>
    <definedName name="Nat_data_lfill">'Other national data'!$B$9</definedName>
    <definedName name="Nat_data_plastic">'Other national data'!$B$96</definedName>
    <definedName name="Nat_data_popn">'Other national data'!$B$465</definedName>
    <definedName name="Nat_data_recycl_strm">'Other national data'!$B$84</definedName>
    <definedName name="Not_validated">Intro!$B$37</definedName>
    <definedName name="Pop_ACT">'Other national data'!$G$468</definedName>
    <definedName name="Pop_Aus">'Other national data'!$O$468</definedName>
    <definedName name="Pop_NSW">'Other national data'!$H$468</definedName>
    <definedName name="Pop_NT">'Other national data'!$I$468</definedName>
    <definedName name="Pop_Qld">'Other national data'!$J$468</definedName>
    <definedName name="Pop_SA">'Other national data'!$K$468</definedName>
    <definedName name="Pop_Tas">'Other national data'!$L$468</definedName>
    <definedName name="Pop_Vic">'Other national data'!$M$468</definedName>
    <definedName name="Pop_WA">'Other national data'!$N$468</definedName>
    <definedName name="ToC_Model_overview">Intro!$B$3</definedName>
    <definedName name="Validated">Intro!$B$36</definedName>
  </definedNames>
  <calcPr calcId="162913"/>
</workbook>
</file>

<file path=xl/calcChain.xml><?xml version="1.0" encoding="utf-8"?>
<calcChain xmlns="http://schemas.openxmlformats.org/spreadsheetml/2006/main">
  <c r="S59" i="14" l="1"/>
  <c r="S58" i="14"/>
  <c r="R59" i="14"/>
  <c r="R58" i="14"/>
  <c r="T58" i="14"/>
  <c r="K58" i="14"/>
  <c r="J58" i="14"/>
  <c r="G58" i="14"/>
  <c r="F58" i="14"/>
  <c r="E58" i="14"/>
  <c r="R61" i="14"/>
  <c r="R63" i="14"/>
  <c r="E72" i="14"/>
  <c r="F72" i="14"/>
  <c r="E61" i="14"/>
  <c r="E63" i="14"/>
  <c r="E64" i="14"/>
  <c r="F70" i="14"/>
  <c r="J61" i="14"/>
  <c r="J63" i="14"/>
  <c r="J64" i="14"/>
  <c r="F71" i="14"/>
  <c r="F74" i="14"/>
  <c r="I181" i="11"/>
  <c r="I184" i="11"/>
  <c r="I185" i="11"/>
  <c r="I188" i="11"/>
  <c r="I189" i="11"/>
  <c r="I190" i="11"/>
  <c r="I196" i="11"/>
  <c r="J40" i="32"/>
  <c r="S61" i="14"/>
  <c r="S63" i="14"/>
  <c r="G72" i="14"/>
  <c r="F61" i="14"/>
  <c r="F63" i="14"/>
  <c r="G70" i="14"/>
  <c r="K61" i="14"/>
  <c r="K63" i="14"/>
  <c r="G71" i="14"/>
  <c r="G74" i="14"/>
  <c r="J181" i="11"/>
  <c r="J184" i="11"/>
  <c r="J185" i="11"/>
  <c r="J188" i="11"/>
  <c r="J189" i="11"/>
  <c r="J190" i="11"/>
  <c r="J196" i="11"/>
  <c r="K40" i="32"/>
  <c r="L40" i="32"/>
  <c r="I195" i="11"/>
  <c r="J37" i="32"/>
  <c r="J195" i="11"/>
  <c r="K37" i="32"/>
  <c r="L37" i="32"/>
  <c r="I194" i="11"/>
  <c r="J26" i="32"/>
  <c r="J194" i="11"/>
  <c r="K26" i="32"/>
  <c r="L26" i="32"/>
  <c r="I193" i="11"/>
  <c r="J21" i="32"/>
  <c r="J193" i="11"/>
  <c r="K21" i="32"/>
  <c r="L21" i="32"/>
  <c r="I192" i="11"/>
  <c r="J15" i="32"/>
  <c r="J192" i="11"/>
  <c r="K15" i="32"/>
  <c r="L15" i="32"/>
  <c r="I191" i="11"/>
  <c r="J11" i="32"/>
  <c r="J191" i="11"/>
  <c r="K11" i="32"/>
  <c r="L11" i="32"/>
  <c r="L63" i="32"/>
  <c r="H71" i="32"/>
  <c r="H13" i="36"/>
  <c r="L61" i="14"/>
  <c r="L63" i="14"/>
  <c r="H71" i="14"/>
  <c r="H29" i="36"/>
  <c r="H41" i="36"/>
  <c r="H47" i="36"/>
  <c r="T61" i="14"/>
  <c r="T63" i="14"/>
  <c r="H72" i="14"/>
  <c r="H30" i="36"/>
  <c r="H42" i="36"/>
  <c r="H48" i="36"/>
  <c r="G61" i="14"/>
  <c r="G63" i="14"/>
  <c r="H70" i="14"/>
  <c r="H28" i="36"/>
  <c r="H40" i="36"/>
  <c r="H46" i="36"/>
  <c r="H50" i="36"/>
  <c r="P41" i="36"/>
  <c r="P42" i="36"/>
  <c r="P40" i="36"/>
  <c r="P43" i="36"/>
  <c r="E79" i="32"/>
  <c r="D58" i="36"/>
  <c r="D61" i="36"/>
  <c r="E81" i="32"/>
  <c r="F58" i="36"/>
  <c r="F61" i="36"/>
  <c r="E80" i="32"/>
  <c r="E58" i="36"/>
  <c r="E61" i="36"/>
  <c r="E82" i="32"/>
  <c r="G58" i="36"/>
  <c r="G61" i="36"/>
  <c r="E84" i="32"/>
  <c r="I58" i="36"/>
  <c r="I61" i="36"/>
  <c r="E85" i="32"/>
  <c r="J58" i="36"/>
  <c r="J61" i="36"/>
  <c r="T59" i="14"/>
  <c r="F86" i="14"/>
  <c r="K59" i="36"/>
  <c r="D86" i="14"/>
  <c r="K57" i="36"/>
  <c r="L58" i="14"/>
  <c r="E86" i="14"/>
  <c r="K58" i="36"/>
  <c r="K61" i="36"/>
  <c r="F90" i="20"/>
  <c r="E90" i="20"/>
  <c r="D90" i="20"/>
  <c r="F90" i="4"/>
  <c r="E90" i="4"/>
  <c r="D90" i="4"/>
  <c r="F90" i="14"/>
  <c r="E90" i="14"/>
  <c r="D90" i="14"/>
  <c r="F90" i="27"/>
  <c r="E90" i="27"/>
  <c r="D90" i="27"/>
  <c r="F90" i="28"/>
  <c r="E90" i="28"/>
  <c r="D90" i="28"/>
  <c r="F90" i="30"/>
  <c r="E90" i="30"/>
  <c r="D90" i="30"/>
  <c r="F90" i="32"/>
  <c r="E90" i="32"/>
  <c r="D90" i="32"/>
  <c r="F90" i="31"/>
  <c r="E90" i="31"/>
  <c r="D90" i="31"/>
  <c r="J11" i="36"/>
  <c r="O59" i="36"/>
  <c r="S59" i="36"/>
  <c r="P59" i="36"/>
  <c r="Q59" i="36"/>
  <c r="R59" i="36"/>
  <c r="T59" i="36"/>
  <c r="K181" i="11"/>
  <c r="K179" i="11"/>
  <c r="I182" i="11"/>
  <c r="K187" i="11"/>
  <c r="I187" i="11"/>
  <c r="K188" i="11"/>
  <c r="I205" i="11"/>
  <c r="J16" i="32"/>
  <c r="J182" i="11"/>
  <c r="J187" i="11"/>
  <c r="J205" i="11"/>
  <c r="K16" i="32"/>
  <c r="H187" i="11"/>
  <c r="H184" i="11"/>
  <c r="H182" i="11"/>
  <c r="H185" i="11"/>
  <c r="H188" i="11"/>
  <c r="H189" i="11"/>
  <c r="H190" i="11"/>
  <c r="H193" i="11"/>
  <c r="H205" i="11"/>
  <c r="I16" i="32"/>
  <c r="L16" i="32"/>
  <c r="E89" i="32"/>
  <c r="O58" i="36"/>
  <c r="E88" i="32"/>
  <c r="S58" i="36"/>
  <c r="P58" i="36"/>
  <c r="Q58" i="36"/>
  <c r="R58" i="36"/>
  <c r="T58" i="36"/>
  <c r="O57" i="36"/>
  <c r="S57" i="36"/>
  <c r="P57" i="36"/>
  <c r="Q57" i="36"/>
  <c r="R57" i="36"/>
  <c r="T57" i="36"/>
  <c r="R60" i="36"/>
  <c r="R61" i="36"/>
  <c r="R62" i="36"/>
  <c r="L58" i="36"/>
  <c r="L233" i="36"/>
  <c r="L57" i="36"/>
  <c r="L232" i="36"/>
  <c r="L234" i="36"/>
  <c r="L235" i="36"/>
  <c r="D234" i="36"/>
  <c r="D235" i="36"/>
  <c r="M235" i="36"/>
  <c r="L229" i="36"/>
  <c r="L228" i="36"/>
  <c r="L230" i="36"/>
  <c r="L231" i="36"/>
  <c r="D230" i="36"/>
  <c r="D231" i="36"/>
  <c r="M231" i="36"/>
  <c r="H196" i="11"/>
  <c r="I40" i="32"/>
  <c r="L224" i="36"/>
  <c r="J57" i="36"/>
  <c r="L223" i="36"/>
  <c r="J59" i="36"/>
  <c r="L225" i="36"/>
  <c r="L226" i="36"/>
  <c r="L227" i="36"/>
  <c r="D226" i="36"/>
  <c r="D227" i="36"/>
  <c r="M227" i="36"/>
  <c r="H195" i="11"/>
  <c r="I37" i="32"/>
  <c r="L220" i="36"/>
  <c r="I57" i="36"/>
  <c r="L219" i="36"/>
  <c r="L221" i="36"/>
  <c r="L222" i="36"/>
  <c r="D221" i="36"/>
  <c r="D222" i="36"/>
  <c r="M222" i="36"/>
  <c r="H58" i="36"/>
  <c r="L215" i="36"/>
  <c r="H59" i="36"/>
  <c r="L216" i="36"/>
  <c r="H57" i="36"/>
  <c r="L214" i="36"/>
  <c r="L217" i="36"/>
  <c r="L218" i="36"/>
  <c r="D217" i="36"/>
  <c r="D218" i="36"/>
  <c r="M218" i="36"/>
  <c r="H194" i="11"/>
  <c r="I26" i="32"/>
  <c r="L210" i="36"/>
  <c r="G57" i="36"/>
  <c r="L209" i="36"/>
  <c r="G59" i="36"/>
  <c r="L211" i="36"/>
  <c r="L212" i="36"/>
  <c r="L213" i="36"/>
  <c r="D212" i="36"/>
  <c r="D213" i="36"/>
  <c r="M213" i="36"/>
  <c r="I21" i="32"/>
  <c r="L205" i="36"/>
  <c r="F57" i="36"/>
  <c r="L204" i="36"/>
  <c r="F59" i="36"/>
  <c r="L206" i="36"/>
  <c r="L207" i="36"/>
  <c r="L208" i="36"/>
  <c r="D207" i="36"/>
  <c r="D208" i="36"/>
  <c r="M208" i="36"/>
  <c r="H192" i="11"/>
  <c r="I15" i="32"/>
  <c r="L201" i="36"/>
  <c r="E57" i="36"/>
  <c r="L200" i="36"/>
  <c r="L202" i="36"/>
  <c r="L203" i="36"/>
  <c r="D202" i="36"/>
  <c r="D203" i="36"/>
  <c r="M203" i="36"/>
  <c r="H191" i="11"/>
  <c r="I11" i="32"/>
  <c r="L197" i="36"/>
  <c r="D57" i="36"/>
  <c r="L196" i="36"/>
  <c r="L198" i="36"/>
  <c r="L199" i="36"/>
  <c r="D198" i="36"/>
  <c r="D199" i="36"/>
  <c r="M199" i="36"/>
  <c r="K63" i="32"/>
  <c r="G71" i="32"/>
  <c r="G13" i="36"/>
  <c r="G9" i="36"/>
  <c r="G17" i="36"/>
  <c r="G21" i="36"/>
  <c r="G25" i="36"/>
  <c r="G8" i="36"/>
  <c r="G10" i="36"/>
  <c r="G11" i="36"/>
  <c r="G12" i="36"/>
  <c r="G14" i="36"/>
  <c r="G15" i="36"/>
  <c r="G16" i="36"/>
  <c r="G18" i="36"/>
  <c r="G19" i="36"/>
  <c r="G20" i="36"/>
  <c r="G22" i="36"/>
  <c r="G23" i="36"/>
  <c r="G24" i="36"/>
  <c r="G26" i="36"/>
  <c r="G27" i="36"/>
  <c r="G28" i="36"/>
  <c r="G29" i="36"/>
  <c r="G30" i="36"/>
  <c r="G31" i="36"/>
  <c r="G32" i="36"/>
  <c r="G33" i="36"/>
  <c r="G34" i="36"/>
  <c r="G35" i="36"/>
  <c r="G36" i="36"/>
  <c r="G37" i="36"/>
  <c r="G38" i="36"/>
  <c r="G41" i="36"/>
  <c r="G47" i="36"/>
  <c r="L189" i="36"/>
  <c r="G42" i="36"/>
  <c r="G48" i="36"/>
  <c r="L190" i="36"/>
  <c r="G40" i="36"/>
  <c r="G46" i="36"/>
  <c r="L188" i="36"/>
  <c r="L191" i="36"/>
  <c r="L192" i="36"/>
  <c r="D191" i="36"/>
  <c r="D192" i="36"/>
  <c r="M192" i="36"/>
  <c r="J63" i="32"/>
  <c r="J64" i="32"/>
  <c r="F71" i="32"/>
  <c r="F13" i="36"/>
  <c r="F9" i="36"/>
  <c r="F17" i="36"/>
  <c r="F21" i="36"/>
  <c r="F25" i="36"/>
  <c r="F8" i="36"/>
  <c r="F10" i="36"/>
  <c r="F11" i="36"/>
  <c r="F12" i="36"/>
  <c r="F14" i="36"/>
  <c r="F15" i="36"/>
  <c r="F16" i="36"/>
  <c r="F18" i="36"/>
  <c r="F19" i="36"/>
  <c r="F20" i="36"/>
  <c r="F22" i="36"/>
  <c r="F23" i="36"/>
  <c r="F24" i="36"/>
  <c r="F26" i="36"/>
  <c r="F27" i="36"/>
  <c r="F28" i="36"/>
  <c r="F29" i="36"/>
  <c r="F30" i="36"/>
  <c r="F31" i="36"/>
  <c r="F32" i="36"/>
  <c r="F33" i="36"/>
  <c r="F34" i="36"/>
  <c r="F35" i="36"/>
  <c r="F36" i="36"/>
  <c r="F37" i="36"/>
  <c r="F38" i="36"/>
  <c r="F41" i="36"/>
  <c r="F47" i="36"/>
  <c r="L184" i="36"/>
  <c r="F42" i="36"/>
  <c r="F48" i="36"/>
  <c r="L185" i="36"/>
  <c r="F40" i="36"/>
  <c r="F46" i="36"/>
  <c r="L183" i="36"/>
  <c r="L186" i="36"/>
  <c r="L187" i="36"/>
  <c r="D186" i="36"/>
  <c r="D187" i="36"/>
  <c r="M187" i="36"/>
  <c r="E71" i="32"/>
  <c r="E13" i="36"/>
  <c r="E9" i="36"/>
  <c r="E17" i="36"/>
  <c r="E21" i="36"/>
  <c r="E25" i="36"/>
  <c r="E8" i="36"/>
  <c r="E10" i="36"/>
  <c r="E11" i="36"/>
  <c r="E12" i="36"/>
  <c r="E14" i="36"/>
  <c r="E15" i="36"/>
  <c r="E16" i="36"/>
  <c r="E18" i="36"/>
  <c r="E19" i="36"/>
  <c r="E20" i="36"/>
  <c r="E22" i="36"/>
  <c r="E23" i="36"/>
  <c r="E24" i="36"/>
  <c r="E26" i="36"/>
  <c r="E27" i="36"/>
  <c r="E70" i="14"/>
  <c r="E28" i="36"/>
  <c r="E71" i="14"/>
  <c r="E29" i="36"/>
  <c r="E30" i="36"/>
  <c r="E31" i="36"/>
  <c r="E32" i="36"/>
  <c r="E33" i="36"/>
  <c r="E34" i="36"/>
  <c r="E35" i="36"/>
  <c r="E36" i="36"/>
  <c r="E37" i="36"/>
  <c r="E38" i="36"/>
  <c r="E41" i="36"/>
  <c r="E47" i="36"/>
  <c r="L179" i="36"/>
  <c r="E42" i="36"/>
  <c r="E48" i="36"/>
  <c r="L180" i="36"/>
  <c r="E40" i="36"/>
  <c r="E46" i="36"/>
  <c r="L178" i="36"/>
  <c r="L181" i="36"/>
  <c r="L182" i="36"/>
  <c r="D181" i="36"/>
  <c r="D182" i="36"/>
  <c r="M182" i="36"/>
  <c r="D9" i="36"/>
  <c r="I63" i="32"/>
  <c r="D71" i="32"/>
  <c r="D13" i="36"/>
  <c r="D17" i="36"/>
  <c r="D21" i="36"/>
  <c r="D8" i="36"/>
  <c r="D10" i="36"/>
  <c r="D11" i="36"/>
  <c r="D12" i="36"/>
  <c r="D14" i="36"/>
  <c r="D15" i="36"/>
  <c r="D16" i="36"/>
  <c r="D18" i="36"/>
  <c r="D19" i="36"/>
  <c r="D20" i="36"/>
  <c r="D22" i="36"/>
  <c r="D23" i="36"/>
  <c r="D24" i="36"/>
  <c r="D25" i="36"/>
  <c r="D26" i="36"/>
  <c r="D27" i="36"/>
  <c r="D28" i="36"/>
  <c r="D29" i="36"/>
  <c r="D30" i="36"/>
  <c r="D31" i="36"/>
  <c r="D32" i="36"/>
  <c r="D33" i="36"/>
  <c r="D34" i="36"/>
  <c r="D35" i="36"/>
  <c r="D36" i="36"/>
  <c r="D37" i="36"/>
  <c r="D38" i="36"/>
  <c r="D41" i="36"/>
  <c r="D47" i="36"/>
  <c r="L174" i="36"/>
  <c r="D42" i="36"/>
  <c r="D48" i="36"/>
  <c r="L175" i="36"/>
  <c r="D40" i="36"/>
  <c r="D46" i="36"/>
  <c r="L173" i="36"/>
  <c r="L176" i="36"/>
  <c r="L177" i="36"/>
  <c r="D176" i="36"/>
  <c r="D177" i="36"/>
  <c r="M177" i="36"/>
  <c r="L64" i="32"/>
  <c r="I71" i="32"/>
  <c r="I13" i="36"/>
  <c r="L131" i="36"/>
  <c r="I9" i="36"/>
  <c r="L126" i="36"/>
  <c r="I17" i="36"/>
  <c r="L136" i="36"/>
  <c r="I21" i="36"/>
  <c r="L141" i="36"/>
  <c r="I25" i="36"/>
  <c r="L146" i="36"/>
  <c r="I8" i="36"/>
  <c r="L125" i="36"/>
  <c r="I10" i="36"/>
  <c r="L127" i="36"/>
  <c r="L128" i="36"/>
  <c r="L129" i="36"/>
  <c r="I12" i="36"/>
  <c r="L130" i="36"/>
  <c r="I14" i="36"/>
  <c r="L132" i="36"/>
  <c r="L133" i="36"/>
  <c r="L134" i="36"/>
  <c r="I16" i="36"/>
  <c r="L135" i="36"/>
  <c r="I18" i="36"/>
  <c r="L137" i="36"/>
  <c r="L138" i="36"/>
  <c r="L139" i="36"/>
  <c r="I20" i="36"/>
  <c r="L140" i="36"/>
  <c r="I22" i="36"/>
  <c r="L142" i="36"/>
  <c r="L143" i="36"/>
  <c r="L144" i="36"/>
  <c r="I24" i="36"/>
  <c r="L145" i="36"/>
  <c r="I26" i="36"/>
  <c r="L147" i="36"/>
  <c r="L148" i="36"/>
  <c r="L149" i="36"/>
  <c r="G64" i="14"/>
  <c r="I70" i="14"/>
  <c r="I28" i="36"/>
  <c r="L150" i="36"/>
  <c r="L64" i="14"/>
  <c r="I71" i="14"/>
  <c r="I29" i="36"/>
  <c r="L151" i="36"/>
  <c r="T64" i="14"/>
  <c r="I72" i="14"/>
  <c r="I30" i="36"/>
  <c r="L152" i="36"/>
  <c r="L153" i="36"/>
  <c r="L154" i="36"/>
  <c r="I32" i="36"/>
  <c r="L155" i="36"/>
  <c r="I33" i="36"/>
  <c r="L156" i="36"/>
  <c r="I34" i="36"/>
  <c r="L157" i="36"/>
  <c r="L158" i="36"/>
  <c r="L159" i="36"/>
  <c r="I36" i="36"/>
  <c r="L160" i="36"/>
  <c r="I37" i="36"/>
  <c r="L161" i="36"/>
  <c r="I38" i="36"/>
  <c r="L162" i="36"/>
  <c r="L163" i="36"/>
  <c r="L164" i="36"/>
  <c r="L166" i="36"/>
  <c r="L167" i="36"/>
  <c r="L168" i="36"/>
  <c r="L169" i="36"/>
  <c r="D166" i="36"/>
  <c r="D167" i="36"/>
  <c r="D128" i="36"/>
  <c r="D133" i="36"/>
  <c r="D138" i="36"/>
  <c r="D143" i="36"/>
  <c r="D129" i="36"/>
  <c r="D134" i="36"/>
  <c r="D139" i="36"/>
  <c r="D144" i="36"/>
  <c r="D148" i="36"/>
  <c r="D149" i="36"/>
  <c r="D153" i="36"/>
  <c r="D154" i="36"/>
  <c r="D158" i="36"/>
  <c r="D159" i="36"/>
  <c r="D163" i="36"/>
  <c r="D164" i="36"/>
  <c r="D168" i="36"/>
  <c r="D169" i="36"/>
  <c r="M169" i="36"/>
  <c r="M164" i="36"/>
  <c r="M159" i="36"/>
  <c r="M154" i="36"/>
  <c r="M149" i="36"/>
  <c r="M144" i="36"/>
  <c r="M139" i="36"/>
  <c r="M134" i="36"/>
  <c r="M129" i="36"/>
  <c r="H37" i="36"/>
  <c r="L114" i="36"/>
  <c r="H38" i="36"/>
  <c r="L115" i="36"/>
  <c r="H36" i="36"/>
  <c r="L113" i="36"/>
  <c r="L116" i="36"/>
  <c r="L117" i="36"/>
  <c r="D116" i="36"/>
  <c r="D117" i="36"/>
  <c r="M117" i="36"/>
  <c r="H33" i="36"/>
  <c r="L109" i="36"/>
  <c r="H34" i="36"/>
  <c r="L110" i="36"/>
  <c r="H32" i="36"/>
  <c r="L108" i="36"/>
  <c r="L111" i="36"/>
  <c r="L112" i="36"/>
  <c r="D111" i="36"/>
  <c r="D112" i="36"/>
  <c r="M112" i="36"/>
  <c r="L105" i="36"/>
  <c r="L103" i="36"/>
  <c r="L104" i="36"/>
  <c r="L106" i="36"/>
  <c r="L107" i="36"/>
  <c r="D106" i="36"/>
  <c r="D107" i="36"/>
  <c r="M107" i="36"/>
  <c r="H25" i="36"/>
  <c r="L99" i="36"/>
  <c r="H26" i="36"/>
  <c r="L100" i="36"/>
  <c r="H24" i="36"/>
  <c r="L98" i="36"/>
  <c r="L101" i="36"/>
  <c r="L102" i="36"/>
  <c r="D101" i="36"/>
  <c r="D102" i="36"/>
  <c r="M102" i="36"/>
  <c r="H21" i="36"/>
  <c r="L94" i="36"/>
  <c r="H22" i="36"/>
  <c r="L95" i="36"/>
  <c r="H20" i="36"/>
  <c r="L93" i="36"/>
  <c r="L96" i="36"/>
  <c r="L97" i="36"/>
  <c r="D96" i="36"/>
  <c r="D97" i="36"/>
  <c r="M97" i="36"/>
  <c r="H17" i="36"/>
  <c r="L89" i="36"/>
  <c r="H18" i="36"/>
  <c r="L90" i="36"/>
  <c r="H16" i="36"/>
  <c r="L88" i="36"/>
  <c r="L91" i="36"/>
  <c r="L92" i="36"/>
  <c r="D91" i="36"/>
  <c r="D92" i="36"/>
  <c r="M92" i="36"/>
  <c r="L84" i="36"/>
  <c r="H12" i="36"/>
  <c r="L83" i="36"/>
  <c r="H14" i="36"/>
  <c r="L85" i="36"/>
  <c r="L86" i="36"/>
  <c r="L87" i="36"/>
  <c r="D86" i="36"/>
  <c r="D87" i="36"/>
  <c r="M87" i="36"/>
  <c r="H9" i="36"/>
  <c r="L79" i="36"/>
  <c r="H10" i="36"/>
  <c r="L80" i="36"/>
  <c r="H8" i="36"/>
  <c r="L78" i="36"/>
  <c r="L81" i="36"/>
  <c r="L82" i="36"/>
  <c r="D81" i="36"/>
  <c r="D82" i="36"/>
  <c r="M82" i="36"/>
  <c r="M166" i="36"/>
  <c r="D93" i="32"/>
  <c r="D93" i="20"/>
  <c r="D93" i="31"/>
  <c r="T61" i="36"/>
  <c r="T62" i="36"/>
  <c r="T60" i="36"/>
  <c r="O60" i="36"/>
  <c r="O61" i="36"/>
  <c r="O62" i="36"/>
  <c r="S60" i="36"/>
  <c r="S61" i="36"/>
  <c r="P60" i="36"/>
  <c r="P61" i="36"/>
  <c r="S62" i="36"/>
  <c r="P62" i="36"/>
  <c r="E88" i="31"/>
  <c r="I16" i="31"/>
  <c r="F88" i="20"/>
  <c r="F88" i="4"/>
  <c r="F88" i="14"/>
  <c r="F88" i="27"/>
  <c r="F88" i="28"/>
  <c r="F88" i="30"/>
  <c r="F88" i="32"/>
  <c r="F88" i="31"/>
  <c r="E88" i="20"/>
  <c r="E88" i="4"/>
  <c r="E88" i="14"/>
  <c r="E88" i="27"/>
  <c r="E88" i="28"/>
  <c r="E88" i="30"/>
  <c r="L16" i="31"/>
  <c r="L21" i="31"/>
  <c r="I63" i="31"/>
  <c r="D71" i="31"/>
  <c r="D74" i="31"/>
  <c r="H181" i="11"/>
  <c r="D88" i="20"/>
  <c r="D88" i="4"/>
  <c r="D88" i="14"/>
  <c r="D88" i="27"/>
  <c r="D88" i="28"/>
  <c r="D88" i="30"/>
  <c r="D88" i="32"/>
  <c r="D88" i="31"/>
  <c r="G88" i="20"/>
  <c r="H88" i="20"/>
  <c r="G88" i="4"/>
  <c r="H88" i="4"/>
  <c r="G88" i="14"/>
  <c r="H88" i="14"/>
  <c r="G88" i="27"/>
  <c r="H88" i="27"/>
  <c r="G88" i="28"/>
  <c r="H88" i="28"/>
  <c r="G88" i="30"/>
  <c r="H88" i="30"/>
  <c r="J63" i="31"/>
  <c r="J64" i="31"/>
  <c r="F71" i="31"/>
  <c r="F74" i="31"/>
  <c r="K63" i="31"/>
  <c r="G71" i="31"/>
  <c r="G74" i="31"/>
  <c r="G88" i="32"/>
  <c r="H88" i="32"/>
  <c r="G88" i="31"/>
  <c r="H88" i="31"/>
  <c r="D89" i="32"/>
  <c r="X213" i="11"/>
  <c r="X218" i="11"/>
  <c r="Y213" i="11"/>
  <c r="Y218" i="11"/>
  <c r="W213" i="11"/>
  <c r="W218" i="11"/>
  <c r="E89" i="31"/>
  <c r="J116" i="8"/>
  <c r="I116" i="8"/>
  <c r="R45" i="14"/>
  <c r="J117" i="8"/>
  <c r="I117" i="8"/>
  <c r="R46" i="14"/>
  <c r="J118" i="8"/>
  <c r="I118" i="8"/>
  <c r="R47" i="14"/>
  <c r="J120" i="8"/>
  <c r="I120" i="8"/>
  <c r="R49" i="14"/>
  <c r="J121" i="8"/>
  <c r="I121" i="8"/>
  <c r="R50" i="14"/>
  <c r="J122" i="8"/>
  <c r="I122" i="8"/>
  <c r="R51" i="14"/>
  <c r="J123" i="8"/>
  <c r="I123" i="8"/>
  <c r="R52" i="14"/>
  <c r="J124" i="8"/>
  <c r="J125" i="8"/>
  <c r="I125" i="8"/>
  <c r="R54" i="14"/>
  <c r="J126" i="8"/>
  <c r="I126" i="8"/>
  <c r="R55" i="14"/>
  <c r="J127" i="8"/>
  <c r="I127" i="8"/>
  <c r="R56" i="14"/>
  <c r="J128" i="8"/>
  <c r="I128" i="8"/>
  <c r="R57" i="14"/>
  <c r="J115" i="8"/>
  <c r="G115" i="8"/>
  <c r="E44" i="14"/>
  <c r="G123" i="8"/>
  <c r="E52" i="14"/>
  <c r="G124" i="8"/>
  <c r="E53" i="14"/>
  <c r="G125" i="8"/>
  <c r="E54" i="14"/>
  <c r="J112" i="8"/>
  <c r="G112" i="8"/>
  <c r="E41" i="14"/>
  <c r="J113" i="8"/>
  <c r="G113" i="8"/>
  <c r="E42" i="14"/>
  <c r="J114" i="8"/>
  <c r="G114" i="8"/>
  <c r="E43" i="14"/>
  <c r="G116" i="8"/>
  <c r="E45" i="14"/>
  <c r="G117" i="8"/>
  <c r="E46" i="14"/>
  <c r="G118" i="8"/>
  <c r="E47" i="14"/>
  <c r="J119" i="8"/>
  <c r="G119" i="8"/>
  <c r="E48" i="14"/>
  <c r="G120" i="8"/>
  <c r="E49" i="14"/>
  <c r="G121" i="8"/>
  <c r="E50" i="14"/>
  <c r="G122" i="8"/>
  <c r="E51" i="14"/>
  <c r="G126" i="8"/>
  <c r="E55" i="14"/>
  <c r="G127" i="8"/>
  <c r="E56" i="14"/>
  <c r="G128" i="8"/>
  <c r="E57" i="14"/>
  <c r="E59" i="14"/>
  <c r="H115" i="8"/>
  <c r="J44" i="14"/>
  <c r="H123" i="8"/>
  <c r="J52" i="14"/>
  <c r="H124" i="8"/>
  <c r="J53" i="14"/>
  <c r="H125" i="8"/>
  <c r="J54" i="14"/>
  <c r="H112" i="8"/>
  <c r="J41" i="14"/>
  <c r="H113" i="8"/>
  <c r="J42" i="14"/>
  <c r="H114" i="8"/>
  <c r="J43" i="14"/>
  <c r="H116" i="8"/>
  <c r="J45" i="14"/>
  <c r="H117" i="8"/>
  <c r="J46" i="14"/>
  <c r="H118" i="8"/>
  <c r="J47" i="14"/>
  <c r="H119" i="8"/>
  <c r="J48" i="14"/>
  <c r="H120" i="8"/>
  <c r="J49" i="14"/>
  <c r="H121" i="8"/>
  <c r="J50" i="14"/>
  <c r="H122" i="8"/>
  <c r="J51" i="14"/>
  <c r="H126" i="8"/>
  <c r="J55" i="14"/>
  <c r="H127" i="8"/>
  <c r="J56" i="14"/>
  <c r="H128" i="8"/>
  <c r="J57" i="14"/>
  <c r="J59" i="14"/>
  <c r="J258" i="13"/>
  <c r="G258" i="13"/>
  <c r="E44" i="31"/>
  <c r="J266" i="13"/>
  <c r="G266" i="13"/>
  <c r="E52" i="31"/>
  <c r="J267" i="13"/>
  <c r="G267" i="13"/>
  <c r="E53" i="31"/>
  <c r="J268" i="13"/>
  <c r="G268" i="13"/>
  <c r="E54" i="31"/>
  <c r="J255" i="13"/>
  <c r="G255" i="13"/>
  <c r="E41" i="31"/>
  <c r="J256" i="13"/>
  <c r="G256" i="13"/>
  <c r="E42" i="31"/>
  <c r="J257" i="13"/>
  <c r="G257" i="13"/>
  <c r="E43" i="31"/>
  <c r="J259" i="13"/>
  <c r="G259" i="13"/>
  <c r="E45" i="31"/>
  <c r="J260" i="13"/>
  <c r="G260" i="13"/>
  <c r="E46" i="31"/>
  <c r="J261" i="13"/>
  <c r="G261" i="13"/>
  <c r="E47" i="31"/>
  <c r="J262" i="13"/>
  <c r="G262" i="13"/>
  <c r="E48" i="31"/>
  <c r="J263" i="13"/>
  <c r="G263" i="13"/>
  <c r="E49" i="31"/>
  <c r="J264" i="13"/>
  <c r="G264" i="13"/>
  <c r="E50" i="31"/>
  <c r="J265" i="13"/>
  <c r="G265" i="13"/>
  <c r="E51" i="31"/>
  <c r="J269" i="13"/>
  <c r="G269" i="13"/>
  <c r="E55" i="31"/>
  <c r="J270" i="13"/>
  <c r="G270" i="13"/>
  <c r="E56" i="31"/>
  <c r="J271" i="13"/>
  <c r="G271" i="13"/>
  <c r="E57" i="31"/>
  <c r="E58" i="31"/>
  <c r="E59" i="31"/>
  <c r="E61" i="31"/>
  <c r="E63" i="31"/>
  <c r="E64" i="31"/>
  <c r="F70" i="31"/>
  <c r="H258" i="13"/>
  <c r="J44" i="31"/>
  <c r="H266" i="13"/>
  <c r="J52" i="31"/>
  <c r="H267" i="13"/>
  <c r="J53" i="31"/>
  <c r="H268" i="13"/>
  <c r="J54" i="31"/>
  <c r="H255" i="13"/>
  <c r="J41" i="31"/>
  <c r="H256" i="13"/>
  <c r="J42" i="31"/>
  <c r="H257" i="13"/>
  <c r="J43" i="31"/>
  <c r="H259" i="13"/>
  <c r="J45" i="31"/>
  <c r="H260" i="13"/>
  <c r="J46" i="31"/>
  <c r="H261" i="13"/>
  <c r="J47" i="31"/>
  <c r="H262" i="13"/>
  <c r="J48" i="31"/>
  <c r="H263" i="13"/>
  <c r="J49" i="31"/>
  <c r="H264" i="13"/>
  <c r="J50" i="31"/>
  <c r="H265" i="13"/>
  <c r="J51" i="31"/>
  <c r="H269" i="13"/>
  <c r="J55" i="31"/>
  <c r="H270" i="13"/>
  <c r="J56" i="31"/>
  <c r="H271" i="13"/>
  <c r="J57" i="31"/>
  <c r="J58" i="31"/>
  <c r="J59" i="31"/>
  <c r="J61" i="31"/>
  <c r="I259" i="13"/>
  <c r="R45" i="31"/>
  <c r="I260" i="13"/>
  <c r="R46" i="31"/>
  <c r="I261" i="13"/>
  <c r="R47" i="31"/>
  <c r="I263" i="13"/>
  <c r="R49" i="31"/>
  <c r="I264" i="13"/>
  <c r="R50" i="31"/>
  <c r="I265" i="13"/>
  <c r="R51" i="31"/>
  <c r="I266" i="13"/>
  <c r="R52" i="31"/>
  <c r="I268" i="13"/>
  <c r="R54" i="31"/>
  <c r="I269" i="13"/>
  <c r="R55" i="31"/>
  <c r="I270" i="13"/>
  <c r="R56" i="31"/>
  <c r="I271" i="13"/>
  <c r="R57" i="31"/>
  <c r="R59" i="31"/>
  <c r="R58" i="31"/>
  <c r="R61" i="31"/>
  <c r="R63" i="31"/>
  <c r="E72" i="31"/>
  <c r="F72" i="31"/>
  <c r="J111" i="12"/>
  <c r="G111" i="12"/>
  <c r="E44" i="30"/>
  <c r="J119" i="12"/>
  <c r="G119" i="12"/>
  <c r="E52" i="30"/>
  <c r="J120" i="12"/>
  <c r="G120" i="12"/>
  <c r="E53" i="30"/>
  <c r="J121" i="12"/>
  <c r="G121" i="12"/>
  <c r="E54" i="30"/>
  <c r="J108" i="12"/>
  <c r="G108" i="12"/>
  <c r="E41" i="30"/>
  <c r="J109" i="12"/>
  <c r="G109" i="12"/>
  <c r="E42" i="30"/>
  <c r="J110" i="12"/>
  <c r="G110" i="12"/>
  <c r="E43" i="30"/>
  <c r="J112" i="12"/>
  <c r="G112" i="12"/>
  <c r="E45" i="30"/>
  <c r="J113" i="12"/>
  <c r="G113" i="12"/>
  <c r="E46" i="30"/>
  <c r="J114" i="12"/>
  <c r="G114" i="12"/>
  <c r="E47" i="30"/>
  <c r="J115" i="12"/>
  <c r="G115" i="12"/>
  <c r="E48" i="30"/>
  <c r="J116" i="12"/>
  <c r="G116" i="12"/>
  <c r="E49" i="30"/>
  <c r="J117" i="12"/>
  <c r="G117" i="12"/>
  <c r="E50" i="30"/>
  <c r="J118" i="12"/>
  <c r="G118" i="12"/>
  <c r="E51" i="30"/>
  <c r="J122" i="12"/>
  <c r="G122" i="12"/>
  <c r="E55" i="30"/>
  <c r="J123" i="12"/>
  <c r="G123" i="12"/>
  <c r="E56" i="30"/>
  <c r="J124" i="12"/>
  <c r="G124" i="12"/>
  <c r="E57" i="30"/>
  <c r="E58" i="30"/>
  <c r="E59" i="30"/>
  <c r="E61" i="30"/>
  <c r="E63" i="30"/>
  <c r="E64" i="30"/>
  <c r="F70" i="30"/>
  <c r="H111" i="12"/>
  <c r="J44" i="30"/>
  <c r="H119" i="12"/>
  <c r="J52" i="30"/>
  <c r="H120" i="12"/>
  <c r="J53" i="30"/>
  <c r="H121" i="12"/>
  <c r="J54" i="30"/>
  <c r="H108" i="12"/>
  <c r="J41" i="30"/>
  <c r="H109" i="12"/>
  <c r="J42" i="30"/>
  <c r="H110" i="12"/>
  <c r="J43" i="30"/>
  <c r="H112" i="12"/>
  <c r="J45" i="30"/>
  <c r="H113" i="12"/>
  <c r="J46" i="30"/>
  <c r="H114" i="12"/>
  <c r="J47" i="30"/>
  <c r="H115" i="12"/>
  <c r="J48" i="30"/>
  <c r="H116" i="12"/>
  <c r="J49" i="30"/>
  <c r="H117" i="12"/>
  <c r="J50" i="30"/>
  <c r="H118" i="12"/>
  <c r="J51" i="30"/>
  <c r="H122" i="12"/>
  <c r="J55" i="30"/>
  <c r="H123" i="12"/>
  <c r="J56" i="30"/>
  <c r="H124" i="12"/>
  <c r="J57" i="30"/>
  <c r="J58" i="30"/>
  <c r="J59" i="30"/>
  <c r="J61" i="30"/>
  <c r="J63" i="30"/>
  <c r="J64" i="30"/>
  <c r="F71" i="30"/>
  <c r="I112" i="12"/>
  <c r="R45" i="30"/>
  <c r="I113" i="12"/>
  <c r="R46" i="30"/>
  <c r="I114" i="12"/>
  <c r="R47" i="30"/>
  <c r="I116" i="12"/>
  <c r="R49" i="30"/>
  <c r="I117" i="12"/>
  <c r="R50" i="30"/>
  <c r="I118" i="12"/>
  <c r="R51" i="30"/>
  <c r="I119" i="12"/>
  <c r="R52" i="30"/>
  <c r="I121" i="12"/>
  <c r="R54" i="30"/>
  <c r="I122" i="12"/>
  <c r="R55" i="30"/>
  <c r="I123" i="12"/>
  <c r="R56" i="30"/>
  <c r="I124" i="12"/>
  <c r="R57" i="30"/>
  <c r="R59" i="30"/>
  <c r="R58" i="30"/>
  <c r="R61" i="30"/>
  <c r="R63" i="30"/>
  <c r="E72" i="30"/>
  <c r="F72" i="30"/>
  <c r="F74" i="30"/>
  <c r="J107" i="10"/>
  <c r="G107" i="10"/>
  <c r="E44" i="28"/>
  <c r="J115" i="10"/>
  <c r="G115" i="10"/>
  <c r="E52" i="28"/>
  <c r="J116" i="10"/>
  <c r="G116" i="10"/>
  <c r="E53" i="28"/>
  <c r="J117" i="10"/>
  <c r="G117" i="10"/>
  <c r="E54" i="28"/>
  <c r="J104" i="10"/>
  <c r="G104" i="10"/>
  <c r="E41" i="28"/>
  <c r="J105" i="10"/>
  <c r="G105" i="10"/>
  <c r="E42" i="28"/>
  <c r="J106" i="10"/>
  <c r="G106" i="10"/>
  <c r="E43" i="28"/>
  <c r="J108" i="10"/>
  <c r="G108" i="10"/>
  <c r="E45" i="28"/>
  <c r="J109" i="10"/>
  <c r="G109" i="10"/>
  <c r="E46" i="28"/>
  <c r="J110" i="10"/>
  <c r="G110" i="10"/>
  <c r="E47" i="28"/>
  <c r="J111" i="10"/>
  <c r="G111" i="10"/>
  <c r="E48" i="28"/>
  <c r="J112" i="10"/>
  <c r="G112" i="10"/>
  <c r="E49" i="28"/>
  <c r="J113" i="10"/>
  <c r="G113" i="10"/>
  <c r="E50" i="28"/>
  <c r="J114" i="10"/>
  <c r="G114" i="10"/>
  <c r="E51" i="28"/>
  <c r="J118" i="10"/>
  <c r="G118" i="10"/>
  <c r="E55" i="28"/>
  <c r="J119" i="10"/>
  <c r="G119" i="10"/>
  <c r="E56" i="28"/>
  <c r="J120" i="10"/>
  <c r="G120" i="10"/>
  <c r="E57" i="28"/>
  <c r="E58" i="28"/>
  <c r="E59" i="28"/>
  <c r="E61" i="28"/>
  <c r="E63" i="28"/>
  <c r="E64" i="28"/>
  <c r="F70" i="28"/>
  <c r="H107" i="10"/>
  <c r="J44" i="28"/>
  <c r="H115" i="10"/>
  <c r="J52" i="28"/>
  <c r="H116" i="10"/>
  <c r="J53" i="28"/>
  <c r="H117" i="10"/>
  <c r="J54" i="28"/>
  <c r="H104" i="10"/>
  <c r="J41" i="28"/>
  <c r="H105" i="10"/>
  <c r="J42" i="28"/>
  <c r="H106" i="10"/>
  <c r="J43" i="28"/>
  <c r="H108" i="10"/>
  <c r="J45" i="28"/>
  <c r="H109" i="10"/>
  <c r="J46" i="28"/>
  <c r="H110" i="10"/>
  <c r="J47" i="28"/>
  <c r="H111" i="10"/>
  <c r="J48" i="28"/>
  <c r="H112" i="10"/>
  <c r="J49" i="28"/>
  <c r="H113" i="10"/>
  <c r="J50" i="28"/>
  <c r="H114" i="10"/>
  <c r="J51" i="28"/>
  <c r="H118" i="10"/>
  <c r="J55" i="28"/>
  <c r="H119" i="10"/>
  <c r="J56" i="28"/>
  <c r="H120" i="10"/>
  <c r="J57" i="28"/>
  <c r="J58" i="28"/>
  <c r="J59" i="28"/>
  <c r="J61" i="28"/>
  <c r="J63" i="28"/>
  <c r="J64" i="28"/>
  <c r="F71" i="28"/>
  <c r="I108" i="10"/>
  <c r="R45" i="28"/>
  <c r="I109" i="10"/>
  <c r="R46" i="28"/>
  <c r="I110" i="10"/>
  <c r="R47" i="28"/>
  <c r="I112" i="10"/>
  <c r="R49" i="28"/>
  <c r="I113" i="10"/>
  <c r="R50" i="28"/>
  <c r="I114" i="10"/>
  <c r="R51" i="28"/>
  <c r="I115" i="10"/>
  <c r="R52" i="28"/>
  <c r="I117" i="10"/>
  <c r="R54" i="28"/>
  <c r="I118" i="10"/>
  <c r="R55" i="28"/>
  <c r="I119" i="10"/>
  <c r="R56" i="28"/>
  <c r="I120" i="10"/>
  <c r="R57" i="28"/>
  <c r="R59" i="28"/>
  <c r="R58" i="28"/>
  <c r="R61" i="28"/>
  <c r="R63" i="28"/>
  <c r="E72" i="28"/>
  <c r="F72" i="28"/>
  <c r="F74" i="28"/>
  <c r="J212" i="9"/>
  <c r="G212" i="9"/>
  <c r="E44" i="27"/>
  <c r="J220" i="9"/>
  <c r="G220" i="9"/>
  <c r="E52" i="27"/>
  <c r="J221" i="9"/>
  <c r="G221" i="9"/>
  <c r="E53" i="27"/>
  <c r="J222" i="9"/>
  <c r="G222" i="9"/>
  <c r="E54" i="27"/>
  <c r="J209" i="9"/>
  <c r="G209" i="9"/>
  <c r="E41" i="27"/>
  <c r="J210" i="9"/>
  <c r="G210" i="9"/>
  <c r="E42" i="27"/>
  <c r="J211" i="9"/>
  <c r="G211" i="9"/>
  <c r="E43" i="27"/>
  <c r="J213" i="9"/>
  <c r="G213" i="9"/>
  <c r="E45" i="27"/>
  <c r="J214" i="9"/>
  <c r="G214" i="9"/>
  <c r="E46" i="27"/>
  <c r="J215" i="9"/>
  <c r="G215" i="9"/>
  <c r="E47" i="27"/>
  <c r="J216" i="9"/>
  <c r="G216" i="9"/>
  <c r="E48" i="27"/>
  <c r="J217" i="9"/>
  <c r="G217" i="9"/>
  <c r="E49" i="27"/>
  <c r="J218" i="9"/>
  <c r="G218" i="9"/>
  <c r="E50" i="27"/>
  <c r="J219" i="9"/>
  <c r="G219" i="9"/>
  <c r="E51" i="27"/>
  <c r="J223" i="9"/>
  <c r="G223" i="9"/>
  <c r="E55" i="27"/>
  <c r="J224" i="9"/>
  <c r="G224" i="9"/>
  <c r="E56" i="27"/>
  <c r="J225" i="9"/>
  <c r="G225" i="9"/>
  <c r="E57" i="27"/>
  <c r="E58" i="27"/>
  <c r="E59" i="27"/>
  <c r="E61" i="27"/>
  <c r="E63" i="27"/>
  <c r="E64" i="27"/>
  <c r="F70" i="27"/>
  <c r="H212" i="9"/>
  <c r="J44" i="27"/>
  <c r="H220" i="9"/>
  <c r="J52" i="27"/>
  <c r="H221" i="9"/>
  <c r="J53" i="27"/>
  <c r="H222" i="9"/>
  <c r="J54" i="27"/>
  <c r="H209" i="9"/>
  <c r="J41" i="27"/>
  <c r="H210" i="9"/>
  <c r="J42" i="27"/>
  <c r="H211" i="9"/>
  <c r="J43" i="27"/>
  <c r="H213" i="9"/>
  <c r="J45" i="27"/>
  <c r="H214" i="9"/>
  <c r="J46" i="27"/>
  <c r="H215" i="9"/>
  <c r="J47" i="27"/>
  <c r="H216" i="9"/>
  <c r="J48" i="27"/>
  <c r="H217" i="9"/>
  <c r="J49" i="27"/>
  <c r="H218" i="9"/>
  <c r="J50" i="27"/>
  <c r="H219" i="9"/>
  <c r="J51" i="27"/>
  <c r="H223" i="9"/>
  <c r="J55" i="27"/>
  <c r="H224" i="9"/>
  <c r="J56" i="27"/>
  <c r="H225" i="9"/>
  <c r="J57" i="27"/>
  <c r="J58" i="27"/>
  <c r="J59" i="27"/>
  <c r="J61" i="27"/>
  <c r="J63" i="27"/>
  <c r="J64" i="27"/>
  <c r="F71" i="27"/>
  <c r="I213" i="9"/>
  <c r="R45" i="27"/>
  <c r="I214" i="9"/>
  <c r="R46" i="27"/>
  <c r="I215" i="9"/>
  <c r="R47" i="27"/>
  <c r="I217" i="9"/>
  <c r="R49" i="27"/>
  <c r="I218" i="9"/>
  <c r="R50" i="27"/>
  <c r="I219" i="9"/>
  <c r="R51" i="27"/>
  <c r="I220" i="9"/>
  <c r="R52" i="27"/>
  <c r="I222" i="9"/>
  <c r="R54" i="27"/>
  <c r="I223" i="9"/>
  <c r="R55" i="27"/>
  <c r="I224" i="9"/>
  <c r="R56" i="27"/>
  <c r="I225" i="9"/>
  <c r="R57" i="27"/>
  <c r="R59" i="27"/>
  <c r="R58" i="27"/>
  <c r="R61" i="27"/>
  <c r="R63" i="27"/>
  <c r="E72" i="27"/>
  <c r="F72" i="27"/>
  <c r="F74" i="27"/>
  <c r="J191" i="3"/>
  <c r="G191" i="3"/>
  <c r="E44" i="4"/>
  <c r="J199" i="3"/>
  <c r="G199" i="3"/>
  <c r="E52" i="4"/>
  <c r="J200" i="3"/>
  <c r="G200" i="3"/>
  <c r="E53" i="4"/>
  <c r="J201" i="3"/>
  <c r="G201" i="3"/>
  <c r="E54" i="4"/>
  <c r="J188" i="3"/>
  <c r="G188" i="3"/>
  <c r="E41" i="4"/>
  <c r="J189" i="3"/>
  <c r="G189" i="3"/>
  <c r="E42" i="4"/>
  <c r="J190" i="3"/>
  <c r="G190" i="3"/>
  <c r="E43" i="4"/>
  <c r="J192" i="3"/>
  <c r="G192" i="3"/>
  <c r="E45" i="4"/>
  <c r="J193" i="3"/>
  <c r="G193" i="3"/>
  <c r="E46" i="4"/>
  <c r="J194" i="3"/>
  <c r="G194" i="3"/>
  <c r="E47" i="4"/>
  <c r="J195" i="3"/>
  <c r="G195" i="3"/>
  <c r="E48" i="4"/>
  <c r="J196" i="3"/>
  <c r="G196" i="3"/>
  <c r="E49" i="4"/>
  <c r="J197" i="3"/>
  <c r="G197" i="3"/>
  <c r="E50" i="4"/>
  <c r="J198" i="3"/>
  <c r="G198" i="3"/>
  <c r="E51" i="4"/>
  <c r="J202" i="3"/>
  <c r="G202" i="3"/>
  <c r="E55" i="4"/>
  <c r="J203" i="3"/>
  <c r="G203" i="3"/>
  <c r="E56" i="4"/>
  <c r="J204" i="3"/>
  <c r="G204" i="3"/>
  <c r="E57" i="4"/>
  <c r="E58" i="4"/>
  <c r="E59" i="4"/>
  <c r="E61" i="4"/>
  <c r="E63" i="4"/>
  <c r="E64" i="4"/>
  <c r="F70" i="4"/>
  <c r="H191" i="3"/>
  <c r="J44" i="4"/>
  <c r="H199" i="3"/>
  <c r="J52" i="4"/>
  <c r="H200" i="3"/>
  <c r="J53" i="4"/>
  <c r="H201" i="3"/>
  <c r="J54" i="4"/>
  <c r="H188" i="3"/>
  <c r="J41" i="4"/>
  <c r="H189" i="3"/>
  <c r="J42" i="4"/>
  <c r="H190" i="3"/>
  <c r="J43" i="4"/>
  <c r="H192" i="3"/>
  <c r="J45" i="4"/>
  <c r="H193" i="3"/>
  <c r="J46" i="4"/>
  <c r="H194" i="3"/>
  <c r="J47" i="4"/>
  <c r="H195" i="3"/>
  <c r="J48" i="4"/>
  <c r="H196" i="3"/>
  <c r="J49" i="4"/>
  <c r="H197" i="3"/>
  <c r="J50" i="4"/>
  <c r="H198" i="3"/>
  <c r="J51" i="4"/>
  <c r="H202" i="3"/>
  <c r="J55" i="4"/>
  <c r="H203" i="3"/>
  <c r="J56" i="4"/>
  <c r="H204" i="3"/>
  <c r="J57" i="4"/>
  <c r="J58" i="4"/>
  <c r="J59" i="4"/>
  <c r="J61" i="4"/>
  <c r="J63" i="4"/>
  <c r="J64" i="4"/>
  <c r="F71" i="4"/>
  <c r="I192" i="3"/>
  <c r="R45" i="4"/>
  <c r="I193" i="3"/>
  <c r="R46" i="4"/>
  <c r="I194" i="3"/>
  <c r="R47" i="4"/>
  <c r="I196" i="3"/>
  <c r="R49" i="4"/>
  <c r="I197" i="3"/>
  <c r="R50" i="4"/>
  <c r="I198" i="3"/>
  <c r="R51" i="4"/>
  <c r="I199" i="3"/>
  <c r="R52" i="4"/>
  <c r="I201" i="3"/>
  <c r="R54" i="4"/>
  <c r="I202" i="3"/>
  <c r="R55" i="4"/>
  <c r="I203" i="3"/>
  <c r="R56" i="4"/>
  <c r="I204" i="3"/>
  <c r="R57" i="4"/>
  <c r="R59" i="4"/>
  <c r="R58" i="4"/>
  <c r="R61" i="4"/>
  <c r="R63" i="4"/>
  <c r="E72" i="4"/>
  <c r="F72" i="4"/>
  <c r="F74" i="4"/>
  <c r="J137" i="7"/>
  <c r="G137" i="7"/>
  <c r="E44" i="20"/>
  <c r="J145" i="7"/>
  <c r="G145" i="7"/>
  <c r="E52" i="20"/>
  <c r="J146" i="7"/>
  <c r="G146" i="7"/>
  <c r="E53" i="20"/>
  <c r="J147" i="7"/>
  <c r="G147" i="7"/>
  <c r="E54" i="20"/>
  <c r="J134" i="7"/>
  <c r="G134" i="7"/>
  <c r="E41" i="20"/>
  <c r="J135" i="7"/>
  <c r="G135" i="7"/>
  <c r="E42" i="20"/>
  <c r="J136" i="7"/>
  <c r="G136" i="7"/>
  <c r="E43" i="20"/>
  <c r="J138" i="7"/>
  <c r="G138" i="7"/>
  <c r="E45" i="20"/>
  <c r="J139" i="7"/>
  <c r="G139" i="7"/>
  <c r="E46" i="20"/>
  <c r="J140" i="7"/>
  <c r="G140" i="7"/>
  <c r="E47" i="20"/>
  <c r="J141" i="7"/>
  <c r="G141" i="7"/>
  <c r="E48" i="20"/>
  <c r="J142" i="7"/>
  <c r="G142" i="7"/>
  <c r="E49" i="20"/>
  <c r="J143" i="7"/>
  <c r="G143" i="7"/>
  <c r="E50" i="20"/>
  <c r="J144" i="7"/>
  <c r="G144" i="7"/>
  <c r="E51" i="20"/>
  <c r="J148" i="7"/>
  <c r="G148" i="7"/>
  <c r="E55" i="20"/>
  <c r="J149" i="7"/>
  <c r="G149" i="7"/>
  <c r="E56" i="20"/>
  <c r="J150" i="7"/>
  <c r="G150" i="7"/>
  <c r="E57" i="20"/>
  <c r="E58" i="20"/>
  <c r="E59" i="20"/>
  <c r="E61" i="20"/>
  <c r="E63" i="20"/>
  <c r="E64" i="20"/>
  <c r="F70" i="20"/>
  <c r="H137" i="7"/>
  <c r="J44" i="20"/>
  <c r="H145" i="7"/>
  <c r="J52" i="20"/>
  <c r="H146" i="7"/>
  <c r="J53" i="20"/>
  <c r="H147" i="7"/>
  <c r="J54" i="20"/>
  <c r="H134" i="7"/>
  <c r="J41" i="20"/>
  <c r="H135" i="7"/>
  <c r="J42" i="20"/>
  <c r="H136" i="7"/>
  <c r="J43" i="20"/>
  <c r="H138" i="7"/>
  <c r="J45" i="20"/>
  <c r="H139" i="7"/>
  <c r="J46" i="20"/>
  <c r="H140" i="7"/>
  <c r="J47" i="20"/>
  <c r="H141" i="7"/>
  <c r="J48" i="20"/>
  <c r="H142" i="7"/>
  <c r="J49" i="20"/>
  <c r="H143" i="7"/>
  <c r="J50" i="20"/>
  <c r="H144" i="7"/>
  <c r="J51" i="20"/>
  <c r="H148" i="7"/>
  <c r="J55" i="20"/>
  <c r="H149" i="7"/>
  <c r="J56" i="20"/>
  <c r="H150" i="7"/>
  <c r="J57" i="20"/>
  <c r="J58" i="20"/>
  <c r="J59" i="20"/>
  <c r="J61" i="20"/>
  <c r="J63" i="20"/>
  <c r="J64" i="20"/>
  <c r="F71" i="20"/>
  <c r="I138" i="7"/>
  <c r="R45" i="20"/>
  <c r="I139" i="7"/>
  <c r="R46" i="20"/>
  <c r="I140" i="7"/>
  <c r="R47" i="20"/>
  <c r="I142" i="7"/>
  <c r="R49" i="20"/>
  <c r="I143" i="7"/>
  <c r="R50" i="20"/>
  <c r="I144" i="7"/>
  <c r="R51" i="20"/>
  <c r="I145" i="7"/>
  <c r="R52" i="20"/>
  <c r="I147" i="7"/>
  <c r="R54" i="20"/>
  <c r="I148" i="7"/>
  <c r="R55" i="20"/>
  <c r="I149" i="7"/>
  <c r="R56" i="20"/>
  <c r="I150" i="7"/>
  <c r="R57" i="20"/>
  <c r="R59" i="20"/>
  <c r="R58" i="20"/>
  <c r="R61" i="20"/>
  <c r="R63" i="20"/>
  <c r="E72" i="20"/>
  <c r="F72" i="20"/>
  <c r="F74" i="20"/>
  <c r="J124" i="11"/>
  <c r="G124" i="11"/>
  <c r="H124" i="11"/>
  <c r="J44" i="32"/>
  <c r="J132" i="11"/>
  <c r="G132" i="11"/>
  <c r="H132" i="11"/>
  <c r="J52" i="32"/>
  <c r="J133" i="11"/>
  <c r="G133" i="11"/>
  <c r="H133" i="11"/>
  <c r="J53" i="32"/>
  <c r="J134" i="11"/>
  <c r="G134" i="11"/>
  <c r="H134" i="11"/>
  <c r="J54" i="32"/>
  <c r="J121" i="11"/>
  <c r="G121" i="11"/>
  <c r="H121" i="11"/>
  <c r="J41" i="32"/>
  <c r="J122" i="11"/>
  <c r="G122" i="11"/>
  <c r="H122" i="11"/>
  <c r="J42" i="32"/>
  <c r="J123" i="11"/>
  <c r="G123" i="11"/>
  <c r="H123" i="11"/>
  <c r="J43" i="32"/>
  <c r="J125" i="11"/>
  <c r="G125" i="11"/>
  <c r="H125" i="11"/>
  <c r="J45" i="32"/>
  <c r="J126" i="11"/>
  <c r="G126" i="11"/>
  <c r="H126" i="11"/>
  <c r="J46" i="32"/>
  <c r="J127" i="11"/>
  <c r="G127" i="11"/>
  <c r="H127" i="11"/>
  <c r="J47" i="32"/>
  <c r="J128" i="11"/>
  <c r="G128" i="11"/>
  <c r="H128" i="11"/>
  <c r="J48" i="32"/>
  <c r="J129" i="11"/>
  <c r="G129" i="11"/>
  <c r="H129" i="11"/>
  <c r="J49" i="32"/>
  <c r="J130" i="11"/>
  <c r="G130" i="11"/>
  <c r="H130" i="11"/>
  <c r="J50" i="32"/>
  <c r="J131" i="11"/>
  <c r="G131" i="11"/>
  <c r="H131" i="11"/>
  <c r="J51" i="32"/>
  <c r="J135" i="11"/>
  <c r="G135" i="11"/>
  <c r="H135" i="11"/>
  <c r="J55" i="32"/>
  <c r="J136" i="11"/>
  <c r="G136" i="11"/>
  <c r="H136" i="11"/>
  <c r="J56" i="32"/>
  <c r="J137" i="11"/>
  <c r="G137" i="11"/>
  <c r="H137" i="11"/>
  <c r="J57" i="32"/>
  <c r="J58" i="32"/>
  <c r="J59" i="32"/>
  <c r="S45" i="14"/>
  <c r="S46" i="14"/>
  <c r="S47" i="14"/>
  <c r="S49" i="14"/>
  <c r="S50" i="14"/>
  <c r="S51" i="14"/>
  <c r="S52" i="14"/>
  <c r="S54" i="14"/>
  <c r="S55" i="14"/>
  <c r="S56" i="14"/>
  <c r="S57" i="14"/>
  <c r="F44" i="14"/>
  <c r="F52" i="14"/>
  <c r="F53" i="14"/>
  <c r="F54" i="14"/>
  <c r="F41" i="14"/>
  <c r="F42" i="14"/>
  <c r="F43" i="14"/>
  <c r="F45" i="14"/>
  <c r="F46" i="14"/>
  <c r="F47" i="14"/>
  <c r="F48" i="14"/>
  <c r="F49" i="14"/>
  <c r="F50" i="14"/>
  <c r="F51" i="14"/>
  <c r="F55" i="14"/>
  <c r="F56" i="14"/>
  <c r="F57" i="14"/>
  <c r="F59" i="14"/>
  <c r="K44" i="14"/>
  <c r="K52" i="14"/>
  <c r="K53" i="14"/>
  <c r="K54" i="14"/>
  <c r="K41" i="14"/>
  <c r="K42" i="14"/>
  <c r="K43" i="14"/>
  <c r="K45" i="14"/>
  <c r="K46" i="14"/>
  <c r="K47" i="14"/>
  <c r="K48" i="14"/>
  <c r="K49" i="14"/>
  <c r="K50" i="14"/>
  <c r="K51" i="14"/>
  <c r="K55" i="14"/>
  <c r="K56" i="14"/>
  <c r="K57" i="14"/>
  <c r="K59" i="14"/>
  <c r="F44" i="31"/>
  <c r="F52" i="31"/>
  <c r="F53" i="31"/>
  <c r="F54" i="31"/>
  <c r="F41" i="31"/>
  <c r="F42" i="31"/>
  <c r="F43" i="31"/>
  <c r="F45" i="31"/>
  <c r="F46" i="31"/>
  <c r="F47" i="31"/>
  <c r="F48" i="31"/>
  <c r="F49" i="31"/>
  <c r="F50" i="31"/>
  <c r="F51" i="31"/>
  <c r="F55" i="31"/>
  <c r="F56" i="31"/>
  <c r="F57" i="31"/>
  <c r="F58" i="31"/>
  <c r="F59" i="31"/>
  <c r="F61" i="31"/>
  <c r="F63" i="31"/>
  <c r="G70" i="31"/>
  <c r="K44" i="31"/>
  <c r="K52" i="31"/>
  <c r="K53" i="31"/>
  <c r="K54" i="31"/>
  <c r="K41" i="31"/>
  <c r="K42" i="31"/>
  <c r="K43" i="31"/>
  <c r="K45" i="31"/>
  <c r="K46" i="31"/>
  <c r="K47" i="31"/>
  <c r="K48" i="31"/>
  <c r="K49" i="31"/>
  <c r="K50" i="31"/>
  <c r="K51" i="31"/>
  <c r="K55" i="31"/>
  <c r="K56" i="31"/>
  <c r="K57" i="31"/>
  <c r="K58" i="31"/>
  <c r="K59" i="31"/>
  <c r="K61" i="31"/>
  <c r="S45" i="31"/>
  <c r="S46" i="31"/>
  <c r="S47" i="31"/>
  <c r="S49" i="31"/>
  <c r="S50" i="31"/>
  <c r="S51" i="31"/>
  <c r="S52" i="31"/>
  <c r="S54" i="31"/>
  <c r="S55" i="31"/>
  <c r="S56" i="31"/>
  <c r="S57" i="31"/>
  <c r="S59" i="31"/>
  <c r="S58" i="31"/>
  <c r="S61" i="31"/>
  <c r="S63" i="31"/>
  <c r="G72" i="31"/>
  <c r="F44" i="30"/>
  <c r="F52" i="30"/>
  <c r="F53" i="30"/>
  <c r="F54" i="30"/>
  <c r="F41" i="30"/>
  <c r="F42" i="30"/>
  <c r="F43" i="30"/>
  <c r="F45" i="30"/>
  <c r="F46" i="30"/>
  <c r="F47" i="30"/>
  <c r="F48" i="30"/>
  <c r="F49" i="30"/>
  <c r="F50" i="30"/>
  <c r="F51" i="30"/>
  <c r="F55" i="30"/>
  <c r="F56" i="30"/>
  <c r="F57" i="30"/>
  <c r="F58" i="30"/>
  <c r="F59" i="30"/>
  <c r="F61" i="30"/>
  <c r="F63" i="30"/>
  <c r="G70" i="30"/>
  <c r="K44" i="30"/>
  <c r="K52" i="30"/>
  <c r="K53" i="30"/>
  <c r="K54" i="30"/>
  <c r="K41" i="30"/>
  <c r="K42" i="30"/>
  <c r="K43" i="30"/>
  <c r="K45" i="30"/>
  <c r="K46" i="30"/>
  <c r="K47" i="30"/>
  <c r="K48" i="30"/>
  <c r="K49" i="30"/>
  <c r="K50" i="30"/>
  <c r="K51" i="30"/>
  <c r="K55" i="30"/>
  <c r="K56" i="30"/>
  <c r="K57" i="30"/>
  <c r="K58" i="30"/>
  <c r="K59" i="30"/>
  <c r="K61" i="30"/>
  <c r="K63" i="30"/>
  <c r="G71" i="30"/>
  <c r="S45" i="30"/>
  <c r="S46" i="30"/>
  <c r="S47" i="30"/>
  <c r="S49" i="30"/>
  <c r="S50" i="30"/>
  <c r="S51" i="30"/>
  <c r="S52" i="30"/>
  <c r="S54" i="30"/>
  <c r="S55" i="30"/>
  <c r="S56" i="30"/>
  <c r="S57" i="30"/>
  <c r="S59" i="30"/>
  <c r="S58" i="30"/>
  <c r="S61" i="30"/>
  <c r="S63" i="30"/>
  <c r="G72" i="30"/>
  <c r="G74" i="30"/>
  <c r="F44" i="28"/>
  <c r="F52" i="28"/>
  <c r="F53" i="28"/>
  <c r="F54" i="28"/>
  <c r="F41" i="28"/>
  <c r="F42" i="28"/>
  <c r="F43" i="28"/>
  <c r="F45" i="28"/>
  <c r="F46" i="28"/>
  <c r="F47" i="28"/>
  <c r="F48" i="28"/>
  <c r="F49" i="28"/>
  <c r="F50" i="28"/>
  <c r="F51" i="28"/>
  <c r="F55" i="28"/>
  <c r="F56" i="28"/>
  <c r="F57" i="28"/>
  <c r="F58" i="28"/>
  <c r="F59" i="28"/>
  <c r="F61" i="28"/>
  <c r="F63" i="28"/>
  <c r="G70" i="28"/>
  <c r="K44" i="28"/>
  <c r="K52" i="28"/>
  <c r="K53" i="28"/>
  <c r="K54" i="28"/>
  <c r="K41" i="28"/>
  <c r="K42" i="28"/>
  <c r="K43" i="28"/>
  <c r="K45" i="28"/>
  <c r="K46" i="28"/>
  <c r="K47" i="28"/>
  <c r="K48" i="28"/>
  <c r="K49" i="28"/>
  <c r="K50" i="28"/>
  <c r="K51" i="28"/>
  <c r="K55" i="28"/>
  <c r="K56" i="28"/>
  <c r="K57" i="28"/>
  <c r="K58" i="28"/>
  <c r="K59" i="28"/>
  <c r="K61" i="28"/>
  <c r="K63" i="28"/>
  <c r="G71" i="28"/>
  <c r="S45" i="28"/>
  <c r="S46" i="28"/>
  <c r="S47" i="28"/>
  <c r="S49" i="28"/>
  <c r="S50" i="28"/>
  <c r="S51" i="28"/>
  <c r="S52" i="28"/>
  <c r="S54" i="28"/>
  <c r="S55" i="28"/>
  <c r="S56" i="28"/>
  <c r="S57" i="28"/>
  <c r="S59" i="28"/>
  <c r="S58" i="28"/>
  <c r="S61" i="28"/>
  <c r="S63" i="28"/>
  <c r="G72" i="28"/>
  <c r="G74" i="28"/>
  <c r="F44" i="27"/>
  <c r="F52" i="27"/>
  <c r="F53" i="27"/>
  <c r="F54" i="27"/>
  <c r="F41" i="27"/>
  <c r="F42" i="27"/>
  <c r="F43" i="27"/>
  <c r="F45" i="27"/>
  <c r="F46" i="27"/>
  <c r="F47" i="27"/>
  <c r="F48" i="27"/>
  <c r="F49" i="27"/>
  <c r="F50" i="27"/>
  <c r="F51" i="27"/>
  <c r="F55" i="27"/>
  <c r="F56" i="27"/>
  <c r="F57" i="27"/>
  <c r="F58" i="27"/>
  <c r="F59" i="27"/>
  <c r="F61" i="27"/>
  <c r="F63" i="27"/>
  <c r="G70" i="27"/>
  <c r="K44" i="27"/>
  <c r="K52" i="27"/>
  <c r="K53" i="27"/>
  <c r="K54" i="27"/>
  <c r="K41" i="27"/>
  <c r="K42" i="27"/>
  <c r="K43" i="27"/>
  <c r="K45" i="27"/>
  <c r="K46" i="27"/>
  <c r="K47" i="27"/>
  <c r="K48" i="27"/>
  <c r="K49" i="27"/>
  <c r="K50" i="27"/>
  <c r="K51" i="27"/>
  <c r="K55" i="27"/>
  <c r="K56" i="27"/>
  <c r="K57" i="27"/>
  <c r="K58" i="27"/>
  <c r="K59" i="27"/>
  <c r="K61" i="27"/>
  <c r="K63" i="27"/>
  <c r="G71" i="27"/>
  <c r="S45" i="27"/>
  <c r="S46" i="27"/>
  <c r="S47" i="27"/>
  <c r="S49" i="27"/>
  <c r="S50" i="27"/>
  <c r="S51" i="27"/>
  <c r="S52" i="27"/>
  <c r="S54" i="27"/>
  <c r="S55" i="27"/>
  <c r="S56" i="27"/>
  <c r="S57" i="27"/>
  <c r="S59" i="27"/>
  <c r="S58" i="27"/>
  <c r="S61" i="27"/>
  <c r="S63" i="27"/>
  <c r="G72" i="27"/>
  <c r="G74" i="27"/>
  <c r="F44" i="4"/>
  <c r="F52" i="4"/>
  <c r="F53" i="4"/>
  <c r="F54" i="4"/>
  <c r="F41" i="4"/>
  <c r="F42" i="4"/>
  <c r="F43" i="4"/>
  <c r="F45" i="4"/>
  <c r="F46" i="4"/>
  <c r="F47" i="4"/>
  <c r="F48" i="4"/>
  <c r="F49" i="4"/>
  <c r="F50" i="4"/>
  <c r="F51" i="4"/>
  <c r="F55" i="4"/>
  <c r="F56" i="4"/>
  <c r="F57" i="4"/>
  <c r="F58" i="4"/>
  <c r="F59" i="4"/>
  <c r="F61" i="4"/>
  <c r="F63" i="4"/>
  <c r="G70" i="4"/>
  <c r="K44" i="4"/>
  <c r="K52" i="4"/>
  <c r="K53" i="4"/>
  <c r="K54" i="4"/>
  <c r="K41" i="4"/>
  <c r="K42" i="4"/>
  <c r="K43" i="4"/>
  <c r="K45" i="4"/>
  <c r="K46" i="4"/>
  <c r="K47" i="4"/>
  <c r="K48" i="4"/>
  <c r="K49" i="4"/>
  <c r="K50" i="4"/>
  <c r="K51" i="4"/>
  <c r="K55" i="4"/>
  <c r="K56" i="4"/>
  <c r="K57" i="4"/>
  <c r="K58" i="4"/>
  <c r="K59" i="4"/>
  <c r="K61" i="4"/>
  <c r="K63" i="4"/>
  <c r="G71" i="4"/>
  <c r="S45" i="4"/>
  <c r="S46" i="4"/>
  <c r="S47" i="4"/>
  <c r="S49" i="4"/>
  <c r="S50" i="4"/>
  <c r="S51" i="4"/>
  <c r="S52" i="4"/>
  <c r="S54" i="4"/>
  <c r="S55" i="4"/>
  <c r="S56" i="4"/>
  <c r="S57" i="4"/>
  <c r="S59" i="4"/>
  <c r="S58" i="4"/>
  <c r="S61" i="4"/>
  <c r="S63" i="4"/>
  <c r="G72" i="4"/>
  <c r="G74" i="4"/>
  <c r="F44" i="20"/>
  <c r="F52" i="20"/>
  <c r="F53" i="20"/>
  <c r="F54" i="20"/>
  <c r="F41" i="20"/>
  <c r="F42" i="20"/>
  <c r="F43" i="20"/>
  <c r="F45" i="20"/>
  <c r="F46" i="20"/>
  <c r="F47" i="20"/>
  <c r="F48" i="20"/>
  <c r="F49" i="20"/>
  <c r="F50" i="20"/>
  <c r="F51" i="20"/>
  <c r="F55" i="20"/>
  <c r="F56" i="20"/>
  <c r="F57" i="20"/>
  <c r="F58" i="20"/>
  <c r="F59" i="20"/>
  <c r="F61" i="20"/>
  <c r="F63" i="20"/>
  <c r="G70" i="20"/>
  <c r="K44" i="20"/>
  <c r="K52" i="20"/>
  <c r="K53" i="20"/>
  <c r="K54" i="20"/>
  <c r="K41" i="20"/>
  <c r="K42" i="20"/>
  <c r="K43" i="20"/>
  <c r="K45" i="20"/>
  <c r="K46" i="20"/>
  <c r="K47" i="20"/>
  <c r="K48" i="20"/>
  <c r="K49" i="20"/>
  <c r="K50" i="20"/>
  <c r="K51" i="20"/>
  <c r="K55" i="20"/>
  <c r="K56" i="20"/>
  <c r="K57" i="20"/>
  <c r="K58" i="20"/>
  <c r="K59" i="20"/>
  <c r="K61" i="20"/>
  <c r="K63" i="20"/>
  <c r="G71" i="20"/>
  <c r="S45" i="20"/>
  <c r="S46" i="20"/>
  <c r="S47" i="20"/>
  <c r="S49" i="20"/>
  <c r="S50" i="20"/>
  <c r="S51" i="20"/>
  <c r="S52" i="20"/>
  <c r="S54" i="20"/>
  <c r="S55" i="20"/>
  <c r="S56" i="20"/>
  <c r="S57" i="20"/>
  <c r="S59" i="20"/>
  <c r="S58" i="20"/>
  <c r="S61" i="20"/>
  <c r="S63" i="20"/>
  <c r="G72" i="20"/>
  <c r="G74" i="20"/>
  <c r="K44" i="32"/>
  <c r="K52" i="32"/>
  <c r="K53" i="32"/>
  <c r="K54" i="32"/>
  <c r="K41" i="32"/>
  <c r="K42" i="32"/>
  <c r="K43" i="32"/>
  <c r="K45" i="32"/>
  <c r="K46" i="32"/>
  <c r="K47" i="32"/>
  <c r="K48" i="32"/>
  <c r="K49" i="32"/>
  <c r="K50" i="32"/>
  <c r="K51" i="32"/>
  <c r="K55" i="32"/>
  <c r="K56" i="32"/>
  <c r="K57" i="32"/>
  <c r="K58" i="32"/>
  <c r="K59" i="32"/>
  <c r="G90" i="32"/>
  <c r="H90" i="32"/>
  <c r="E91" i="4"/>
  <c r="F91" i="4"/>
  <c r="D91" i="4"/>
  <c r="G91" i="4"/>
  <c r="H91" i="4"/>
  <c r="G90" i="4"/>
  <c r="H90" i="4"/>
  <c r="E91" i="14"/>
  <c r="F91" i="14"/>
  <c r="D91" i="14"/>
  <c r="G91" i="14"/>
  <c r="H91" i="14"/>
  <c r="G90" i="14"/>
  <c r="H90" i="14"/>
  <c r="E91" i="27"/>
  <c r="F91" i="27"/>
  <c r="D91" i="27"/>
  <c r="G91" i="27"/>
  <c r="H91" i="27"/>
  <c r="G90" i="27"/>
  <c r="H90" i="27"/>
  <c r="E91" i="28"/>
  <c r="F91" i="28"/>
  <c r="D91" i="28"/>
  <c r="G91" i="28"/>
  <c r="H91" i="28"/>
  <c r="G90" i="28"/>
  <c r="H90" i="28"/>
  <c r="E91" i="30"/>
  <c r="F91" i="30"/>
  <c r="D91" i="30"/>
  <c r="G91" i="30"/>
  <c r="H91" i="30"/>
  <c r="G90" i="30"/>
  <c r="H90" i="30"/>
  <c r="M16" i="32"/>
  <c r="E91" i="32"/>
  <c r="F91" i="32"/>
  <c r="D91" i="32"/>
  <c r="G91" i="32"/>
  <c r="H91" i="32"/>
  <c r="E91" i="31"/>
  <c r="F91" i="31"/>
  <c r="D91" i="31"/>
  <c r="G91" i="31"/>
  <c r="H91" i="31"/>
  <c r="G90" i="31"/>
  <c r="H90" i="31"/>
  <c r="E91" i="20"/>
  <c r="F91" i="20"/>
  <c r="D91" i="20"/>
  <c r="G91" i="20"/>
  <c r="H91" i="20"/>
  <c r="G90" i="20"/>
  <c r="H90" i="20"/>
  <c r="Q61" i="36"/>
  <c r="Q60" i="36"/>
  <c r="X220" i="11"/>
  <c r="Y220" i="11"/>
  <c r="W220" i="11"/>
  <c r="M37" i="32"/>
  <c r="J84" i="32"/>
  <c r="L84" i="32"/>
  <c r="Q62" i="36"/>
  <c r="H72" i="10"/>
  <c r="G72" i="10"/>
  <c r="H81" i="10"/>
  <c r="G81" i="10"/>
  <c r="I16" i="28"/>
  <c r="J16" i="28"/>
  <c r="L16" i="28"/>
  <c r="L21" i="28"/>
  <c r="I63" i="28"/>
  <c r="D71" i="28"/>
  <c r="D74" i="28"/>
  <c r="I198" i="11"/>
  <c r="I201" i="11"/>
  <c r="J198" i="11"/>
  <c r="J201" i="11"/>
  <c r="E89" i="20"/>
  <c r="F89" i="20"/>
  <c r="D89" i="20"/>
  <c r="G89" i="20"/>
  <c r="H89" i="20"/>
  <c r="E89" i="4"/>
  <c r="F89" i="4"/>
  <c r="D89" i="4"/>
  <c r="G89" i="4"/>
  <c r="H89" i="4"/>
  <c r="E89" i="14"/>
  <c r="F89" i="14"/>
  <c r="D89" i="14"/>
  <c r="G89" i="14"/>
  <c r="H89" i="14"/>
  <c r="L16" i="27"/>
  <c r="M16" i="27"/>
  <c r="E89" i="27"/>
  <c r="F89" i="27"/>
  <c r="D89" i="27"/>
  <c r="G89" i="27"/>
  <c r="H89" i="27"/>
  <c r="E89" i="28"/>
  <c r="F89" i="28"/>
  <c r="D89" i="28"/>
  <c r="G89" i="28"/>
  <c r="H89" i="28"/>
  <c r="E89" i="30"/>
  <c r="F89" i="30"/>
  <c r="D89" i="30"/>
  <c r="G89" i="30"/>
  <c r="H89" i="30"/>
  <c r="G89" i="32"/>
  <c r="H89" i="32"/>
  <c r="F89" i="32"/>
  <c r="G89" i="31"/>
  <c r="H89" i="31"/>
  <c r="F89" i="31"/>
  <c r="D89" i="31"/>
  <c r="H16" i="31"/>
  <c r="G16" i="31"/>
  <c r="G320" i="22"/>
  <c r="J16" i="31"/>
  <c r="F16" i="31"/>
  <c r="F17" i="31"/>
  <c r="F18" i="31"/>
  <c r="F19" i="31"/>
  <c r="F21" i="31"/>
  <c r="E16" i="31"/>
  <c r="E17" i="31"/>
  <c r="E18" i="31"/>
  <c r="E19" i="31"/>
  <c r="E21" i="31"/>
  <c r="O36" i="36"/>
  <c r="O37" i="36"/>
  <c r="O38" i="36"/>
  <c r="O39" i="36"/>
  <c r="N36" i="36"/>
  <c r="N37" i="36"/>
  <c r="N38" i="36"/>
  <c r="N39" i="36"/>
  <c r="E70" i="20"/>
  <c r="M36" i="36"/>
  <c r="E71" i="20"/>
  <c r="M37" i="36"/>
  <c r="M38" i="36"/>
  <c r="M39" i="36"/>
  <c r="L36" i="36"/>
  <c r="L37" i="36"/>
  <c r="L38" i="36"/>
  <c r="L39" i="36"/>
  <c r="O32" i="36"/>
  <c r="O33" i="36"/>
  <c r="O34" i="36"/>
  <c r="O35" i="36"/>
  <c r="N32" i="36"/>
  <c r="N33" i="36"/>
  <c r="N34" i="36"/>
  <c r="N35" i="36"/>
  <c r="E70" i="4"/>
  <c r="M32" i="36"/>
  <c r="E71" i="4"/>
  <c r="M33" i="36"/>
  <c r="M34" i="36"/>
  <c r="M35" i="36"/>
  <c r="L32" i="36"/>
  <c r="L33" i="36"/>
  <c r="L34" i="36"/>
  <c r="L35" i="36"/>
  <c r="O30" i="36"/>
  <c r="O28" i="36"/>
  <c r="O29" i="36"/>
  <c r="O31" i="36"/>
  <c r="N30" i="36"/>
  <c r="N28" i="36"/>
  <c r="N29" i="36"/>
  <c r="N31" i="36"/>
  <c r="M30" i="36"/>
  <c r="M28" i="36"/>
  <c r="M29" i="36"/>
  <c r="M31" i="36"/>
  <c r="L28" i="36"/>
  <c r="L29" i="36"/>
  <c r="L30" i="36"/>
  <c r="L31" i="36"/>
  <c r="O24" i="36"/>
  <c r="O25" i="36"/>
  <c r="O26" i="36"/>
  <c r="O27" i="36"/>
  <c r="N24" i="36"/>
  <c r="N25" i="36"/>
  <c r="N26" i="36"/>
  <c r="N27" i="36"/>
  <c r="E70" i="27"/>
  <c r="M24" i="36"/>
  <c r="E71" i="27"/>
  <c r="M25" i="36"/>
  <c r="M26" i="36"/>
  <c r="M27" i="36"/>
  <c r="L24" i="36"/>
  <c r="L25" i="36"/>
  <c r="L26" i="36"/>
  <c r="L27" i="36"/>
  <c r="O20" i="36"/>
  <c r="O21" i="36"/>
  <c r="O22" i="36"/>
  <c r="O23" i="36"/>
  <c r="N20" i="36"/>
  <c r="N21" i="36"/>
  <c r="N22" i="36"/>
  <c r="N23" i="36"/>
  <c r="E70" i="28"/>
  <c r="M20" i="36"/>
  <c r="E71" i="28"/>
  <c r="M21" i="36"/>
  <c r="M22" i="36"/>
  <c r="M23" i="36"/>
  <c r="L20" i="36"/>
  <c r="L21" i="36"/>
  <c r="L22" i="36"/>
  <c r="L23" i="36"/>
  <c r="O16" i="36"/>
  <c r="O17" i="36"/>
  <c r="O18" i="36"/>
  <c r="O19" i="36"/>
  <c r="N16" i="36"/>
  <c r="N17" i="36"/>
  <c r="N18" i="36"/>
  <c r="N19" i="36"/>
  <c r="E70" i="30"/>
  <c r="M16" i="36"/>
  <c r="E71" i="30"/>
  <c r="M17" i="36"/>
  <c r="M18" i="36"/>
  <c r="M19" i="36"/>
  <c r="L16" i="36"/>
  <c r="L17" i="36"/>
  <c r="L18" i="36"/>
  <c r="L19" i="36"/>
  <c r="F40" i="31"/>
  <c r="F37" i="31"/>
  <c r="F36" i="31"/>
  <c r="F26" i="31"/>
  <c r="F15" i="31"/>
  <c r="F11" i="31"/>
  <c r="I17" i="31"/>
  <c r="L17" i="31"/>
  <c r="I18" i="31"/>
  <c r="L18" i="31"/>
  <c r="L20" i="31"/>
  <c r="K36" i="31"/>
  <c r="I6" i="31"/>
  <c r="L6" i="31"/>
  <c r="I7" i="31"/>
  <c r="L7" i="31"/>
  <c r="I8" i="31"/>
  <c r="L8" i="31"/>
  <c r="L9" i="31"/>
  <c r="I10" i="31"/>
  <c r="L10" i="31"/>
  <c r="L11" i="31"/>
  <c r="I12" i="31"/>
  <c r="L12" i="31"/>
  <c r="I13" i="31"/>
  <c r="L13" i="31"/>
  <c r="I14" i="31"/>
  <c r="L14" i="31"/>
  <c r="L15" i="31"/>
  <c r="I23" i="31"/>
  <c r="I26" i="31"/>
  <c r="L23" i="31"/>
  <c r="L26" i="31"/>
  <c r="I37" i="31"/>
  <c r="L37" i="31"/>
  <c r="I38" i="31"/>
  <c r="L38" i="31"/>
  <c r="I39" i="31"/>
  <c r="L39" i="31"/>
  <c r="L40" i="31"/>
  <c r="I62" i="31"/>
  <c r="L62" i="31"/>
  <c r="P40" i="31"/>
  <c r="S40" i="31"/>
  <c r="P26" i="31"/>
  <c r="S26" i="31"/>
  <c r="P16" i="31"/>
  <c r="S16" i="31"/>
  <c r="P17" i="31"/>
  <c r="S17" i="31"/>
  <c r="P18" i="31"/>
  <c r="S18" i="31"/>
  <c r="P19" i="31"/>
  <c r="S19" i="31"/>
  <c r="S21" i="31"/>
  <c r="Y221" i="11"/>
  <c r="Y219" i="11"/>
  <c r="Y217" i="11"/>
  <c r="Y216" i="11"/>
  <c r="K61" i="32"/>
  <c r="O13" i="36"/>
  <c r="F44" i="32"/>
  <c r="F52" i="32"/>
  <c r="F53" i="32"/>
  <c r="F54" i="32"/>
  <c r="F41" i="32"/>
  <c r="F42" i="32"/>
  <c r="F43" i="32"/>
  <c r="F45" i="32"/>
  <c r="F46" i="32"/>
  <c r="F47" i="32"/>
  <c r="F48" i="32"/>
  <c r="F49" i="32"/>
  <c r="F50" i="32"/>
  <c r="F51" i="32"/>
  <c r="F55" i="32"/>
  <c r="F56" i="32"/>
  <c r="F57" i="32"/>
  <c r="F58" i="32"/>
  <c r="F59" i="32"/>
  <c r="F61" i="32"/>
  <c r="F63" i="32"/>
  <c r="G70" i="32"/>
  <c r="O12" i="36"/>
  <c r="I125" i="11"/>
  <c r="S45" i="32"/>
  <c r="I126" i="11"/>
  <c r="S46" i="32"/>
  <c r="I127" i="11"/>
  <c r="S47" i="32"/>
  <c r="I129" i="11"/>
  <c r="S49" i="32"/>
  <c r="I130" i="11"/>
  <c r="S50" i="32"/>
  <c r="I131" i="11"/>
  <c r="S51" i="32"/>
  <c r="I132" i="11"/>
  <c r="S52" i="32"/>
  <c r="I134" i="11"/>
  <c r="S54" i="32"/>
  <c r="I135" i="11"/>
  <c r="S55" i="32"/>
  <c r="I136" i="11"/>
  <c r="S56" i="32"/>
  <c r="I137" i="11"/>
  <c r="S57" i="32"/>
  <c r="S59" i="32"/>
  <c r="S58" i="32"/>
  <c r="S61" i="32"/>
  <c r="S63" i="32"/>
  <c r="G72" i="32"/>
  <c r="O14" i="36"/>
  <c r="O15" i="36"/>
  <c r="E60" i="31"/>
  <c r="E40" i="31"/>
  <c r="E37" i="31"/>
  <c r="E36" i="31"/>
  <c r="E26" i="31"/>
  <c r="E15" i="31"/>
  <c r="E11" i="31"/>
  <c r="J36" i="31"/>
  <c r="J60" i="31"/>
  <c r="O40" i="31"/>
  <c r="R40" i="31"/>
  <c r="O26" i="31"/>
  <c r="R26" i="31"/>
  <c r="O16" i="31"/>
  <c r="R16" i="31"/>
  <c r="O17" i="31"/>
  <c r="R17" i="31"/>
  <c r="O18" i="31"/>
  <c r="R18" i="31"/>
  <c r="O19" i="31"/>
  <c r="R19" i="31"/>
  <c r="R21" i="31"/>
  <c r="X221" i="11"/>
  <c r="X219" i="11"/>
  <c r="X217" i="11"/>
  <c r="X216" i="11"/>
  <c r="J61" i="32"/>
  <c r="N13" i="36"/>
  <c r="E44" i="32"/>
  <c r="E52" i="32"/>
  <c r="E53" i="32"/>
  <c r="E54" i="32"/>
  <c r="E41" i="32"/>
  <c r="E42" i="32"/>
  <c r="E43" i="32"/>
  <c r="E45" i="32"/>
  <c r="E46" i="32"/>
  <c r="E47" i="32"/>
  <c r="E48" i="32"/>
  <c r="E49" i="32"/>
  <c r="E50" i="32"/>
  <c r="E51" i="32"/>
  <c r="E55" i="32"/>
  <c r="E56" i="32"/>
  <c r="E57" i="32"/>
  <c r="E58" i="32"/>
  <c r="E59" i="32"/>
  <c r="E61" i="32"/>
  <c r="E63" i="32"/>
  <c r="E64" i="32"/>
  <c r="F70" i="32"/>
  <c r="N12" i="36"/>
  <c r="R45" i="32"/>
  <c r="R46" i="32"/>
  <c r="R47" i="32"/>
  <c r="R49" i="32"/>
  <c r="R50" i="32"/>
  <c r="R51" i="32"/>
  <c r="R52" i="32"/>
  <c r="R54" i="32"/>
  <c r="R55" i="32"/>
  <c r="R56" i="32"/>
  <c r="R57" i="32"/>
  <c r="R59" i="32"/>
  <c r="R58" i="32"/>
  <c r="R61" i="32"/>
  <c r="R63" i="32"/>
  <c r="E72" i="32"/>
  <c r="F72" i="32"/>
  <c r="N14" i="36"/>
  <c r="N15" i="36"/>
  <c r="M13" i="36"/>
  <c r="E70" i="32"/>
  <c r="M12" i="36"/>
  <c r="M14" i="36"/>
  <c r="M15" i="36"/>
  <c r="I36" i="31"/>
  <c r="G151" i="13"/>
  <c r="D16" i="31"/>
  <c r="D17" i="31"/>
  <c r="D18" i="31"/>
  <c r="D19" i="31"/>
  <c r="D21" i="31"/>
  <c r="D40" i="31"/>
  <c r="D37" i="31"/>
  <c r="D36" i="31"/>
  <c r="D26" i="31"/>
  <c r="D15" i="31"/>
  <c r="D11" i="31"/>
  <c r="D63" i="31"/>
  <c r="D70" i="31"/>
  <c r="N16" i="31"/>
  <c r="Q16" i="31"/>
  <c r="N17" i="31"/>
  <c r="Q17" i="31"/>
  <c r="N18" i="31"/>
  <c r="Q18" i="31"/>
  <c r="N19" i="31"/>
  <c r="Q19" i="31"/>
  <c r="Q21" i="31"/>
  <c r="N40" i="31"/>
  <c r="Q40" i="31"/>
  <c r="N26" i="31"/>
  <c r="Q26" i="31"/>
  <c r="Q63" i="31"/>
  <c r="D72" i="31"/>
  <c r="W221" i="11"/>
  <c r="W219" i="11"/>
  <c r="W217" i="11"/>
  <c r="W216" i="11"/>
  <c r="L13" i="36"/>
  <c r="L12" i="36"/>
  <c r="L14" i="36"/>
  <c r="L15" i="36"/>
  <c r="N8" i="36"/>
  <c r="N9" i="36"/>
  <c r="N10" i="36"/>
  <c r="N11" i="36"/>
  <c r="O8" i="36"/>
  <c r="O9" i="36"/>
  <c r="O10" i="36"/>
  <c r="O11" i="36"/>
  <c r="E70" i="31"/>
  <c r="M8" i="36"/>
  <c r="E71" i="31"/>
  <c r="M9" i="36"/>
  <c r="M10" i="36"/>
  <c r="M11" i="36"/>
  <c r="L9" i="36"/>
  <c r="L8" i="36"/>
  <c r="L10" i="36"/>
  <c r="L11" i="36"/>
  <c r="F128" i="36"/>
  <c r="F129" i="36"/>
  <c r="F81" i="36"/>
  <c r="F82" i="36"/>
  <c r="D51" i="36"/>
  <c r="G21" i="31"/>
  <c r="N21" i="31"/>
  <c r="N63" i="31"/>
  <c r="G11" i="31"/>
  <c r="G15" i="31"/>
  <c r="G26" i="31"/>
  <c r="G36" i="31"/>
  <c r="G37" i="31"/>
  <c r="G40" i="31"/>
  <c r="G52" i="31"/>
  <c r="G53" i="31"/>
  <c r="O21" i="31"/>
  <c r="O63" i="31"/>
  <c r="P21" i="31"/>
  <c r="P63" i="31"/>
  <c r="G52" i="30"/>
  <c r="G53" i="30"/>
  <c r="D93" i="30"/>
  <c r="G52" i="32"/>
  <c r="G53" i="32"/>
  <c r="G52" i="28"/>
  <c r="G53" i="28"/>
  <c r="D93" i="28"/>
  <c r="G52" i="27"/>
  <c r="G53" i="27"/>
  <c r="D93" i="27"/>
  <c r="G52" i="14"/>
  <c r="G53" i="14"/>
  <c r="D93" i="14"/>
  <c r="G52" i="4"/>
  <c r="G53" i="4"/>
  <c r="D93" i="4"/>
  <c r="G52" i="20"/>
  <c r="G53" i="20"/>
  <c r="G51" i="36"/>
  <c r="I41" i="13"/>
  <c r="G84" i="13"/>
  <c r="I56" i="13"/>
  <c r="I61" i="13"/>
  <c r="I65" i="13"/>
  <c r="I67" i="13"/>
  <c r="I34" i="13"/>
  <c r="I35" i="13"/>
  <c r="I36" i="13"/>
  <c r="I37" i="13"/>
  <c r="I38" i="13"/>
  <c r="I39" i="13"/>
  <c r="I40" i="13"/>
  <c r="I42" i="13"/>
  <c r="I43" i="13"/>
  <c r="I44" i="13"/>
  <c r="I45" i="13"/>
  <c r="I46" i="13"/>
  <c r="I47" i="13"/>
  <c r="I48" i="13"/>
  <c r="I49" i="13"/>
  <c r="I50" i="13"/>
  <c r="I51" i="13"/>
  <c r="I52" i="13"/>
  <c r="I53" i="13"/>
  <c r="I54" i="13"/>
  <c r="I55" i="13"/>
  <c r="I57" i="13"/>
  <c r="I58" i="13"/>
  <c r="I59" i="13"/>
  <c r="I60" i="13"/>
  <c r="I62" i="13"/>
  <c r="I63" i="13"/>
  <c r="I64" i="13"/>
  <c r="I66" i="13"/>
  <c r="I68" i="13"/>
  <c r="I69" i="13"/>
  <c r="I70" i="13"/>
  <c r="I71" i="13"/>
  <c r="G75" i="13"/>
  <c r="G76" i="13"/>
  <c r="G77" i="13"/>
  <c r="G78" i="13"/>
  <c r="G79" i="13"/>
  <c r="G80" i="13"/>
  <c r="G81" i="13"/>
  <c r="G82" i="13"/>
  <c r="G83" i="13"/>
  <c r="G85" i="13"/>
  <c r="H84" i="13"/>
  <c r="I476" i="22"/>
  <c r="G27" i="13"/>
  <c r="G29" i="13"/>
  <c r="G145" i="13"/>
  <c r="A149" i="37"/>
  <c r="C80" i="37"/>
  <c r="A184" i="37"/>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I458" i="22"/>
  <c r="I190" i="22"/>
  <c r="I223" i="22"/>
  <c r="I192" i="22"/>
  <c r="I225" i="22"/>
  <c r="I233" i="22"/>
  <c r="I186" i="22"/>
  <c r="I219" i="22"/>
  <c r="I228" i="22"/>
  <c r="I188" i="22"/>
  <c r="I221" i="22"/>
  <c r="I229" i="22"/>
  <c r="I189" i="22"/>
  <c r="I222" i="22"/>
  <c r="I230" i="22"/>
  <c r="I191" i="22"/>
  <c r="I224" i="22"/>
  <c r="I231" i="22"/>
  <c r="I187" i="22"/>
  <c r="I220" i="22"/>
  <c r="I232" i="22"/>
  <c r="I234" i="22"/>
  <c r="G167" i="22"/>
  <c r="L172" i="22"/>
  <c r="L182" i="22"/>
  <c r="L305" i="22"/>
  <c r="L314" i="22"/>
  <c r="H42" i="22"/>
  <c r="H36" i="8"/>
  <c r="G42" i="22"/>
  <c r="G36" i="8"/>
  <c r="I42" i="22"/>
  <c r="I36" i="8"/>
  <c r="L343" i="22"/>
  <c r="O40" i="14"/>
  <c r="R40" i="14"/>
  <c r="L304" i="22"/>
  <c r="L313" i="22"/>
  <c r="H39" i="22"/>
  <c r="H33" i="8"/>
  <c r="G39" i="22"/>
  <c r="G33" i="8"/>
  <c r="I39" i="22"/>
  <c r="I33" i="8"/>
  <c r="L342" i="22"/>
  <c r="O26" i="14"/>
  <c r="R26" i="14"/>
  <c r="L300" i="22"/>
  <c r="L309" i="22"/>
  <c r="H35" i="22"/>
  <c r="H29" i="8"/>
  <c r="G35" i="22"/>
  <c r="G29" i="8"/>
  <c r="I35" i="22"/>
  <c r="I29" i="8"/>
  <c r="L338" i="22"/>
  <c r="O16" i="14"/>
  <c r="R16" i="14"/>
  <c r="L301" i="22"/>
  <c r="L310" i="22"/>
  <c r="H36" i="22"/>
  <c r="H30" i="8"/>
  <c r="G36" i="22"/>
  <c r="G30" i="8"/>
  <c r="I36" i="22"/>
  <c r="I30" i="8"/>
  <c r="L339" i="22"/>
  <c r="O17" i="14"/>
  <c r="R17" i="14"/>
  <c r="L302" i="22"/>
  <c r="L311" i="22"/>
  <c r="H37" i="22"/>
  <c r="H31" i="8"/>
  <c r="G37" i="22"/>
  <c r="G31" i="8"/>
  <c r="I37" i="22"/>
  <c r="I31" i="8"/>
  <c r="L340" i="22"/>
  <c r="O18" i="14"/>
  <c r="R18" i="14"/>
  <c r="L303" i="22"/>
  <c r="L312" i="22"/>
  <c r="H38" i="22"/>
  <c r="H32" i="8"/>
  <c r="G38" i="22"/>
  <c r="G32" i="8"/>
  <c r="I38" i="22"/>
  <c r="I32" i="8"/>
  <c r="L341" i="22"/>
  <c r="O19" i="14"/>
  <c r="R19" i="14"/>
  <c r="R21" i="14"/>
  <c r="I459" i="22"/>
  <c r="G124" i="22"/>
  <c r="G131" i="22"/>
  <c r="H131" i="22"/>
  <c r="G132" i="22"/>
  <c r="H132" i="22"/>
  <c r="J147" i="22"/>
  <c r="H124" i="22"/>
  <c r="J149" i="22"/>
  <c r="J148" i="22"/>
  <c r="E60" i="14"/>
  <c r="H49" i="8"/>
  <c r="E40" i="14"/>
  <c r="H31" i="22"/>
  <c r="G147" i="22"/>
  <c r="G149" i="22"/>
  <c r="G148" i="22"/>
  <c r="G130" i="13"/>
  <c r="G121" i="13"/>
  <c r="G122" i="13"/>
  <c r="G123" i="13"/>
  <c r="G124" i="13"/>
  <c r="G125" i="13"/>
  <c r="G126" i="13"/>
  <c r="G127" i="13"/>
  <c r="G128" i="13"/>
  <c r="G129" i="13"/>
  <c r="G131" i="13"/>
  <c r="H130" i="13"/>
  <c r="H27" i="13"/>
  <c r="H29" i="13"/>
  <c r="H145" i="13"/>
  <c r="I178" i="11"/>
  <c r="I179" i="11"/>
  <c r="X181" i="11"/>
  <c r="X203" i="11"/>
  <c r="X204" i="11"/>
  <c r="X205" i="11"/>
  <c r="X206" i="11"/>
  <c r="X207" i="11"/>
  <c r="X208" i="11"/>
  <c r="X209" i="11"/>
  <c r="I186" i="11"/>
  <c r="X212" i="11"/>
  <c r="M343" i="22"/>
  <c r="P40" i="14"/>
  <c r="S40" i="14"/>
  <c r="M342" i="22"/>
  <c r="P26" i="14"/>
  <c r="S26" i="14"/>
  <c r="M338" i="22"/>
  <c r="P16" i="14"/>
  <c r="S16" i="14"/>
  <c r="M339" i="22"/>
  <c r="P17" i="14"/>
  <c r="S17" i="14"/>
  <c r="M340" i="22"/>
  <c r="P18" i="14"/>
  <c r="S18" i="14"/>
  <c r="M341" i="22"/>
  <c r="P19" i="14"/>
  <c r="S19" i="14"/>
  <c r="S21" i="14"/>
  <c r="I49" i="8"/>
  <c r="F40" i="14"/>
  <c r="I31" i="22"/>
  <c r="I130" i="13"/>
  <c r="I121" i="13"/>
  <c r="I122" i="13"/>
  <c r="I123" i="13"/>
  <c r="I124" i="13"/>
  <c r="I125" i="13"/>
  <c r="I126" i="13"/>
  <c r="I127" i="13"/>
  <c r="I128" i="13"/>
  <c r="I129" i="13"/>
  <c r="I131" i="13"/>
  <c r="J130" i="13"/>
  <c r="I27" i="13"/>
  <c r="I29" i="13"/>
  <c r="I145" i="13"/>
  <c r="J178" i="11"/>
  <c r="J179" i="11"/>
  <c r="Y181" i="11"/>
  <c r="Y203" i="11"/>
  <c r="Y204" i="11"/>
  <c r="Y205" i="11"/>
  <c r="Y206" i="11"/>
  <c r="Y207" i="11"/>
  <c r="Y208" i="11"/>
  <c r="Y209" i="11"/>
  <c r="J186" i="11"/>
  <c r="Y212" i="11"/>
  <c r="W181" i="11"/>
  <c r="W203" i="11"/>
  <c r="W204" i="11"/>
  <c r="W205" i="11"/>
  <c r="W206" i="11"/>
  <c r="W207" i="11"/>
  <c r="W208" i="11"/>
  <c r="W209" i="11"/>
  <c r="H186" i="11"/>
  <c r="H178" i="11"/>
  <c r="H179" i="11"/>
  <c r="W212" i="11"/>
  <c r="H149" i="22"/>
  <c r="J60" i="32"/>
  <c r="L61" i="32"/>
  <c r="L61" i="31"/>
  <c r="G218" i="13"/>
  <c r="G238" i="13"/>
  <c r="J218" i="13"/>
  <c r="J238" i="13"/>
  <c r="G219" i="13"/>
  <c r="G239" i="13"/>
  <c r="J219" i="13"/>
  <c r="J239" i="13"/>
  <c r="G217" i="13"/>
  <c r="G237" i="13"/>
  <c r="J217" i="13"/>
  <c r="J237" i="13"/>
  <c r="G164" i="13"/>
  <c r="G236" i="13"/>
  <c r="H164" i="13"/>
  <c r="H236" i="13"/>
  <c r="I164" i="13"/>
  <c r="I236" i="13"/>
  <c r="L36" i="31"/>
  <c r="G216" i="13"/>
  <c r="G235" i="13"/>
  <c r="G215" i="13"/>
  <c r="G234" i="13"/>
  <c r="J215" i="13"/>
  <c r="J234" i="13"/>
  <c r="J216" i="13"/>
  <c r="J235" i="13"/>
  <c r="G212" i="13"/>
  <c r="G231" i="13"/>
  <c r="J212" i="13"/>
  <c r="J231" i="13"/>
  <c r="G213" i="13"/>
  <c r="G232" i="13"/>
  <c r="J213" i="13"/>
  <c r="J232" i="13"/>
  <c r="G214" i="13"/>
  <c r="G233" i="13"/>
  <c r="J214" i="13"/>
  <c r="J233" i="13"/>
  <c r="G209" i="13"/>
  <c r="G228" i="13"/>
  <c r="J209" i="13"/>
  <c r="J228" i="13"/>
  <c r="G210" i="13"/>
  <c r="G229" i="13"/>
  <c r="J210" i="13"/>
  <c r="J229" i="13"/>
  <c r="G211" i="13"/>
  <c r="G230" i="13"/>
  <c r="J211" i="13"/>
  <c r="J230" i="13"/>
  <c r="G205" i="13"/>
  <c r="G224" i="13"/>
  <c r="J205" i="13"/>
  <c r="J224" i="13"/>
  <c r="G206" i="13"/>
  <c r="G225" i="13"/>
  <c r="J206" i="13"/>
  <c r="J225" i="13"/>
  <c r="G207" i="13"/>
  <c r="G226" i="13"/>
  <c r="J207" i="13"/>
  <c r="J226" i="13"/>
  <c r="G208" i="13"/>
  <c r="G227" i="13"/>
  <c r="J208" i="13"/>
  <c r="J227" i="13"/>
  <c r="G220" i="13"/>
  <c r="G240" i="13"/>
  <c r="J220" i="13"/>
  <c r="J240" i="13"/>
  <c r="L63" i="31"/>
  <c r="H71" i="31"/>
  <c r="K343" i="22"/>
  <c r="N40" i="14"/>
  <c r="Q40" i="14"/>
  <c r="T40" i="14"/>
  <c r="K342" i="22"/>
  <c r="N26" i="14"/>
  <c r="T26" i="14"/>
  <c r="K338" i="22"/>
  <c r="N16" i="14"/>
  <c r="K339" i="22"/>
  <c r="N17" i="14"/>
  <c r="K340" i="22"/>
  <c r="N18" i="14"/>
  <c r="K341" i="22"/>
  <c r="N19" i="14"/>
  <c r="N21" i="14"/>
  <c r="O21" i="14"/>
  <c r="P21" i="14"/>
  <c r="T21" i="14"/>
  <c r="T61" i="31"/>
  <c r="G61" i="31"/>
  <c r="L60" i="31"/>
  <c r="L64" i="31"/>
  <c r="I71" i="31"/>
  <c r="C360" i="36"/>
  <c r="C346" i="36"/>
  <c r="C345" i="36"/>
  <c r="L360" i="36"/>
  <c r="G28" i="11"/>
  <c r="G29" i="11"/>
  <c r="G31" i="11"/>
  <c r="G49" i="11"/>
  <c r="G62" i="11"/>
  <c r="D11" i="32"/>
  <c r="H29" i="11"/>
  <c r="H31" i="11"/>
  <c r="H49" i="11"/>
  <c r="H62" i="11"/>
  <c r="E11" i="32"/>
  <c r="I29" i="11"/>
  <c r="I31" i="11"/>
  <c r="I49" i="11"/>
  <c r="I62" i="11"/>
  <c r="F11" i="32"/>
  <c r="G11" i="32"/>
  <c r="G50" i="11"/>
  <c r="G63" i="11"/>
  <c r="D15" i="32"/>
  <c r="H50" i="11"/>
  <c r="H63" i="11"/>
  <c r="E15" i="32"/>
  <c r="I50" i="11"/>
  <c r="I63" i="11"/>
  <c r="F15" i="32"/>
  <c r="G15" i="32"/>
  <c r="G51" i="11"/>
  <c r="H75" i="13"/>
  <c r="G136" i="13"/>
  <c r="G149" i="13"/>
  <c r="H121" i="13"/>
  <c r="H136" i="13"/>
  <c r="H149" i="13"/>
  <c r="J121" i="13"/>
  <c r="I136" i="13"/>
  <c r="I149" i="13"/>
  <c r="H76" i="13"/>
  <c r="G137" i="13"/>
  <c r="G150" i="13"/>
  <c r="H122" i="13"/>
  <c r="H137" i="13"/>
  <c r="H150" i="13"/>
  <c r="J122" i="13"/>
  <c r="I137" i="13"/>
  <c r="I150" i="13"/>
  <c r="H77" i="13"/>
  <c r="G138" i="13"/>
  <c r="G29" i="7"/>
  <c r="G31" i="22"/>
  <c r="G58" i="3"/>
  <c r="G19" i="3"/>
  <c r="G30" i="3"/>
  <c r="G37" i="3"/>
  <c r="G72" i="3"/>
  <c r="G86" i="3"/>
  <c r="D11" i="4"/>
  <c r="H58" i="3"/>
  <c r="H19" i="3"/>
  <c r="H30" i="3"/>
  <c r="H37" i="3"/>
  <c r="H72" i="3"/>
  <c r="H86" i="3"/>
  <c r="E11" i="4"/>
  <c r="I58" i="3"/>
  <c r="I37" i="3"/>
  <c r="I72" i="3"/>
  <c r="I86" i="3"/>
  <c r="F11" i="4"/>
  <c r="G11" i="4"/>
  <c r="G59" i="3"/>
  <c r="G73" i="3"/>
  <c r="G87" i="3"/>
  <c r="D15" i="4"/>
  <c r="H59" i="3"/>
  <c r="H73" i="3"/>
  <c r="H87" i="3"/>
  <c r="E15" i="4"/>
  <c r="I59" i="3"/>
  <c r="I73" i="3"/>
  <c r="I87" i="3"/>
  <c r="F15" i="4"/>
  <c r="G15" i="4"/>
  <c r="G60" i="3"/>
  <c r="G74" i="3"/>
  <c r="D51" i="9"/>
  <c r="I48" i="9"/>
  <c r="G49" i="9"/>
  <c r="H49" i="9"/>
  <c r="I49" i="9"/>
  <c r="H50" i="9"/>
  <c r="I50" i="9"/>
  <c r="G51" i="9"/>
  <c r="H51" i="9"/>
  <c r="I51" i="9"/>
  <c r="I52" i="9"/>
  <c r="G53" i="9"/>
  <c r="H53" i="9"/>
  <c r="I53" i="9"/>
  <c r="G54" i="9"/>
  <c r="H54" i="9"/>
  <c r="I54" i="9"/>
  <c r="I55" i="9"/>
  <c r="I56" i="9"/>
  <c r="G57" i="9"/>
  <c r="I57" i="9"/>
  <c r="I58" i="9"/>
  <c r="G59" i="9"/>
  <c r="H59" i="9"/>
  <c r="I59" i="9"/>
  <c r="G60" i="9"/>
  <c r="H60" i="9"/>
  <c r="I60" i="9"/>
  <c r="I61" i="9"/>
  <c r="J48" i="9"/>
  <c r="G18" i="9"/>
  <c r="G36" i="9"/>
  <c r="G43" i="9"/>
  <c r="G118" i="9"/>
  <c r="G131" i="9"/>
  <c r="D11" i="27"/>
  <c r="H104" i="9"/>
  <c r="H105" i="9"/>
  <c r="H106" i="9"/>
  <c r="H107" i="9"/>
  <c r="H108" i="9"/>
  <c r="H109" i="9"/>
  <c r="H110" i="9"/>
  <c r="H111" i="9"/>
  <c r="H112" i="9"/>
  <c r="H113" i="9"/>
  <c r="H114" i="9"/>
  <c r="I104" i="9"/>
  <c r="H43" i="9"/>
  <c r="H118" i="9"/>
  <c r="H131" i="9"/>
  <c r="E11" i="27"/>
  <c r="J104" i="9"/>
  <c r="J105" i="9"/>
  <c r="J106" i="9"/>
  <c r="J107" i="9"/>
  <c r="J108" i="9"/>
  <c r="J109" i="9"/>
  <c r="J110" i="9"/>
  <c r="J111" i="9"/>
  <c r="J112" i="9"/>
  <c r="J113" i="9"/>
  <c r="J114" i="9"/>
  <c r="K104" i="9"/>
  <c r="I43" i="9"/>
  <c r="I118" i="9"/>
  <c r="I131" i="9"/>
  <c r="F11" i="27"/>
  <c r="G11" i="27"/>
  <c r="J49" i="9"/>
  <c r="G119" i="9"/>
  <c r="G132" i="9"/>
  <c r="D15" i="27"/>
  <c r="I105" i="9"/>
  <c r="H119" i="9"/>
  <c r="H132" i="9"/>
  <c r="E15" i="27"/>
  <c r="K105" i="9"/>
  <c r="I119" i="9"/>
  <c r="I132" i="9"/>
  <c r="F15" i="27"/>
  <c r="G15" i="27"/>
  <c r="J50" i="9"/>
  <c r="G120" i="9"/>
  <c r="G88" i="12"/>
  <c r="H88" i="12"/>
  <c r="I88" i="12"/>
  <c r="G89" i="12"/>
  <c r="H89" i="12"/>
  <c r="I89" i="12"/>
  <c r="G90" i="12"/>
  <c r="H90" i="12"/>
  <c r="I90" i="12"/>
  <c r="G91" i="12"/>
  <c r="H91" i="12"/>
  <c r="I91" i="12"/>
  <c r="G92" i="12"/>
  <c r="H92" i="12"/>
  <c r="I92" i="12"/>
  <c r="G93" i="12"/>
  <c r="I93" i="12"/>
  <c r="G94" i="12"/>
  <c r="H94" i="12"/>
  <c r="I94" i="12"/>
  <c r="G95" i="12"/>
  <c r="H95" i="12"/>
  <c r="I95" i="12"/>
  <c r="G96" i="12"/>
  <c r="H96" i="12"/>
  <c r="I96" i="12"/>
  <c r="G97" i="12"/>
  <c r="H97" i="12"/>
  <c r="I97" i="12"/>
  <c r="G98" i="12"/>
  <c r="H98" i="12"/>
  <c r="I98" i="12"/>
  <c r="I485" i="22"/>
  <c r="I478" i="22"/>
  <c r="I479" i="22"/>
  <c r="I480" i="22"/>
  <c r="I481" i="22"/>
  <c r="I482" i="22"/>
  <c r="I483" i="22"/>
  <c r="I484" i="22"/>
  <c r="G26" i="12"/>
  <c r="G33" i="12"/>
  <c r="K149" i="22"/>
  <c r="J60" i="4"/>
  <c r="L61" i="4"/>
  <c r="G172" i="3"/>
  <c r="I38" i="4"/>
  <c r="G173" i="3"/>
  <c r="I39" i="4"/>
  <c r="I40" i="4"/>
  <c r="H172" i="3"/>
  <c r="J38" i="4"/>
  <c r="H173" i="3"/>
  <c r="J39" i="4"/>
  <c r="J40" i="4"/>
  <c r="I172" i="3"/>
  <c r="K38" i="4"/>
  <c r="I173" i="3"/>
  <c r="K39" i="4"/>
  <c r="K40" i="4"/>
  <c r="L40" i="4"/>
  <c r="G171" i="3"/>
  <c r="I37" i="4"/>
  <c r="H171" i="3"/>
  <c r="J37" i="4"/>
  <c r="I171" i="3"/>
  <c r="K37" i="4"/>
  <c r="L37" i="4"/>
  <c r="G170" i="3"/>
  <c r="I36" i="4"/>
  <c r="H170" i="3"/>
  <c r="J36" i="4"/>
  <c r="I170" i="3"/>
  <c r="K36" i="4"/>
  <c r="L36" i="4"/>
  <c r="G166" i="3"/>
  <c r="I22" i="4"/>
  <c r="G167" i="3"/>
  <c r="I23" i="4"/>
  <c r="G168" i="3"/>
  <c r="I24" i="4"/>
  <c r="G169" i="3"/>
  <c r="I25" i="4"/>
  <c r="I26" i="4"/>
  <c r="H166" i="3"/>
  <c r="J22" i="4"/>
  <c r="H167" i="3"/>
  <c r="J23" i="4"/>
  <c r="H168" i="3"/>
  <c r="J24" i="4"/>
  <c r="H169" i="3"/>
  <c r="J25" i="4"/>
  <c r="J26" i="4"/>
  <c r="I166" i="3"/>
  <c r="K22" i="4"/>
  <c r="I167" i="3"/>
  <c r="K23" i="4"/>
  <c r="I168" i="3"/>
  <c r="K24" i="4"/>
  <c r="I169" i="3"/>
  <c r="K25" i="4"/>
  <c r="K26" i="4"/>
  <c r="L26" i="4"/>
  <c r="G162" i="3"/>
  <c r="I16" i="4"/>
  <c r="G163" i="3"/>
  <c r="I17" i="4"/>
  <c r="G164" i="3"/>
  <c r="I18" i="4"/>
  <c r="G165" i="3"/>
  <c r="I19" i="4"/>
  <c r="I21" i="4"/>
  <c r="H162" i="3"/>
  <c r="J16" i="4"/>
  <c r="H163" i="3"/>
  <c r="J17" i="4"/>
  <c r="H164" i="3"/>
  <c r="J18" i="4"/>
  <c r="H165" i="3"/>
  <c r="J19" i="4"/>
  <c r="J21" i="4"/>
  <c r="I162" i="3"/>
  <c r="K16" i="4"/>
  <c r="I163" i="3"/>
  <c r="K17" i="4"/>
  <c r="I164" i="3"/>
  <c r="K18" i="4"/>
  <c r="I165" i="3"/>
  <c r="K19" i="4"/>
  <c r="K21" i="4"/>
  <c r="L21" i="4"/>
  <c r="G159" i="3"/>
  <c r="I12" i="4"/>
  <c r="G160" i="3"/>
  <c r="I13" i="4"/>
  <c r="G161" i="3"/>
  <c r="I14" i="4"/>
  <c r="I15" i="4"/>
  <c r="H159" i="3"/>
  <c r="J12" i="4"/>
  <c r="H160" i="3"/>
  <c r="J13" i="4"/>
  <c r="H161" i="3"/>
  <c r="J14" i="4"/>
  <c r="J15" i="4"/>
  <c r="I159" i="3"/>
  <c r="K12" i="4"/>
  <c r="I160" i="3"/>
  <c r="K13" i="4"/>
  <c r="I161" i="3"/>
  <c r="K14" i="4"/>
  <c r="K15" i="4"/>
  <c r="L15" i="4"/>
  <c r="G154" i="3"/>
  <c r="I6" i="4"/>
  <c r="G155" i="3"/>
  <c r="I7" i="4"/>
  <c r="G156" i="3"/>
  <c r="I8" i="4"/>
  <c r="G157" i="3"/>
  <c r="I9" i="4"/>
  <c r="G158" i="3"/>
  <c r="I10" i="4"/>
  <c r="I11" i="4"/>
  <c r="H154" i="3"/>
  <c r="J6" i="4"/>
  <c r="H155" i="3"/>
  <c r="J7" i="4"/>
  <c r="H156" i="3"/>
  <c r="J8" i="4"/>
  <c r="H157" i="3"/>
  <c r="J9" i="4"/>
  <c r="H158" i="3"/>
  <c r="J10" i="4"/>
  <c r="J11" i="4"/>
  <c r="I154" i="3"/>
  <c r="K6" i="4"/>
  <c r="I155" i="3"/>
  <c r="K7" i="4"/>
  <c r="I156" i="3"/>
  <c r="K8" i="4"/>
  <c r="I157" i="3"/>
  <c r="K9" i="4"/>
  <c r="I158" i="3"/>
  <c r="K10" i="4"/>
  <c r="K11" i="4"/>
  <c r="L11" i="4"/>
  <c r="L63" i="4"/>
  <c r="H71" i="4"/>
  <c r="T61" i="4"/>
  <c r="G49" i="8"/>
  <c r="D40" i="14"/>
  <c r="G40" i="14"/>
  <c r="J60" i="14"/>
  <c r="I38" i="14"/>
  <c r="I39" i="14"/>
  <c r="I40" i="14"/>
  <c r="H102" i="8"/>
  <c r="H61" i="22"/>
  <c r="H46" i="22"/>
  <c r="H47" i="22"/>
  <c r="H48" i="22"/>
  <c r="H50" i="22"/>
  <c r="H51" i="22"/>
  <c r="H52" i="22"/>
  <c r="H53" i="22"/>
  <c r="H54" i="22"/>
  <c r="H55" i="22"/>
  <c r="H56" i="22"/>
  <c r="H57" i="22"/>
  <c r="H58" i="22"/>
  <c r="H59" i="22"/>
  <c r="H60" i="22"/>
  <c r="H62" i="22"/>
  <c r="H63" i="22"/>
  <c r="H64" i="22"/>
  <c r="H81" i="22"/>
  <c r="H71" i="22"/>
  <c r="H72" i="22"/>
  <c r="H73" i="22"/>
  <c r="H74" i="22"/>
  <c r="H79" i="22"/>
  <c r="I81" i="22"/>
  <c r="H100" i="8"/>
  <c r="J38" i="14"/>
  <c r="H82" i="22"/>
  <c r="I82" i="22"/>
  <c r="H101" i="8"/>
  <c r="J39" i="14"/>
  <c r="J40" i="14"/>
  <c r="K38" i="14"/>
  <c r="K39" i="14"/>
  <c r="K40" i="14"/>
  <c r="L40" i="14"/>
  <c r="G99" i="8"/>
  <c r="I37" i="14"/>
  <c r="H80" i="22"/>
  <c r="I80" i="22"/>
  <c r="H99" i="8"/>
  <c r="J37" i="14"/>
  <c r="K37" i="14"/>
  <c r="L37" i="14"/>
  <c r="G98" i="8"/>
  <c r="I36" i="14"/>
  <c r="H98" i="8"/>
  <c r="J36" i="14"/>
  <c r="K36" i="14"/>
  <c r="L36" i="14"/>
  <c r="G97" i="8"/>
  <c r="I26" i="14"/>
  <c r="H75" i="22"/>
  <c r="I75" i="22"/>
  <c r="H93" i="8"/>
  <c r="J22" i="14"/>
  <c r="H76" i="22"/>
  <c r="I76" i="22"/>
  <c r="H94" i="8"/>
  <c r="J23" i="14"/>
  <c r="H77" i="22"/>
  <c r="I77" i="22"/>
  <c r="H95" i="8"/>
  <c r="J24" i="14"/>
  <c r="I78" i="22"/>
  <c r="H96" i="8"/>
  <c r="J25" i="14"/>
  <c r="J26" i="14"/>
  <c r="K22" i="14"/>
  <c r="K23" i="14"/>
  <c r="K24" i="14"/>
  <c r="K25" i="14"/>
  <c r="K26" i="14"/>
  <c r="L26" i="14"/>
  <c r="G80" i="8"/>
  <c r="H80" i="8"/>
  <c r="G82" i="8"/>
  <c r="G92" i="8"/>
  <c r="I21" i="14"/>
  <c r="H82" i="8"/>
  <c r="H92" i="8"/>
  <c r="J21" i="14"/>
  <c r="K21" i="14"/>
  <c r="L21" i="14"/>
  <c r="G89" i="8"/>
  <c r="I12" i="14"/>
  <c r="G90" i="8"/>
  <c r="I13" i="14"/>
  <c r="I14" i="14"/>
  <c r="I15" i="14"/>
  <c r="H68" i="22"/>
  <c r="I68" i="22"/>
  <c r="H89" i="8"/>
  <c r="J12" i="14"/>
  <c r="H69" i="22"/>
  <c r="I69" i="22"/>
  <c r="H90" i="8"/>
  <c r="J13" i="14"/>
  <c r="H70" i="22"/>
  <c r="I70" i="22"/>
  <c r="H91" i="8"/>
  <c r="J14" i="14"/>
  <c r="J15" i="14"/>
  <c r="K12" i="14"/>
  <c r="K13" i="14"/>
  <c r="K14" i="14"/>
  <c r="K15" i="14"/>
  <c r="L15" i="14"/>
  <c r="I11" i="14"/>
  <c r="H67" i="22"/>
  <c r="I67" i="22"/>
  <c r="H88" i="8"/>
  <c r="J11" i="14"/>
  <c r="K11" i="14"/>
  <c r="L11" i="14"/>
  <c r="J60" i="27"/>
  <c r="L61" i="27"/>
  <c r="I38" i="27"/>
  <c r="L38" i="27"/>
  <c r="I39" i="27"/>
  <c r="L39" i="27"/>
  <c r="L40" i="27"/>
  <c r="I37" i="27"/>
  <c r="L37" i="27"/>
  <c r="I27" i="27"/>
  <c r="L27" i="27"/>
  <c r="I28" i="27"/>
  <c r="L28" i="27"/>
  <c r="I29" i="27"/>
  <c r="L29" i="27"/>
  <c r="L30" i="27"/>
  <c r="I31" i="27"/>
  <c r="L31" i="27"/>
  <c r="I32" i="27"/>
  <c r="L32" i="27"/>
  <c r="I33" i="27"/>
  <c r="L33" i="27"/>
  <c r="I34" i="27"/>
  <c r="L34" i="27"/>
  <c r="L35" i="27"/>
  <c r="L36" i="27"/>
  <c r="I22" i="27"/>
  <c r="L22" i="27"/>
  <c r="I23" i="27"/>
  <c r="L23" i="27"/>
  <c r="I24" i="27"/>
  <c r="L24" i="27"/>
  <c r="I25" i="27"/>
  <c r="L25" i="27"/>
  <c r="L26" i="27"/>
  <c r="I17" i="27"/>
  <c r="L17" i="27"/>
  <c r="I18" i="27"/>
  <c r="L18" i="27"/>
  <c r="I19" i="27"/>
  <c r="L19" i="27"/>
  <c r="L20" i="27"/>
  <c r="L21" i="27"/>
  <c r="I12" i="27"/>
  <c r="L12" i="27"/>
  <c r="I13" i="27"/>
  <c r="L13" i="27"/>
  <c r="I14" i="27"/>
  <c r="L14" i="27"/>
  <c r="L15" i="27"/>
  <c r="I6" i="27"/>
  <c r="L6" i="27"/>
  <c r="I7" i="27"/>
  <c r="L7" i="27"/>
  <c r="I8" i="27"/>
  <c r="L8" i="27"/>
  <c r="I9" i="27"/>
  <c r="L9" i="27"/>
  <c r="I10" i="27"/>
  <c r="L10" i="27"/>
  <c r="L11" i="27"/>
  <c r="L63" i="27"/>
  <c r="H71" i="27"/>
  <c r="T61" i="27"/>
  <c r="J60" i="28"/>
  <c r="L61" i="28"/>
  <c r="I38" i="28"/>
  <c r="L38" i="28"/>
  <c r="I39" i="28"/>
  <c r="L39" i="28"/>
  <c r="L40" i="28"/>
  <c r="I37" i="28"/>
  <c r="L37" i="28"/>
  <c r="G63" i="10"/>
  <c r="I36" i="28"/>
  <c r="H63" i="10"/>
  <c r="J36" i="28"/>
  <c r="I63" i="10"/>
  <c r="K36" i="28"/>
  <c r="L36" i="28"/>
  <c r="I26" i="28"/>
  <c r="L26" i="28"/>
  <c r="I17" i="28"/>
  <c r="L17" i="28"/>
  <c r="I18" i="28"/>
  <c r="L18" i="28"/>
  <c r="I19" i="28"/>
  <c r="L19" i="28"/>
  <c r="L20" i="28"/>
  <c r="I15" i="28"/>
  <c r="L15" i="28"/>
  <c r="I11" i="28"/>
  <c r="L11" i="28"/>
  <c r="L63" i="28"/>
  <c r="H71" i="28"/>
  <c r="T61" i="28"/>
  <c r="I149" i="22"/>
  <c r="J60" i="30"/>
  <c r="L61" i="30"/>
  <c r="I40" i="30"/>
  <c r="J40" i="30"/>
  <c r="K40" i="30"/>
  <c r="L40" i="30"/>
  <c r="I37" i="30"/>
  <c r="J37" i="30"/>
  <c r="K37" i="30"/>
  <c r="L37" i="30"/>
  <c r="I27" i="30"/>
  <c r="I28" i="30"/>
  <c r="I29" i="30"/>
  <c r="I36" i="30"/>
  <c r="J27" i="30"/>
  <c r="J28" i="30"/>
  <c r="J29" i="30"/>
  <c r="J36" i="30"/>
  <c r="K27" i="30"/>
  <c r="K28" i="30"/>
  <c r="K29" i="30"/>
  <c r="K36" i="30"/>
  <c r="L36" i="30"/>
  <c r="I26" i="30"/>
  <c r="J22" i="30"/>
  <c r="J23" i="30"/>
  <c r="J26" i="30"/>
  <c r="K22" i="30"/>
  <c r="K23" i="30"/>
  <c r="K26" i="30"/>
  <c r="L26" i="30"/>
  <c r="I21" i="30"/>
  <c r="J21" i="30"/>
  <c r="K21" i="30"/>
  <c r="L21" i="30"/>
  <c r="I12" i="30"/>
  <c r="I13" i="30"/>
  <c r="I14" i="30"/>
  <c r="I15" i="30"/>
  <c r="J12" i="30"/>
  <c r="J13" i="30"/>
  <c r="J14" i="30"/>
  <c r="J15" i="30"/>
  <c r="K12" i="30"/>
  <c r="K13" i="30"/>
  <c r="K14" i="30"/>
  <c r="K15" i="30"/>
  <c r="L15" i="30"/>
  <c r="I11" i="30"/>
  <c r="J11" i="30"/>
  <c r="K11" i="30"/>
  <c r="L11" i="30"/>
  <c r="L63" i="30"/>
  <c r="H71" i="30"/>
  <c r="T61" i="30"/>
  <c r="G223" i="22"/>
  <c r="G225" i="22"/>
  <c r="G233" i="22"/>
  <c r="G219" i="22"/>
  <c r="G228" i="22"/>
  <c r="G221" i="22"/>
  <c r="G229" i="22"/>
  <c r="G222" i="22"/>
  <c r="G230" i="22"/>
  <c r="G224" i="22"/>
  <c r="G231" i="22"/>
  <c r="G220" i="22"/>
  <c r="G232" i="22"/>
  <c r="G234" i="22"/>
  <c r="I172" i="22"/>
  <c r="I182" i="22"/>
  <c r="I305" i="22"/>
  <c r="I314" i="22"/>
  <c r="G46" i="12"/>
  <c r="H33" i="12"/>
  <c r="H46" i="12"/>
  <c r="I33" i="12"/>
  <c r="I46" i="12"/>
  <c r="G334" i="22"/>
  <c r="N40" i="30"/>
  <c r="Q40" i="30"/>
  <c r="H334" i="22"/>
  <c r="O40" i="30"/>
  <c r="R40" i="30"/>
  <c r="I334" i="22"/>
  <c r="P40" i="30"/>
  <c r="S40" i="30"/>
  <c r="T40" i="30"/>
  <c r="I304" i="22"/>
  <c r="I313" i="22"/>
  <c r="G43" i="12"/>
  <c r="H43" i="12"/>
  <c r="I43" i="12"/>
  <c r="G333" i="22"/>
  <c r="N26" i="30"/>
  <c r="H333" i="22"/>
  <c r="O26" i="30"/>
  <c r="I333" i="22"/>
  <c r="P26" i="30"/>
  <c r="T26" i="30"/>
  <c r="I300" i="22"/>
  <c r="I309" i="22"/>
  <c r="G39" i="12"/>
  <c r="H39" i="12"/>
  <c r="I39" i="12"/>
  <c r="G329" i="22"/>
  <c r="N16" i="30"/>
  <c r="I301" i="22"/>
  <c r="I310" i="22"/>
  <c r="G40" i="12"/>
  <c r="H40" i="12"/>
  <c r="I40" i="12"/>
  <c r="G330" i="22"/>
  <c r="N17" i="30"/>
  <c r="I302" i="22"/>
  <c r="I311" i="22"/>
  <c r="G41" i="12"/>
  <c r="H41" i="12"/>
  <c r="I41" i="12"/>
  <c r="G331" i="22"/>
  <c r="N18" i="30"/>
  <c r="I303" i="22"/>
  <c r="I312" i="22"/>
  <c r="G42" i="12"/>
  <c r="H42" i="12"/>
  <c r="I42" i="12"/>
  <c r="G332" i="22"/>
  <c r="N19" i="30"/>
  <c r="N21" i="30"/>
  <c r="H329" i="22"/>
  <c r="O16" i="30"/>
  <c r="H330" i="22"/>
  <c r="O17" i="30"/>
  <c r="H331" i="22"/>
  <c r="O18" i="30"/>
  <c r="H332" i="22"/>
  <c r="O19" i="30"/>
  <c r="O21" i="30"/>
  <c r="I329" i="22"/>
  <c r="P16" i="30"/>
  <c r="I330" i="22"/>
  <c r="P17" i="30"/>
  <c r="I331" i="22"/>
  <c r="P18" i="30"/>
  <c r="I332" i="22"/>
  <c r="P19" i="30"/>
  <c r="P21" i="30"/>
  <c r="T21" i="30"/>
  <c r="T63" i="30"/>
  <c r="H72" i="30"/>
  <c r="I147" i="22"/>
  <c r="I148" i="22"/>
  <c r="E60" i="30"/>
  <c r="G61" i="30"/>
  <c r="G59" i="12"/>
  <c r="D40" i="30"/>
  <c r="H59" i="12"/>
  <c r="E40" i="30"/>
  <c r="I59" i="12"/>
  <c r="F40" i="30"/>
  <c r="G40" i="30"/>
  <c r="H147" i="22"/>
  <c r="H148" i="22"/>
  <c r="E60" i="32"/>
  <c r="G61" i="32"/>
  <c r="G58" i="11"/>
  <c r="G58" i="20"/>
  <c r="G59" i="20"/>
  <c r="L58" i="20"/>
  <c r="L59" i="20"/>
  <c r="T58" i="20"/>
  <c r="T59" i="20"/>
  <c r="I134" i="7"/>
  <c r="I135" i="7"/>
  <c r="I136" i="7"/>
  <c r="I137" i="7"/>
  <c r="I141" i="7"/>
  <c r="I146" i="7"/>
  <c r="X61" i="20"/>
  <c r="G59" i="14"/>
  <c r="L59" i="14"/>
  <c r="I112" i="8"/>
  <c r="I113" i="8"/>
  <c r="I114" i="8"/>
  <c r="I115" i="8"/>
  <c r="I119" i="8"/>
  <c r="I124" i="8"/>
  <c r="X61" i="14"/>
  <c r="G58" i="28"/>
  <c r="G59" i="28"/>
  <c r="L58" i="28"/>
  <c r="L59" i="28"/>
  <c r="T58" i="28"/>
  <c r="T59" i="28"/>
  <c r="I104" i="10"/>
  <c r="I105" i="10"/>
  <c r="I106" i="10"/>
  <c r="I107" i="10"/>
  <c r="I111" i="10"/>
  <c r="I116" i="10"/>
  <c r="X61" i="28"/>
  <c r="G58" i="30"/>
  <c r="G59" i="30"/>
  <c r="L58" i="30"/>
  <c r="L59" i="30"/>
  <c r="T58" i="30"/>
  <c r="T59" i="30"/>
  <c r="I108" i="12"/>
  <c r="I109" i="12"/>
  <c r="I110" i="12"/>
  <c r="I111" i="12"/>
  <c r="I115" i="12"/>
  <c r="I120" i="12"/>
  <c r="X61" i="30"/>
  <c r="O150" i="7"/>
  <c r="O149" i="7"/>
  <c r="O148" i="7"/>
  <c r="O147" i="7"/>
  <c r="O146" i="7"/>
  <c r="O145" i="7"/>
  <c r="O144" i="7"/>
  <c r="O143" i="7"/>
  <c r="O142" i="7"/>
  <c r="O141" i="7"/>
  <c r="O140" i="7"/>
  <c r="O139" i="7"/>
  <c r="O138" i="7"/>
  <c r="O137" i="7"/>
  <c r="O136" i="7"/>
  <c r="O135" i="7"/>
  <c r="O134" i="7"/>
  <c r="O204" i="3"/>
  <c r="O203" i="3"/>
  <c r="O202" i="3"/>
  <c r="O201" i="3"/>
  <c r="I200" i="3"/>
  <c r="O200" i="3"/>
  <c r="O199" i="3"/>
  <c r="O198" i="3"/>
  <c r="O197" i="3"/>
  <c r="O196" i="3"/>
  <c r="I195" i="3"/>
  <c r="O195" i="3"/>
  <c r="O194" i="3"/>
  <c r="O193" i="3"/>
  <c r="O192" i="3"/>
  <c r="I191" i="3"/>
  <c r="O191" i="3"/>
  <c r="I190" i="3"/>
  <c r="O190" i="3"/>
  <c r="I189" i="3"/>
  <c r="O189" i="3"/>
  <c r="I188" i="3"/>
  <c r="O188" i="3"/>
  <c r="O128" i="8"/>
  <c r="O127" i="8"/>
  <c r="O126" i="8"/>
  <c r="O125" i="8"/>
  <c r="O124" i="8"/>
  <c r="O123" i="8"/>
  <c r="O122" i="8"/>
  <c r="O121" i="8"/>
  <c r="O120" i="8"/>
  <c r="O119" i="8"/>
  <c r="O118" i="8"/>
  <c r="O117" i="8"/>
  <c r="O116" i="8"/>
  <c r="O115" i="8"/>
  <c r="O114" i="8"/>
  <c r="O113" i="8"/>
  <c r="O112" i="8"/>
  <c r="O120" i="10"/>
  <c r="O119" i="10"/>
  <c r="O118" i="10"/>
  <c r="O117" i="10"/>
  <c r="O116" i="10"/>
  <c r="O115" i="10"/>
  <c r="O114" i="10"/>
  <c r="O113" i="10"/>
  <c r="O112" i="10"/>
  <c r="O111" i="10"/>
  <c r="O110" i="10"/>
  <c r="O109" i="10"/>
  <c r="O108" i="10"/>
  <c r="O107" i="10"/>
  <c r="O106" i="10"/>
  <c r="O105" i="10"/>
  <c r="O104" i="10"/>
  <c r="O124" i="12"/>
  <c r="O123" i="12"/>
  <c r="O122" i="12"/>
  <c r="O121" i="12"/>
  <c r="O120" i="12"/>
  <c r="O119" i="12"/>
  <c r="O118" i="12"/>
  <c r="O117" i="12"/>
  <c r="O116" i="12"/>
  <c r="O115" i="12"/>
  <c r="O114" i="12"/>
  <c r="O113" i="12"/>
  <c r="O112" i="12"/>
  <c r="O111" i="12"/>
  <c r="O110" i="12"/>
  <c r="O109" i="12"/>
  <c r="O108" i="12"/>
  <c r="J272" i="13"/>
  <c r="O272" i="13"/>
  <c r="O137" i="11"/>
  <c r="O136" i="11"/>
  <c r="O135" i="11"/>
  <c r="O134" i="11"/>
  <c r="I133" i="11"/>
  <c r="O133" i="11"/>
  <c r="O132" i="11"/>
  <c r="O131" i="11"/>
  <c r="O130" i="11"/>
  <c r="O129" i="11"/>
  <c r="I128" i="11"/>
  <c r="O128" i="11"/>
  <c r="O127" i="11"/>
  <c r="O126" i="11"/>
  <c r="O125" i="11"/>
  <c r="I124" i="11"/>
  <c r="O124" i="11"/>
  <c r="I123" i="11"/>
  <c r="O123" i="11"/>
  <c r="I122" i="11"/>
  <c r="O122" i="11"/>
  <c r="I121" i="11"/>
  <c r="O121" i="11"/>
  <c r="I256" i="13"/>
  <c r="O256" i="13"/>
  <c r="I257" i="13"/>
  <c r="O257" i="13"/>
  <c r="I258" i="13"/>
  <c r="O258" i="13"/>
  <c r="O259" i="13"/>
  <c r="O260" i="13"/>
  <c r="O261" i="13"/>
  <c r="I262" i="13"/>
  <c r="O262" i="13"/>
  <c r="O263" i="13"/>
  <c r="O264" i="13"/>
  <c r="O265" i="13"/>
  <c r="O266" i="13"/>
  <c r="I267" i="13"/>
  <c r="O267" i="13"/>
  <c r="O268" i="13"/>
  <c r="O269" i="13"/>
  <c r="O270" i="13"/>
  <c r="O271" i="13"/>
  <c r="I255" i="13"/>
  <c r="O255" i="13"/>
  <c r="G58" i="27"/>
  <c r="G59" i="27"/>
  <c r="L58" i="27"/>
  <c r="L59" i="27"/>
  <c r="T58" i="27"/>
  <c r="T59" i="27"/>
  <c r="I209" i="9"/>
  <c r="I210" i="9"/>
  <c r="I211" i="9"/>
  <c r="I212" i="9"/>
  <c r="I216" i="9"/>
  <c r="I221" i="9"/>
  <c r="X61" i="27"/>
  <c r="O224" i="9"/>
  <c r="O225" i="9"/>
  <c r="L46" i="27"/>
  <c r="L54" i="27"/>
  <c r="L56" i="27"/>
  <c r="G56" i="27"/>
  <c r="L60" i="27"/>
  <c r="L64" i="27"/>
  <c r="L65" i="27"/>
  <c r="J71" i="27"/>
  <c r="E60" i="27"/>
  <c r="G61" i="27"/>
  <c r="J57" i="9"/>
  <c r="G127" i="9"/>
  <c r="J25" i="36"/>
  <c r="I71" i="27"/>
  <c r="I113" i="9"/>
  <c r="H127" i="9"/>
  <c r="H177" i="9"/>
  <c r="I93" i="22"/>
  <c r="H93" i="22"/>
  <c r="J93" i="22"/>
  <c r="I94" i="22"/>
  <c r="H244" i="13"/>
  <c r="I177" i="9"/>
  <c r="K113" i="9"/>
  <c r="I127" i="9"/>
  <c r="J94" i="22"/>
  <c r="I244" i="13"/>
  <c r="E81" i="31"/>
  <c r="G60" i="31"/>
  <c r="D87" i="31"/>
  <c r="G60" i="32"/>
  <c r="D87" i="32"/>
  <c r="G60" i="30"/>
  <c r="D87" i="30"/>
  <c r="E60" i="28"/>
  <c r="G60" i="28"/>
  <c r="D87" i="28"/>
  <c r="G60" i="27"/>
  <c r="D87" i="27"/>
  <c r="G60" i="14"/>
  <c r="D87" i="14"/>
  <c r="K147" i="22"/>
  <c r="K148" i="22"/>
  <c r="E60" i="4"/>
  <c r="G60" i="4"/>
  <c r="D87" i="4"/>
  <c r="L147" i="22"/>
  <c r="L149" i="22"/>
  <c r="L148" i="22"/>
  <c r="E60" i="20"/>
  <c r="G60" i="20"/>
  <c r="D87" i="20"/>
  <c r="Y232" i="36"/>
  <c r="E87" i="31"/>
  <c r="L60" i="32"/>
  <c r="E87" i="32"/>
  <c r="L60" i="30"/>
  <c r="E87" i="30"/>
  <c r="L60" i="28"/>
  <c r="E87" i="28"/>
  <c r="E87" i="27"/>
  <c r="L60" i="14"/>
  <c r="E87" i="14"/>
  <c r="L60" i="4"/>
  <c r="E87" i="4"/>
  <c r="J60" i="20"/>
  <c r="L60" i="20"/>
  <c r="E87" i="20"/>
  <c r="Y233" i="36"/>
  <c r="Y234" i="36"/>
  <c r="Q232" i="36"/>
  <c r="Q233" i="36"/>
  <c r="Q234" i="36"/>
  <c r="Z234" i="36"/>
  <c r="Z233" i="36"/>
  <c r="Z232" i="36"/>
  <c r="D86" i="27"/>
  <c r="G58" i="31"/>
  <c r="G59" i="31"/>
  <c r="D86" i="31"/>
  <c r="G58" i="32"/>
  <c r="G59" i="32"/>
  <c r="D86" i="32"/>
  <c r="H58" i="30"/>
  <c r="H59" i="30"/>
  <c r="D86" i="30"/>
  <c r="D86" i="28"/>
  <c r="G59" i="4"/>
  <c r="D86" i="4"/>
  <c r="D86" i="20"/>
  <c r="Y228" i="36"/>
  <c r="E86" i="27"/>
  <c r="L58" i="31"/>
  <c r="L59" i="31"/>
  <c r="E86" i="31"/>
  <c r="E86" i="30"/>
  <c r="L58" i="32"/>
  <c r="L59" i="32"/>
  <c r="E86" i="32"/>
  <c r="E86" i="28"/>
  <c r="L58" i="4"/>
  <c r="L59" i="4"/>
  <c r="E86" i="4"/>
  <c r="E86" i="20"/>
  <c r="Y229" i="36"/>
  <c r="Y230" i="36"/>
  <c r="Q228" i="36"/>
  <c r="Q229" i="36"/>
  <c r="Q230" i="36"/>
  <c r="Z230" i="36"/>
  <c r="Z229" i="36"/>
  <c r="Z228" i="36"/>
  <c r="E80" i="31"/>
  <c r="D80" i="31"/>
  <c r="D80" i="32"/>
  <c r="E79" i="31"/>
  <c r="D79" i="31"/>
  <c r="D79" i="32"/>
  <c r="E84" i="31"/>
  <c r="H83" i="13"/>
  <c r="G144" i="13"/>
  <c r="G157" i="13"/>
  <c r="H129" i="13"/>
  <c r="H144" i="13"/>
  <c r="H157" i="13"/>
  <c r="J129" i="13"/>
  <c r="I144" i="13"/>
  <c r="I157" i="13"/>
  <c r="D84" i="31"/>
  <c r="G57" i="11"/>
  <c r="G70" i="11"/>
  <c r="D37" i="32"/>
  <c r="H57" i="11"/>
  <c r="H70" i="11"/>
  <c r="E37" i="32"/>
  <c r="I70" i="11"/>
  <c r="F37" i="32"/>
  <c r="G37" i="32"/>
  <c r="D84" i="32"/>
  <c r="E85" i="31"/>
  <c r="E82" i="31"/>
  <c r="H81" i="13"/>
  <c r="G142" i="13"/>
  <c r="H82" i="13"/>
  <c r="G143" i="13"/>
  <c r="G156" i="13"/>
  <c r="H128" i="13"/>
  <c r="H143" i="13"/>
  <c r="H156" i="13"/>
  <c r="J128" i="13"/>
  <c r="I143" i="13"/>
  <c r="I156" i="13"/>
  <c r="D83" i="31"/>
  <c r="G56" i="11"/>
  <c r="G69" i="11"/>
  <c r="D36" i="32"/>
  <c r="H56" i="11"/>
  <c r="H69" i="11"/>
  <c r="E36" i="32"/>
  <c r="I56" i="11"/>
  <c r="I69" i="11"/>
  <c r="F36" i="32"/>
  <c r="G36" i="32"/>
  <c r="D83" i="32"/>
  <c r="E83" i="31"/>
  <c r="G77" i="11"/>
  <c r="I36" i="32"/>
  <c r="H77" i="11"/>
  <c r="J36" i="32"/>
  <c r="I77" i="11"/>
  <c r="K36" i="32"/>
  <c r="L36" i="32"/>
  <c r="E83" i="32"/>
  <c r="E83" i="30"/>
  <c r="E83" i="28"/>
  <c r="E83" i="27"/>
  <c r="E83" i="14"/>
  <c r="E83" i="4"/>
  <c r="G115" i="7"/>
  <c r="I27" i="20"/>
  <c r="H115" i="7"/>
  <c r="J27" i="20"/>
  <c r="I115" i="7"/>
  <c r="K27" i="20"/>
  <c r="L27" i="20"/>
  <c r="G116" i="7"/>
  <c r="I28" i="20"/>
  <c r="H116" i="7"/>
  <c r="J28" i="20"/>
  <c r="I116" i="7"/>
  <c r="K28" i="20"/>
  <c r="L28" i="20"/>
  <c r="G117" i="7"/>
  <c r="I29" i="20"/>
  <c r="H117" i="7"/>
  <c r="J29" i="20"/>
  <c r="I117" i="7"/>
  <c r="K29" i="20"/>
  <c r="L29" i="20"/>
  <c r="L30" i="20"/>
  <c r="G118" i="7"/>
  <c r="I31" i="20"/>
  <c r="H118" i="7"/>
  <c r="J31" i="20"/>
  <c r="I118" i="7"/>
  <c r="K31" i="20"/>
  <c r="L31" i="20"/>
  <c r="G119" i="7"/>
  <c r="I32" i="20"/>
  <c r="H119" i="7"/>
  <c r="J32" i="20"/>
  <c r="I119" i="7"/>
  <c r="K32" i="20"/>
  <c r="L32" i="20"/>
  <c r="G120" i="7"/>
  <c r="I33" i="20"/>
  <c r="H120" i="7"/>
  <c r="J33" i="20"/>
  <c r="I120" i="7"/>
  <c r="K33" i="20"/>
  <c r="L33" i="20"/>
  <c r="G121" i="7"/>
  <c r="I34" i="20"/>
  <c r="H121" i="7"/>
  <c r="J34" i="20"/>
  <c r="I121" i="7"/>
  <c r="K34" i="20"/>
  <c r="L34" i="20"/>
  <c r="L35" i="20"/>
  <c r="L36" i="20"/>
  <c r="E83" i="20"/>
  <c r="Y215" i="36"/>
  <c r="Q215" i="36"/>
  <c r="Z215" i="36"/>
  <c r="F83" i="31"/>
  <c r="F83" i="32"/>
  <c r="F83" i="30"/>
  <c r="F83" i="28"/>
  <c r="H203" i="9"/>
  <c r="R36" i="27"/>
  <c r="T36" i="27"/>
  <c r="F83" i="27"/>
  <c r="F83" i="14"/>
  <c r="F83" i="4"/>
  <c r="F83" i="20"/>
  <c r="Y216" i="36"/>
  <c r="Q216" i="36"/>
  <c r="Z216" i="36"/>
  <c r="Q183" i="36"/>
  <c r="Q184" i="36"/>
  <c r="Q185" i="36"/>
  <c r="Q186" i="36"/>
  <c r="H68" i="3"/>
  <c r="H82" i="3"/>
  <c r="I68" i="3"/>
  <c r="I82" i="3"/>
  <c r="C28" i="26"/>
  <c r="C20" i="26"/>
  <c r="C21" i="26"/>
  <c r="C22" i="26"/>
  <c r="C23" i="26"/>
  <c r="C24" i="26"/>
  <c r="C25" i="26"/>
  <c r="C26" i="26"/>
  <c r="C27" i="26"/>
  <c r="C29" i="26"/>
  <c r="C30" i="26"/>
  <c r="H25" i="26"/>
  <c r="H17" i="22"/>
  <c r="H22" i="26"/>
  <c r="H14" i="22"/>
  <c r="H23" i="26"/>
  <c r="H15" i="22"/>
  <c r="H24" i="26"/>
  <c r="H16" i="22"/>
  <c r="G44" i="10"/>
  <c r="D28" i="26"/>
  <c r="D20" i="26"/>
  <c r="D21" i="26"/>
  <c r="D22" i="26"/>
  <c r="D23" i="26"/>
  <c r="D24" i="26"/>
  <c r="D25" i="26"/>
  <c r="D26" i="26"/>
  <c r="D27" i="26"/>
  <c r="D29" i="26"/>
  <c r="D30" i="26"/>
  <c r="I25" i="26"/>
  <c r="H22" i="22"/>
  <c r="I22" i="26"/>
  <c r="H19" i="22"/>
  <c r="I23" i="26"/>
  <c r="H20" i="22"/>
  <c r="I24" i="26"/>
  <c r="H21" i="22"/>
  <c r="R26" i="30"/>
  <c r="R16" i="30"/>
  <c r="R17" i="30"/>
  <c r="R18" i="30"/>
  <c r="R19" i="30"/>
  <c r="R21" i="30"/>
  <c r="H44" i="10"/>
  <c r="H86" i="10"/>
  <c r="E28" i="26"/>
  <c r="E20" i="26"/>
  <c r="E21" i="26"/>
  <c r="E22" i="26"/>
  <c r="E23" i="26"/>
  <c r="E24" i="26"/>
  <c r="E25" i="26"/>
  <c r="E26" i="26"/>
  <c r="E27" i="26"/>
  <c r="E29" i="26"/>
  <c r="E30" i="26"/>
  <c r="J25" i="26"/>
  <c r="H27" i="22"/>
  <c r="J22" i="26"/>
  <c r="H24" i="22"/>
  <c r="J23" i="26"/>
  <c r="H25" i="22"/>
  <c r="J24" i="26"/>
  <c r="H26" i="22"/>
  <c r="S26" i="30"/>
  <c r="S16" i="30"/>
  <c r="S17" i="30"/>
  <c r="S18" i="30"/>
  <c r="S19" i="30"/>
  <c r="S21" i="30"/>
  <c r="I44" i="10"/>
  <c r="I86" i="10"/>
  <c r="L61" i="20"/>
  <c r="G61" i="20"/>
  <c r="L64" i="4"/>
  <c r="I71" i="4"/>
  <c r="G61" i="4"/>
  <c r="G68" i="3"/>
  <c r="G82" i="3"/>
  <c r="L64" i="28"/>
  <c r="I71" i="28"/>
  <c r="G61" i="28"/>
  <c r="L64" i="30"/>
  <c r="I71" i="30"/>
  <c r="T64" i="30"/>
  <c r="I72" i="30"/>
  <c r="T61" i="32"/>
  <c r="Y169" i="36"/>
  <c r="Q169" i="36"/>
  <c r="AA169" i="36"/>
  <c r="Z169" i="36"/>
  <c r="AA122" i="36"/>
  <c r="Z122" i="36"/>
  <c r="T58" i="4"/>
  <c r="U58" i="4"/>
  <c r="K167" i="36"/>
  <c r="X167" i="36"/>
  <c r="I127" i="36"/>
  <c r="J127" i="36"/>
  <c r="I132" i="36"/>
  <c r="J132" i="36"/>
  <c r="I137" i="36"/>
  <c r="J137" i="36"/>
  <c r="I142" i="36"/>
  <c r="J142" i="36"/>
  <c r="I125" i="36"/>
  <c r="J125" i="36"/>
  <c r="I126" i="36"/>
  <c r="J126" i="36"/>
  <c r="J128" i="36"/>
  <c r="J129" i="36"/>
  <c r="I135" i="36"/>
  <c r="J135" i="36"/>
  <c r="I136" i="36"/>
  <c r="J136" i="36"/>
  <c r="J138" i="36"/>
  <c r="J139" i="36"/>
  <c r="I140" i="36"/>
  <c r="J140" i="36"/>
  <c r="I141" i="36"/>
  <c r="J141" i="36"/>
  <c r="J143" i="36"/>
  <c r="J144" i="36"/>
  <c r="I145" i="36"/>
  <c r="J145" i="36"/>
  <c r="I146" i="36"/>
  <c r="J146" i="36"/>
  <c r="I147" i="36"/>
  <c r="J147" i="36"/>
  <c r="J148" i="36"/>
  <c r="J149" i="36"/>
  <c r="I150" i="36"/>
  <c r="J150" i="36"/>
  <c r="I151" i="36"/>
  <c r="J151" i="36"/>
  <c r="I152" i="36"/>
  <c r="J152" i="36"/>
  <c r="J153" i="36"/>
  <c r="J154" i="36"/>
  <c r="I155" i="36"/>
  <c r="J155" i="36"/>
  <c r="I156" i="36"/>
  <c r="J156" i="36"/>
  <c r="I157" i="36"/>
  <c r="J157" i="36"/>
  <c r="J158" i="36"/>
  <c r="J159" i="36"/>
  <c r="I160" i="36"/>
  <c r="J160" i="36"/>
  <c r="I161" i="36"/>
  <c r="J161" i="36"/>
  <c r="I162" i="36"/>
  <c r="J162" i="36"/>
  <c r="J163" i="36"/>
  <c r="J164" i="36"/>
  <c r="J167" i="36"/>
  <c r="W167" i="36"/>
  <c r="I167" i="36"/>
  <c r="V167" i="36"/>
  <c r="H167" i="36"/>
  <c r="U167" i="36"/>
  <c r="G167" i="36"/>
  <c r="T167" i="36"/>
  <c r="F167" i="36"/>
  <c r="S167" i="36"/>
  <c r="E127" i="36"/>
  <c r="E132" i="36"/>
  <c r="E137" i="36"/>
  <c r="E142" i="36"/>
  <c r="E125" i="36"/>
  <c r="E126" i="36"/>
  <c r="E128" i="36"/>
  <c r="E129" i="36"/>
  <c r="E130" i="36"/>
  <c r="E131" i="36"/>
  <c r="E133" i="36"/>
  <c r="E134" i="36"/>
  <c r="E135" i="36"/>
  <c r="E136" i="36"/>
  <c r="E138" i="36"/>
  <c r="E139" i="36"/>
  <c r="E140" i="36"/>
  <c r="E141" i="36"/>
  <c r="E143" i="36"/>
  <c r="E144" i="36"/>
  <c r="E145" i="36"/>
  <c r="E146" i="36"/>
  <c r="E147" i="36"/>
  <c r="E148" i="36"/>
  <c r="E149" i="36"/>
  <c r="E150" i="36"/>
  <c r="E151" i="36"/>
  <c r="E152" i="36"/>
  <c r="E153" i="36"/>
  <c r="E154" i="36"/>
  <c r="E155" i="36"/>
  <c r="E156" i="36"/>
  <c r="E157" i="36"/>
  <c r="E158" i="36"/>
  <c r="E159" i="36"/>
  <c r="E160" i="36"/>
  <c r="E161" i="36"/>
  <c r="E162" i="36"/>
  <c r="E163" i="36"/>
  <c r="E164" i="36"/>
  <c r="E167" i="36"/>
  <c r="R167" i="36"/>
  <c r="Q167" i="36"/>
  <c r="H166" i="36"/>
  <c r="U166" i="36"/>
  <c r="G166" i="36"/>
  <c r="T166" i="36"/>
  <c r="F166" i="36"/>
  <c r="S166" i="36"/>
  <c r="E166" i="36"/>
  <c r="R166" i="36"/>
  <c r="Q166" i="36"/>
  <c r="K165" i="36"/>
  <c r="X165" i="36"/>
  <c r="H165" i="36"/>
  <c r="U165" i="36"/>
  <c r="G160" i="36"/>
  <c r="G165" i="36"/>
  <c r="T165" i="36"/>
  <c r="F165" i="36"/>
  <c r="S165" i="36"/>
  <c r="E165" i="36"/>
  <c r="R165" i="36"/>
  <c r="D165" i="36"/>
  <c r="Q165" i="36"/>
  <c r="T61" i="20"/>
  <c r="X164" i="36"/>
  <c r="X162" i="36"/>
  <c r="W164" i="36"/>
  <c r="W162" i="36"/>
  <c r="V164" i="36"/>
  <c r="V162" i="36"/>
  <c r="U164" i="36"/>
  <c r="U162" i="36"/>
  <c r="T164" i="36"/>
  <c r="T162" i="36"/>
  <c r="S164" i="36"/>
  <c r="S162" i="36"/>
  <c r="R164" i="36"/>
  <c r="R162" i="36"/>
  <c r="Q164" i="36"/>
  <c r="Q162" i="36"/>
  <c r="X161" i="36"/>
  <c r="W161" i="36"/>
  <c r="V161" i="36"/>
  <c r="U161" i="36"/>
  <c r="T161" i="36"/>
  <c r="S161" i="36"/>
  <c r="R161" i="36"/>
  <c r="Q161" i="36"/>
  <c r="X160" i="36"/>
  <c r="W160" i="36"/>
  <c r="V160" i="36"/>
  <c r="U160" i="36"/>
  <c r="T160" i="36"/>
  <c r="S160" i="36"/>
  <c r="R160" i="36"/>
  <c r="Q160" i="36"/>
  <c r="X159" i="36"/>
  <c r="X157" i="36"/>
  <c r="W159" i="36"/>
  <c r="W157" i="36"/>
  <c r="V159" i="36"/>
  <c r="V157" i="36"/>
  <c r="U159" i="36"/>
  <c r="U157" i="36"/>
  <c r="T159" i="36"/>
  <c r="T157" i="36"/>
  <c r="S159" i="36"/>
  <c r="S157" i="36"/>
  <c r="R159" i="36"/>
  <c r="R157" i="36"/>
  <c r="Q159" i="36"/>
  <c r="Q157" i="36"/>
  <c r="Y159" i="36"/>
  <c r="Y156" i="36"/>
  <c r="X156" i="36"/>
  <c r="W156" i="36"/>
  <c r="V156" i="36"/>
  <c r="U156" i="36"/>
  <c r="T156" i="36"/>
  <c r="S156" i="36"/>
  <c r="R156" i="36"/>
  <c r="Q156" i="36"/>
  <c r="X155" i="36"/>
  <c r="W155" i="36"/>
  <c r="V155" i="36"/>
  <c r="U155" i="36"/>
  <c r="T155" i="36"/>
  <c r="S155" i="36"/>
  <c r="R155" i="36"/>
  <c r="Q155" i="36"/>
  <c r="X154" i="36"/>
  <c r="X152" i="36"/>
  <c r="W154" i="36"/>
  <c r="W152" i="36"/>
  <c r="V154" i="36"/>
  <c r="V152" i="36"/>
  <c r="U154" i="36"/>
  <c r="U152" i="36"/>
  <c r="T154" i="36"/>
  <c r="T152" i="36"/>
  <c r="S154" i="36"/>
  <c r="S152" i="36"/>
  <c r="R154" i="36"/>
  <c r="R152" i="36"/>
  <c r="Q154" i="36"/>
  <c r="Q152" i="36"/>
  <c r="Y154" i="36"/>
  <c r="Y151" i="36"/>
  <c r="X151" i="36"/>
  <c r="W151" i="36"/>
  <c r="V151" i="36"/>
  <c r="U151" i="36"/>
  <c r="T151" i="36"/>
  <c r="S151" i="36"/>
  <c r="R151" i="36"/>
  <c r="Q151" i="36"/>
  <c r="X150" i="36"/>
  <c r="W150" i="36"/>
  <c r="V150" i="36"/>
  <c r="U150" i="36"/>
  <c r="T150" i="36"/>
  <c r="S150" i="36"/>
  <c r="R150" i="36"/>
  <c r="Q150" i="36"/>
  <c r="X149" i="36"/>
  <c r="X147" i="36"/>
  <c r="W149" i="36"/>
  <c r="W147" i="36"/>
  <c r="V149" i="36"/>
  <c r="V147" i="36"/>
  <c r="U149" i="36"/>
  <c r="U147" i="36"/>
  <c r="T149" i="36"/>
  <c r="T147" i="36"/>
  <c r="S149" i="36"/>
  <c r="S147" i="36"/>
  <c r="R149" i="36"/>
  <c r="R147" i="36"/>
  <c r="Q149" i="36"/>
  <c r="Q147" i="36"/>
  <c r="Y149" i="36"/>
  <c r="Y146" i="36"/>
  <c r="X146" i="36"/>
  <c r="W146" i="36"/>
  <c r="V146" i="36"/>
  <c r="U146" i="36"/>
  <c r="T146" i="36"/>
  <c r="S146" i="36"/>
  <c r="R146" i="36"/>
  <c r="Q146" i="36"/>
  <c r="X145" i="36"/>
  <c r="W145" i="36"/>
  <c r="V145" i="36"/>
  <c r="U145" i="36"/>
  <c r="T145" i="36"/>
  <c r="S145" i="36"/>
  <c r="R145" i="36"/>
  <c r="Q145" i="36"/>
  <c r="X144" i="36"/>
  <c r="X142" i="36"/>
  <c r="W144" i="36"/>
  <c r="W142" i="36"/>
  <c r="V144" i="36"/>
  <c r="V142" i="36"/>
  <c r="U144" i="36"/>
  <c r="U142" i="36"/>
  <c r="T144" i="36"/>
  <c r="T142" i="36"/>
  <c r="S144" i="36"/>
  <c r="S142" i="36"/>
  <c r="R144" i="36"/>
  <c r="R142" i="36"/>
  <c r="Q144" i="36"/>
  <c r="Q142" i="36"/>
  <c r="Y144" i="36"/>
  <c r="Y141" i="36"/>
  <c r="X141" i="36"/>
  <c r="W141" i="36"/>
  <c r="V141" i="36"/>
  <c r="U141" i="36"/>
  <c r="T141" i="36"/>
  <c r="S141" i="36"/>
  <c r="R141" i="36"/>
  <c r="Q141" i="36"/>
  <c r="X140" i="36"/>
  <c r="W140" i="36"/>
  <c r="V140" i="36"/>
  <c r="U140" i="36"/>
  <c r="T140" i="36"/>
  <c r="S140" i="36"/>
  <c r="R140" i="36"/>
  <c r="Q140" i="36"/>
  <c r="Y139" i="36"/>
  <c r="Y137" i="36"/>
  <c r="X139" i="36"/>
  <c r="X137" i="36"/>
  <c r="W139" i="36"/>
  <c r="W137" i="36"/>
  <c r="V139" i="36"/>
  <c r="V137" i="36"/>
  <c r="U139" i="36"/>
  <c r="U137" i="36"/>
  <c r="T139" i="36"/>
  <c r="T137" i="36"/>
  <c r="S139" i="36"/>
  <c r="S137" i="36"/>
  <c r="R139" i="36"/>
  <c r="R137" i="36"/>
  <c r="Q139" i="36"/>
  <c r="Q137" i="36"/>
  <c r="Y136" i="36"/>
  <c r="X136" i="36"/>
  <c r="W136" i="36"/>
  <c r="V136" i="36"/>
  <c r="U136" i="36"/>
  <c r="T136" i="36"/>
  <c r="S136" i="36"/>
  <c r="R136" i="36"/>
  <c r="Q136" i="36"/>
  <c r="X135" i="36"/>
  <c r="W135" i="36"/>
  <c r="V135" i="36"/>
  <c r="U135" i="36"/>
  <c r="T135" i="36"/>
  <c r="S135" i="36"/>
  <c r="R135" i="36"/>
  <c r="Q135" i="36"/>
  <c r="X134" i="36"/>
  <c r="X132" i="36"/>
  <c r="W134" i="36"/>
  <c r="W132" i="36"/>
  <c r="V134" i="36"/>
  <c r="V132" i="36"/>
  <c r="U134" i="36"/>
  <c r="U132" i="36"/>
  <c r="T134" i="36"/>
  <c r="T132" i="36"/>
  <c r="S134" i="36"/>
  <c r="S132" i="36"/>
  <c r="R134" i="36"/>
  <c r="R132" i="36"/>
  <c r="Q134" i="36"/>
  <c r="Q132" i="36"/>
  <c r="U131" i="36"/>
  <c r="T131" i="36"/>
  <c r="S131" i="36"/>
  <c r="R131" i="36"/>
  <c r="Q131" i="36"/>
  <c r="X130" i="36"/>
  <c r="U130" i="36"/>
  <c r="T130" i="36"/>
  <c r="S130" i="36"/>
  <c r="R130" i="36"/>
  <c r="Q130" i="36"/>
  <c r="X129" i="36"/>
  <c r="X127" i="36"/>
  <c r="W129" i="36"/>
  <c r="W127" i="36"/>
  <c r="V129" i="36"/>
  <c r="V127" i="36"/>
  <c r="U129" i="36"/>
  <c r="U127" i="36"/>
  <c r="T129" i="36"/>
  <c r="T127" i="36"/>
  <c r="S129" i="36"/>
  <c r="S127" i="36"/>
  <c r="R129" i="36"/>
  <c r="R127" i="36"/>
  <c r="Q129" i="36"/>
  <c r="Q127" i="36"/>
  <c r="Y129" i="36"/>
  <c r="Y126" i="36"/>
  <c r="X126" i="36"/>
  <c r="W126" i="36"/>
  <c r="V126" i="36"/>
  <c r="U126" i="36"/>
  <c r="T126" i="36"/>
  <c r="S126" i="36"/>
  <c r="R126" i="36"/>
  <c r="Q126" i="36"/>
  <c r="X125" i="36"/>
  <c r="W125" i="36"/>
  <c r="V125" i="36"/>
  <c r="U125" i="36"/>
  <c r="T125" i="36"/>
  <c r="S125" i="36"/>
  <c r="R125" i="36"/>
  <c r="Q125" i="36"/>
  <c r="H81" i="36"/>
  <c r="H86" i="36"/>
  <c r="H91" i="36"/>
  <c r="H96" i="36"/>
  <c r="H82" i="36"/>
  <c r="H87" i="36"/>
  <c r="H92" i="36"/>
  <c r="H97" i="36"/>
  <c r="H101" i="36"/>
  <c r="H102" i="36"/>
  <c r="H106" i="36"/>
  <c r="H107" i="36"/>
  <c r="H111" i="36"/>
  <c r="H112" i="36"/>
  <c r="H116" i="36"/>
  <c r="H117" i="36"/>
  <c r="H121" i="36"/>
  <c r="U121" i="36"/>
  <c r="G81" i="36"/>
  <c r="G86" i="36"/>
  <c r="G91" i="36"/>
  <c r="G96" i="36"/>
  <c r="G82" i="36"/>
  <c r="G87" i="36"/>
  <c r="G92" i="36"/>
  <c r="G97" i="36"/>
  <c r="G101" i="36"/>
  <c r="G102" i="36"/>
  <c r="G106" i="36"/>
  <c r="G107" i="36"/>
  <c r="G111" i="36"/>
  <c r="G112" i="36"/>
  <c r="G113" i="36"/>
  <c r="G116" i="36"/>
  <c r="G117" i="36"/>
  <c r="G121" i="36"/>
  <c r="T121" i="36"/>
  <c r="F86" i="36"/>
  <c r="F91" i="36"/>
  <c r="F96" i="36"/>
  <c r="F87" i="36"/>
  <c r="F92" i="36"/>
  <c r="F97" i="36"/>
  <c r="F101" i="36"/>
  <c r="F102" i="36"/>
  <c r="F106" i="36"/>
  <c r="F107" i="36"/>
  <c r="F111" i="36"/>
  <c r="F112" i="36"/>
  <c r="F116" i="36"/>
  <c r="F117" i="36"/>
  <c r="F121" i="36"/>
  <c r="S121" i="36"/>
  <c r="E78" i="36"/>
  <c r="E79" i="36"/>
  <c r="E80" i="36"/>
  <c r="E81" i="36"/>
  <c r="E83" i="36"/>
  <c r="E84" i="36"/>
  <c r="E85" i="36"/>
  <c r="E86" i="36"/>
  <c r="E88" i="36"/>
  <c r="E89" i="36"/>
  <c r="E90" i="36"/>
  <c r="E91" i="36"/>
  <c r="E93" i="36"/>
  <c r="E94" i="36"/>
  <c r="E95" i="36"/>
  <c r="E96" i="36"/>
  <c r="E82" i="36"/>
  <c r="E87" i="36"/>
  <c r="E92" i="36"/>
  <c r="E97" i="36"/>
  <c r="E98" i="36"/>
  <c r="E99" i="36"/>
  <c r="E100" i="36"/>
  <c r="E101" i="36"/>
  <c r="E102" i="36"/>
  <c r="E103" i="36"/>
  <c r="E104" i="36"/>
  <c r="E105" i="36"/>
  <c r="E106" i="36"/>
  <c r="E107" i="36"/>
  <c r="E108" i="36"/>
  <c r="E109" i="36"/>
  <c r="E110" i="36"/>
  <c r="E111" i="36"/>
  <c r="E112" i="36"/>
  <c r="E113" i="36"/>
  <c r="E114" i="36"/>
  <c r="E115" i="36"/>
  <c r="E116" i="36"/>
  <c r="E117" i="36"/>
  <c r="E121" i="36"/>
  <c r="R121" i="36"/>
  <c r="D121" i="36"/>
  <c r="Q121" i="36"/>
  <c r="K120" i="36"/>
  <c r="X120" i="36"/>
  <c r="I80" i="36"/>
  <c r="J80" i="36"/>
  <c r="I85" i="36"/>
  <c r="J85" i="36"/>
  <c r="I90" i="36"/>
  <c r="J90" i="36"/>
  <c r="I95" i="36"/>
  <c r="J95" i="36"/>
  <c r="I78" i="36"/>
  <c r="J78" i="36"/>
  <c r="I79" i="36"/>
  <c r="J79" i="36"/>
  <c r="J81" i="36"/>
  <c r="J82" i="36"/>
  <c r="I83" i="36"/>
  <c r="J83" i="36"/>
  <c r="I88" i="36"/>
  <c r="J88" i="36"/>
  <c r="I89" i="36"/>
  <c r="J89" i="36"/>
  <c r="J91" i="36"/>
  <c r="J92" i="36"/>
  <c r="I93" i="36"/>
  <c r="J93" i="36"/>
  <c r="I94" i="36"/>
  <c r="J94" i="36"/>
  <c r="J96" i="36"/>
  <c r="J97" i="36"/>
  <c r="I98" i="36"/>
  <c r="J98" i="36"/>
  <c r="I99" i="36"/>
  <c r="J99" i="36"/>
  <c r="I100" i="36"/>
  <c r="J100" i="36"/>
  <c r="J101" i="36"/>
  <c r="J102" i="36"/>
  <c r="I103" i="36"/>
  <c r="J103" i="36"/>
  <c r="I104" i="36"/>
  <c r="J104" i="36"/>
  <c r="I105" i="36"/>
  <c r="J105" i="36"/>
  <c r="J106" i="36"/>
  <c r="J107" i="36"/>
  <c r="I108" i="36"/>
  <c r="J108" i="36"/>
  <c r="I109" i="36"/>
  <c r="J109" i="36"/>
  <c r="I110" i="36"/>
  <c r="J110" i="36"/>
  <c r="J111" i="36"/>
  <c r="J112" i="36"/>
  <c r="I113" i="36"/>
  <c r="J113" i="36"/>
  <c r="I114" i="36"/>
  <c r="J114" i="36"/>
  <c r="I115" i="36"/>
  <c r="J115" i="36"/>
  <c r="J116" i="36"/>
  <c r="J117" i="36"/>
  <c r="J120" i="36"/>
  <c r="W120" i="36"/>
  <c r="I120" i="36"/>
  <c r="V120" i="36"/>
  <c r="H120" i="36"/>
  <c r="U120" i="36"/>
  <c r="G120" i="36"/>
  <c r="T120" i="36"/>
  <c r="F120" i="36"/>
  <c r="S120" i="36"/>
  <c r="E120" i="36"/>
  <c r="R120" i="36"/>
  <c r="D120" i="36"/>
  <c r="Q120" i="36"/>
  <c r="H119" i="36"/>
  <c r="U119" i="36"/>
  <c r="G119" i="36"/>
  <c r="T119" i="36"/>
  <c r="F119" i="36"/>
  <c r="S119" i="36"/>
  <c r="E119" i="36"/>
  <c r="R119" i="36"/>
  <c r="D119" i="36"/>
  <c r="Q119" i="36"/>
  <c r="K118" i="36"/>
  <c r="X118" i="36"/>
  <c r="J118" i="36"/>
  <c r="W118" i="36"/>
  <c r="I118" i="36"/>
  <c r="V118" i="36"/>
  <c r="H118" i="36"/>
  <c r="U118" i="36"/>
  <c r="G118" i="36"/>
  <c r="T118" i="36"/>
  <c r="F118" i="36"/>
  <c r="S118" i="36"/>
  <c r="E118" i="36"/>
  <c r="R118" i="36"/>
  <c r="D118" i="36"/>
  <c r="Q118" i="36"/>
  <c r="X115" i="36"/>
  <c r="W115" i="36"/>
  <c r="V115" i="36"/>
  <c r="U115" i="36"/>
  <c r="T115" i="36"/>
  <c r="S115" i="36"/>
  <c r="R115" i="36"/>
  <c r="Q115" i="36"/>
  <c r="X114" i="36"/>
  <c r="W114" i="36"/>
  <c r="V114" i="36"/>
  <c r="U114" i="36"/>
  <c r="T114" i="36"/>
  <c r="S114" i="36"/>
  <c r="R114" i="36"/>
  <c r="Q114" i="36"/>
  <c r="X113" i="36"/>
  <c r="W113" i="36"/>
  <c r="V113" i="36"/>
  <c r="U113" i="36"/>
  <c r="T113" i="36"/>
  <c r="S113" i="36"/>
  <c r="R113" i="36"/>
  <c r="Q113" i="36"/>
  <c r="X110" i="36"/>
  <c r="W110" i="36"/>
  <c r="V110" i="36"/>
  <c r="U110" i="36"/>
  <c r="T110" i="36"/>
  <c r="S110" i="36"/>
  <c r="R110" i="36"/>
  <c r="Q110" i="36"/>
  <c r="Y109" i="36"/>
  <c r="X109" i="36"/>
  <c r="W109" i="36"/>
  <c r="V109" i="36"/>
  <c r="U109" i="36"/>
  <c r="T109" i="36"/>
  <c r="S109" i="36"/>
  <c r="R109" i="36"/>
  <c r="Q109" i="36"/>
  <c r="X108" i="36"/>
  <c r="W108" i="36"/>
  <c r="V108" i="36"/>
  <c r="U108" i="36"/>
  <c r="T108" i="36"/>
  <c r="S108" i="36"/>
  <c r="R108" i="36"/>
  <c r="Q108" i="36"/>
  <c r="X105" i="36"/>
  <c r="W105" i="36"/>
  <c r="V105" i="36"/>
  <c r="U105" i="36"/>
  <c r="T105" i="36"/>
  <c r="S105" i="36"/>
  <c r="R105" i="36"/>
  <c r="Q105" i="36"/>
  <c r="Y104" i="36"/>
  <c r="X104" i="36"/>
  <c r="W104" i="36"/>
  <c r="V104" i="36"/>
  <c r="U104" i="36"/>
  <c r="T104" i="36"/>
  <c r="S104" i="36"/>
  <c r="R104" i="36"/>
  <c r="Q104" i="36"/>
  <c r="X103" i="36"/>
  <c r="W103" i="36"/>
  <c r="V103" i="36"/>
  <c r="U103" i="36"/>
  <c r="T103" i="36"/>
  <c r="S103" i="36"/>
  <c r="R103" i="36"/>
  <c r="Q103" i="36"/>
  <c r="X100" i="36"/>
  <c r="W100" i="36"/>
  <c r="V100" i="36"/>
  <c r="U100" i="36"/>
  <c r="T100" i="36"/>
  <c r="S100" i="36"/>
  <c r="R100" i="36"/>
  <c r="Q100" i="36"/>
  <c r="Y99" i="36"/>
  <c r="X99" i="36"/>
  <c r="W99" i="36"/>
  <c r="V99" i="36"/>
  <c r="U99" i="36"/>
  <c r="T99" i="36"/>
  <c r="S99" i="36"/>
  <c r="R99" i="36"/>
  <c r="Q99" i="36"/>
  <c r="X98" i="36"/>
  <c r="W98" i="36"/>
  <c r="V98" i="36"/>
  <c r="U98" i="36"/>
  <c r="T98" i="36"/>
  <c r="S98" i="36"/>
  <c r="R98" i="36"/>
  <c r="Q98" i="36"/>
  <c r="X95" i="36"/>
  <c r="W95" i="36"/>
  <c r="V95" i="36"/>
  <c r="U95" i="36"/>
  <c r="T95" i="36"/>
  <c r="S95" i="36"/>
  <c r="R95" i="36"/>
  <c r="Q95" i="36"/>
  <c r="Y94" i="36"/>
  <c r="X94" i="36"/>
  <c r="W94" i="36"/>
  <c r="V94" i="36"/>
  <c r="U94" i="36"/>
  <c r="T94" i="36"/>
  <c r="S94" i="36"/>
  <c r="R94" i="36"/>
  <c r="Q94" i="36"/>
  <c r="X93" i="36"/>
  <c r="W93" i="36"/>
  <c r="V93" i="36"/>
  <c r="U93" i="36"/>
  <c r="T93" i="36"/>
  <c r="S93" i="36"/>
  <c r="R93" i="36"/>
  <c r="Q93" i="36"/>
  <c r="Y90" i="36"/>
  <c r="X90" i="36"/>
  <c r="W90" i="36"/>
  <c r="V90" i="36"/>
  <c r="U90" i="36"/>
  <c r="T90" i="36"/>
  <c r="S90" i="36"/>
  <c r="R90" i="36"/>
  <c r="Q90" i="36"/>
  <c r="Y89" i="36"/>
  <c r="X89" i="36"/>
  <c r="W89" i="36"/>
  <c r="V89" i="36"/>
  <c r="U89" i="36"/>
  <c r="T89" i="36"/>
  <c r="S89" i="36"/>
  <c r="R89" i="36"/>
  <c r="Q89" i="36"/>
  <c r="X88" i="36"/>
  <c r="W88" i="36"/>
  <c r="V88" i="36"/>
  <c r="U88" i="36"/>
  <c r="T88" i="36"/>
  <c r="S88" i="36"/>
  <c r="R88" i="36"/>
  <c r="Q88" i="36"/>
  <c r="X85" i="36"/>
  <c r="W85" i="36"/>
  <c r="V85" i="36"/>
  <c r="U85" i="36"/>
  <c r="T85" i="36"/>
  <c r="S85" i="36"/>
  <c r="R85" i="36"/>
  <c r="Q85" i="36"/>
  <c r="U84" i="36"/>
  <c r="T84" i="36"/>
  <c r="S84" i="36"/>
  <c r="R84" i="36"/>
  <c r="Q84" i="36"/>
  <c r="X83" i="36"/>
  <c r="W83" i="36"/>
  <c r="V83" i="36"/>
  <c r="U83" i="36"/>
  <c r="T83" i="36"/>
  <c r="S83" i="36"/>
  <c r="R83" i="36"/>
  <c r="Q83" i="36"/>
  <c r="X80" i="36"/>
  <c r="W80" i="36"/>
  <c r="V80" i="36"/>
  <c r="U80" i="36"/>
  <c r="T80" i="36"/>
  <c r="S80" i="36"/>
  <c r="R80" i="36"/>
  <c r="Q80" i="36"/>
  <c r="Y79" i="36"/>
  <c r="X79" i="36"/>
  <c r="W79" i="36"/>
  <c r="V79" i="36"/>
  <c r="U79" i="36"/>
  <c r="T79" i="36"/>
  <c r="S79" i="36"/>
  <c r="R79" i="36"/>
  <c r="Q79" i="36"/>
  <c r="X78" i="36"/>
  <c r="W78" i="36"/>
  <c r="V78" i="36"/>
  <c r="U78" i="36"/>
  <c r="T78" i="36"/>
  <c r="S78" i="36"/>
  <c r="R78" i="36"/>
  <c r="Q78" i="36"/>
  <c r="I123" i="7"/>
  <c r="K38" i="20"/>
  <c r="I124" i="7"/>
  <c r="K39" i="20"/>
  <c r="K40" i="20"/>
  <c r="I122" i="7"/>
  <c r="K37" i="20"/>
  <c r="K30" i="20"/>
  <c r="K35" i="20"/>
  <c r="K36" i="20"/>
  <c r="I111" i="7"/>
  <c r="K22" i="20"/>
  <c r="I112" i="7"/>
  <c r="K23" i="20"/>
  <c r="I113" i="7"/>
  <c r="K24" i="20"/>
  <c r="I114" i="7"/>
  <c r="K25" i="20"/>
  <c r="K26" i="20"/>
  <c r="I107" i="7"/>
  <c r="K16" i="20"/>
  <c r="I108" i="7"/>
  <c r="K17" i="20"/>
  <c r="I109" i="7"/>
  <c r="K18" i="20"/>
  <c r="I110" i="7"/>
  <c r="K19" i="20"/>
  <c r="K21" i="20"/>
  <c r="I104" i="7"/>
  <c r="K12" i="20"/>
  <c r="I105" i="7"/>
  <c r="K13" i="20"/>
  <c r="I106" i="7"/>
  <c r="K14" i="20"/>
  <c r="K15" i="20"/>
  <c r="I99" i="7"/>
  <c r="K6" i="20"/>
  <c r="I100" i="7"/>
  <c r="K7" i="20"/>
  <c r="I101" i="7"/>
  <c r="K8" i="20"/>
  <c r="I102" i="7"/>
  <c r="K9" i="20"/>
  <c r="I103" i="7"/>
  <c r="K10" i="20"/>
  <c r="K11" i="20"/>
  <c r="I63" i="4"/>
  <c r="D71" i="4"/>
  <c r="Q26" i="14"/>
  <c r="Q16" i="14"/>
  <c r="Q17" i="14"/>
  <c r="Q18" i="14"/>
  <c r="Q19" i="14"/>
  <c r="Q21" i="14"/>
  <c r="Q63" i="14"/>
  <c r="D72" i="14"/>
  <c r="I63" i="14"/>
  <c r="D71" i="14"/>
  <c r="G177" i="9"/>
  <c r="I63" i="27"/>
  <c r="D71" i="27"/>
  <c r="H94" i="22"/>
  <c r="G86" i="10"/>
  <c r="Q26" i="30"/>
  <c r="Q16" i="30"/>
  <c r="Q17" i="30"/>
  <c r="Q18" i="30"/>
  <c r="Q19" i="30"/>
  <c r="Q21" i="30"/>
  <c r="Q63" i="30"/>
  <c r="D72" i="30"/>
  <c r="I63" i="30"/>
  <c r="D71" i="30"/>
  <c r="T59" i="4"/>
  <c r="T49" i="4"/>
  <c r="U49" i="4"/>
  <c r="L65" i="4"/>
  <c r="M65" i="4"/>
  <c r="M71" i="4"/>
  <c r="M64" i="4"/>
  <c r="L71" i="4"/>
  <c r="M63" i="4"/>
  <c r="K71" i="4"/>
  <c r="G58" i="4"/>
  <c r="L65" i="14"/>
  <c r="M65" i="14"/>
  <c r="M71" i="14"/>
  <c r="M64" i="14"/>
  <c r="L71" i="14"/>
  <c r="M63" i="14"/>
  <c r="K71" i="14"/>
  <c r="T49" i="27"/>
  <c r="U49" i="27"/>
  <c r="M65" i="27"/>
  <c r="M71" i="27"/>
  <c r="M64" i="27"/>
  <c r="L71" i="27"/>
  <c r="M63" i="27"/>
  <c r="K71" i="27"/>
  <c r="T49" i="28"/>
  <c r="U49" i="28"/>
  <c r="L65" i="28"/>
  <c r="M65" i="28"/>
  <c r="M71" i="28"/>
  <c r="M64" i="28"/>
  <c r="L71" i="28"/>
  <c r="M63" i="28"/>
  <c r="K71" i="28"/>
  <c r="T65" i="30"/>
  <c r="U65" i="30"/>
  <c r="M72" i="30"/>
  <c r="U63" i="30"/>
  <c r="T49" i="30"/>
  <c r="U49" i="30"/>
  <c r="U64" i="30"/>
  <c r="L72" i="30"/>
  <c r="K72" i="30"/>
  <c r="L65" i="30"/>
  <c r="M65" i="30"/>
  <c r="M71" i="30"/>
  <c r="M64" i="30"/>
  <c r="L71" i="30"/>
  <c r="M63" i="30"/>
  <c r="K71" i="30"/>
  <c r="G244" i="13"/>
  <c r="T58" i="31"/>
  <c r="T59" i="31"/>
  <c r="T49" i="31"/>
  <c r="U49" i="31"/>
  <c r="L65" i="31"/>
  <c r="M65" i="31"/>
  <c r="M71" i="31"/>
  <c r="M64" i="31"/>
  <c r="L71" i="31"/>
  <c r="M63" i="31"/>
  <c r="K71" i="31"/>
  <c r="F133" i="36"/>
  <c r="F134" i="36"/>
  <c r="X222" i="11"/>
  <c r="Y222" i="11"/>
  <c r="W222" i="11"/>
  <c r="L207" i="11"/>
  <c r="K177" i="11"/>
  <c r="K178" i="11"/>
  <c r="K180" i="11"/>
  <c r="H183" i="11"/>
  <c r="J183" i="11"/>
  <c r="I183" i="11"/>
  <c r="I173" i="36"/>
  <c r="J173" i="36"/>
  <c r="K181" i="36"/>
  <c r="K182" i="36"/>
  <c r="H181" i="36"/>
  <c r="H182" i="36"/>
  <c r="G181" i="36"/>
  <c r="G182" i="36"/>
  <c r="F181" i="36"/>
  <c r="F182" i="36"/>
  <c r="X180" i="36"/>
  <c r="U180" i="36"/>
  <c r="T180" i="36"/>
  <c r="S180" i="36"/>
  <c r="Q180" i="36"/>
  <c r="I180" i="36"/>
  <c r="V180" i="36"/>
  <c r="E180" i="36"/>
  <c r="R180" i="36"/>
  <c r="X179" i="36"/>
  <c r="U179" i="36"/>
  <c r="T179" i="36"/>
  <c r="S179" i="36"/>
  <c r="Q179" i="36"/>
  <c r="I179" i="36"/>
  <c r="V179" i="36"/>
  <c r="E179" i="36"/>
  <c r="R179" i="36"/>
  <c r="X178" i="36"/>
  <c r="U178" i="36"/>
  <c r="T178" i="36"/>
  <c r="T181" i="36"/>
  <c r="S178" i="36"/>
  <c r="S181" i="36"/>
  <c r="Q178" i="36"/>
  <c r="I178" i="36"/>
  <c r="V178" i="36"/>
  <c r="E178" i="36"/>
  <c r="R178" i="36"/>
  <c r="R181" i="36"/>
  <c r="U181" i="36"/>
  <c r="Q181" i="36"/>
  <c r="X181" i="36"/>
  <c r="V181" i="36"/>
  <c r="E181" i="36"/>
  <c r="E182" i="36"/>
  <c r="I181" i="36"/>
  <c r="I182" i="36"/>
  <c r="J178" i="36"/>
  <c r="J179" i="36"/>
  <c r="W179" i="36"/>
  <c r="J180" i="36"/>
  <c r="W180" i="36"/>
  <c r="W178" i="36"/>
  <c r="W181" i="36"/>
  <c r="J181" i="36"/>
  <c r="J182" i="36"/>
  <c r="X163" i="36"/>
  <c r="X153" i="36"/>
  <c r="X169" i="36"/>
  <c r="W169" i="36"/>
  <c r="V169" i="36"/>
  <c r="U169" i="36"/>
  <c r="T169" i="36"/>
  <c r="S169" i="36"/>
  <c r="R169" i="36"/>
  <c r="Y164" i="36"/>
  <c r="Y134" i="36"/>
  <c r="S168" i="36"/>
  <c r="T158" i="36"/>
  <c r="U133" i="36"/>
  <c r="Q168" i="36"/>
  <c r="Q133" i="36"/>
  <c r="S138" i="36"/>
  <c r="X143" i="36"/>
  <c r="U168" i="36"/>
  <c r="U128" i="36"/>
  <c r="T138" i="36"/>
  <c r="S143" i="36"/>
  <c r="Q148" i="36"/>
  <c r="U158" i="36"/>
  <c r="S163" i="36"/>
  <c r="T128" i="36"/>
  <c r="X128" i="36"/>
  <c r="S133" i="36"/>
  <c r="Q138" i="36"/>
  <c r="U138" i="36"/>
  <c r="T143" i="36"/>
  <c r="X148" i="36"/>
  <c r="T153" i="36"/>
  <c r="X158" i="36"/>
  <c r="T163" i="36"/>
  <c r="Q143" i="36"/>
  <c r="T133" i="36"/>
  <c r="X138" i="36"/>
  <c r="U143" i="36"/>
  <c r="S148" i="36"/>
  <c r="Q153" i="36"/>
  <c r="U153" i="36"/>
  <c r="S158" i="36"/>
  <c r="Q163" i="36"/>
  <c r="U163" i="36"/>
  <c r="K153" i="36"/>
  <c r="K154" i="36"/>
  <c r="H153" i="36"/>
  <c r="H154" i="36"/>
  <c r="G153" i="36"/>
  <c r="G154" i="36"/>
  <c r="F153" i="36"/>
  <c r="F154" i="36"/>
  <c r="R153" i="36"/>
  <c r="K138" i="36"/>
  <c r="K139" i="36"/>
  <c r="H138" i="36"/>
  <c r="H139" i="36"/>
  <c r="G138" i="36"/>
  <c r="G139" i="36"/>
  <c r="F138" i="36"/>
  <c r="F139" i="36"/>
  <c r="K128" i="36"/>
  <c r="H128" i="36"/>
  <c r="G128" i="36"/>
  <c r="G129" i="36"/>
  <c r="K163" i="36"/>
  <c r="K164" i="36"/>
  <c r="H163" i="36"/>
  <c r="H164" i="36"/>
  <c r="G163" i="36"/>
  <c r="F163" i="36"/>
  <c r="F164" i="36"/>
  <c r="K158" i="36"/>
  <c r="K159" i="36"/>
  <c r="H158" i="36"/>
  <c r="H159" i="36"/>
  <c r="G158" i="36"/>
  <c r="G159" i="36"/>
  <c r="F158" i="36"/>
  <c r="F159" i="36"/>
  <c r="R158" i="36"/>
  <c r="K148" i="36"/>
  <c r="K149" i="36"/>
  <c r="H148" i="36"/>
  <c r="H149" i="36"/>
  <c r="G148" i="36"/>
  <c r="G149" i="36"/>
  <c r="F148" i="36"/>
  <c r="F149" i="36"/>
  <c r="R148" i="36"/>
  <c r="K143" i="36"/>
  <c r="H143" i="36"/>
  <c r="H144" i="36"/>
  <c r="G143" i="36"/>
  <c r="G144" i="36"/>
  <c r="F143" i="36"/>
  <c r="F144" i="36"/>
  <c r="V143" i="36"/>
  <c r="H133" i="36"/>
  <c r="H134" i="36"/>
  <c r="G133" i="36"/>
  <c r="G134" i="36"/>
  <c r="F168" i="36"/>
  <c r="T148" i="36"/>
  <c r="R143" i="36"/>
  <c r="R138" i="36"/>
  <c r="R128" i="36"/>
  <c r="K129" i="36"/>
  <c r="R133" i="36"/>
  <c r="R163" i="36"/>
  <c r="H129" i="36"/>
  <c r="H168" i="36"/>
  <c r="Q128" i="36"/>
  <c r="Q158" i="36"/>
  <c r="S153" i="36"/>
  <c r="U148" i="36"/>
  <c r="S128" i="36"/>
  <c r="V158" i="36"/>
  <c r="V148" i="36"/>
  <c r="V163" i="36"/>
  <c r="I153" i="36"/>
  <c r="I154" i="36"/>
  <c r="V153" i="36"/>
  <c r="G164" i="36"/>
  <c r="G168" i="36"/>
  <c r="I138" i="36"/>
  <c r="I139" i="36"/>
  <c r="I128" i="36"/>
  <c r="I148" i="36"/>
  <c r="I149" i="36"/>
  <c r="I158" i="36"/>
  <c r="I159" i="36"/>
  <c r="I163" i="36"/>
  <c r="I164" i="36"/>
  <c r="I143" i="36"/>
  <c r="I144" i="36"/>
  <c r="K144" i="36"/>
  <c r="W148" i="36"/>
  <c r="W163" i="36"/>
  <c r="V138" i="36"/>
  <c r="V128" i="36"/>
  <c r="E168" i="36"/>
  <c r="W153" i="36"/>
  <c r="W138" i="36"/>
  <c r="W158" i="36"/>
  <c r="W143" i="36"/>
  <c r="I129" i="36"/>
  <c r="W128" i="36"/>
  <c r="O424" i="22"/>
  <c r="O425" i="22"/>
  <c r="O426" i="22"/>
  <c r="O427" i="22"/>
  <c r="O428" i="22"/>
  <c r="O429" i="22"/>
  <c r="O430" i="22"/>
  <c r="O431" i="22"/>
  <c r="O432" i="22"/>
  <c r="O433" i="22"/>
  <c r="O434" i="22"/>
  <c r="O435" i="22"/>
  <c r="O437" i="22"/>
  <c r="O438" i="22"/>
  <c r="O439" i="22"/>
  <c r="O423" i="22"/>
  <c r="M121" i="10"/>
  <c r="M138" i="11"/>
  <c r="E50" i="26"/>
  <c r="E51" i="26"/>
  <c r="E52" i="26"/>
  <c r="E53" i="26"/>
  <c r="E54" i="26"/>
  <c r="E55" i="26"/>
  <c r="E56" i="26"/>
  <c r="E57" i="26"/>
  <c r="E58" i="26"/>
  <c r="E59" i="26"/>
  <c r="E60" i="26"/>
  <c r="E61" i="26"/>
  <c r="E62" i="26"/>
  <c r="D50" i="26"/>
  <c r="D51" i="26"/>
  <c r="D52" i="26"/>
  <c r="D53" i="26"/>
  <c r="D54" i="26"/>
  <c r="D55" i="26"/>
  <c r="D56" i="26"/>
  <c r="D57" i="26"/>
  <c r="D58" i="26"/>
  <c r="D59" i="26"/>
  <c r="D60" i="26"/>
  <c r="D61" i="26"/>
  <c r="D62" i="26"/>
  <c r="C51" i="26"/>
  <c r="C52" i="26"/>
  <c r="C53" i="26"/>
  <c r="C54" i="26"/>
  <c r="C55" i="26"/>
  <c r="C56" i="26"/>
  <c r="C57" i="26"/>
  <c r="C58" i="26"/>
  <c r="C59" i="26"/>
  <c r="C60" i="26"/>
  <c r="C61" i="26"/>
  <c r="C62" i="26"/>
  <c r="C50" i="26"/>
  <c r="H52" i="26"/>
  <c r="K87" i="20"/>
  <c r="K84" i="20"/>
  <c r="K83" i="20"/>
  <c r="K80" i="20"/>
  <c r="K79" i="20"/>
  <c r="K87" i="4"/>
  <c r="K84" i="4"/>
  <c r="K83" i="4"/>
  <c r="K80" i="4"/>
  <c r="K79" i="4"/>
  <c r="K87" i="14"/>
  <c r="K84" i="14"/>
  <c r="K83" i="14"/>
  <c r="K80" i="14"/>
  <c r="K79" i="14"/>
  <c r="K87" i="27"/>
  <c r="K84" i="27"/>
  <c r="K83" i="27"/>
  <c r="K80" i="27"/>
  <c r="K79" i="27"/>
  <c r="K87" i="31"/>
  <c r="K84" i="31"/>
  <c r="K83" i="31"/>
  <c r="K80" i="31"/>
  <c r="K79" i="31"/>
  <c r="K87" i="32"/>
  <c r="K84" i="32"/>
  <c r="K83" i="32"/>
  <c r="K80" i="32"/>
  <c r="K79" i="32"/>
  <c r="K87" i="30"/>
  <c r="K84" i="30"/>
  <c r="K83" i="30"/>
  <c r="K80" i="30"/>
  <c r="K79" i="30"/>
  <c r="K87" i="28"/>
  <c r="K84" i="28"/>
  <c r="K83" i="28"/>
  <c r="K80" i="28"/>
  <c r="K79" i="28"/>
  <c r="S174" i="36"/>
  <c r="M363" i="36"/>
  <c r="D363" i="36"/>
  <c r="M364" i="36"/>
  <c r="E364" i="36"/>
  <c r="M365" i="36"/>
  <c r="D365" i="36"/>
  <c r="M366" i="36"/>
  <c r="E366" i="36"/>
  <c r="M367" i="36"/>
  <c r="E367" i="36"/>
  <c r="M368" i="36"/>
  <c r="E368" i="36"/>
  <c r="M369" i="36"/>
  <c r="D369" i="36"/>
  <c r="M370" i="36"/>
  <c r="E370" i="36"/>
  <c r="M371" i="36"/>
  <c r="D371" i="36"/>
  <c r="M372" i="36"/>
  <c r="E372" i="36"/>
  <c r="M373" i="36"/>
  <c r="D373" i="36"/>
  <c r="M374" i="36"/>
  <c r="E374" i="36"/>
  <c r="M375" i="36"/>
  <c r="D375" i="36"/>
  <c r="M376" i="36"/>
  <c r="E376" i="36"/>
  <c r="M377" i="36"/>
  <c r="D377" i="36"/>
  <c r="M378" i="36"/>
  <c r="E378" i="36"/>
  <c r="I363" i="36"/>
  <c r="G363" i="36"/>
  <c r="K363" i="36"/>
  <c r="E363" i="36"/>
  <c r="L363" i="36"/>
  <c r="J363" i="36"/>
  <c r="H363" i="36"/>
  <c r="F363" i="36"/>
  <c r="H378" i="36"/>
  <c r="J376" i="36"/>
  <c r="L374" i="36"/>
  <c r="D374" i="36"/>
  <c r="F372" i="36"/>
  <c r="H370" i="36"/>
  <c r="J364" i="36"/>
  <c r="L378" i="36"/>
  <c r="D378" i="36"/>
  <c r="F376" i="36"/>
  <c r="H374" i="36"/>
  <c r="J372" i="36"/>
  <c r="L370" i="36"/>
  <c r="D370" i="36"/>
  <c r="F364" i="36"/>
  <c r="J378" i="36"/>
  <c r="F378" i="36"/>
  <c r="L376" i="36"/>
  <c r="H376" i="36"/>
  <c r="D376" i="36"/>
  <c r="J374" i="36"/>
  <c r="F374" i="36"/>
  <c r="L372" i="36"/>
  <c r="H372" i="36"/>
  <c r="D372" i="36"/>
  <c r="J370" i="36"/>
  <c r="F370" i="36"/>
  <c r="L364" i="36"/>
  <c r="H364" i="36"/>
  <c r="D364" i="36"/>
  <c r="K377" i="36"/>
  <c r="I377" i="36"/>
  <c r="G377" i="36"/>
  <c r="E377" i="36"/>
  <c r="K375" i="36"/>
  <c r="I375" i="36"/>
  <c r="G375" i="36"/>
  <c r="E375" i="36"/>
  <c r="K373" i="36"/>
  <c r="I373" i="36"/>
  <c r="G373" i="36"/>
  <c r="E373" i="36"/>
  <c r="K371" i="36"/>
  <c r="I371" i="36"/>
  <c r="G371" i="36"/>
  <c r="E371" i="36"/>
  <c r="K369" i="36"/>
  <c r="I369" i="36"/>
  <c r="G369" i="36"/>
  <c r="E369" i="36"/>
  <c r="K378" i="36"/>
  <c r="I378" i="36"/>
  <c r="G378" i="36"/>
  <c r="L377" i="36"/>
  <c r="J377" i="36"/>
  <c r="H377" i="36"/>
  <c r="F377" i="36"/>
  <c r="K376" i="36"/>
  <c r="I376" i="36"/>
  <c r="G376" i="36"/>
  <c r="L375" i="36"/>
  <c r="J375" i="36"/>
  <c r="H375" i="36"/>
  <c r="F375" i="36"/>
  <c r="K374" i="36"/>
  <c r="I374" i="36"/>
  <c r="G374" i="36"/>
  <c r="L373" i="36"/>
  <c r="J373" i="36"/>
  <c r="H373" i="36"/>
  <c r="F373" i="36"/>
  <c r="K372" i="36"/>
  <c r="I372" i="36"/>
  <c r="G372" i="36"/>
  <c r="L371" i="36"/>
  <c r="J371" i="36"/>
  <c r="H371" i="36"/>
  <c r="F371" i="36"/>
  <c r="K370" i="36"/>
  <c r="I370" i="36"/>
  <c r="G370" i="36"/>
  <c r="L369" i="36"/>
  <c r="J369" i="36"/>
  <c r="H369" i="36"/>
  <c r="F369" i="36"/>
  <c r="K364" i="36"/>
  <c r="I364" i="36"/>
  <c r="G364" i="36"/>
  <c r="D367" i="36"/>
  <c r="L368" i="36"/>
  <c r="J368" i="36"/>
  <c r="H368" i="36"/>
  <c r="F368" i="36"/>
  <c r="D368" i="36"/>
  <c r="K368" i="36"/>
  <c r="I368" i="36"/>
  <c r="G368" i="36"/>
  <c r="L367" i="36"/>
  <c r="J367" i="36"/>
  <c r="H367" i="36"/>
  <c r="F367" i="36"/>
  <c r="K367" i="36"/>
  <c r="I367" i="36"/>
  <c r="G367" i="36"/>
  <c r="L366" i="36"/>
  <c r="J366" i="36"/>
  <c r="H366" i="36"/>
  <c r="F366" i="36"/>
  <c r="D366" i="36"/>
  <c r="K366" i="36"/>
  <c r="I366" i="36"/>
  <c r="G366" i="36"/>
  <c r="K365" i="36"/>
  <c r="I365" i="36"/>
  <c r="G365" i="36"/>
  <c r="E365" i="36"/>
  <c r="L365" i="36"/>
  <c r="J365" i="36"/>
  <c r="H365" i="36"/>
  <c r="F365" i="36"/>
  <c r="C380" i="36"/>
  <c r="C379" i="36"/>
  <c r="C366" i="36"/>
  <c r="C365" i="36"/>
  <c r="X233" i="36"/>
  <c r="U233" i="36"/>
  <c r="T233" i="36"/>
  <c r="S233" i="36"/>
  <c r="X232" i="36"/>
  <c r="U232" i="36"/>
  <c r="T232" i="36"/>
  <c r="T234" i="36"/>
  <c r="S232" i="36"/>
  <c r="X229" i="36"/>
  <c r="U229" i="36"/>
  <c r="T229" i="36"/>
  <c r="S229" i="36"/>
  <c r="X228" i="36"/>
  <c r="U228" i="36"/>
  <c r="T228" i="36"/>
  <c r="S228" i="36"/>
  <c r="X225" i="36"/>
  <c r="U225" i="36"/>
  <c r="T225" i="36"/>
  <c r="S225" i="36"/>
  <c r="Q225" i="36"/>
  <c r="X224" i="36"/>
  <c r="U224" i="36"/>
  <c r="T224" i="36"/>
  <c r="S224" i="36"/>
  <c r="Q224" i="36"/>
  <c r="X223" i="36"/>
  <c r="U223" i="36"/>
  <c r="U226" i="36"/>
  <c r="T223" i="36"/>
  <c r="S223" i="36"/>
  <c r="Q223" i="36"/>
  <c r="X220" i="36"/>
  <c r="U220" i="36"/>
  <c r="T220" i="36"/>
  <c r="S220" i="36"/>
  <c r="Q220" i="36"/>
  <c r="X219" i="36"/>
  <c r="U219" i="36"/>
  <c r="T219" i="36"/>
  <c r="S219" i="36"/>
  <c r="S221" i="36"/>
  <c r="Q219" i="36"/>
  <c r="X216" i="36"/>
  <c r="U216" i="36"/>
  <c r="T216" i="36"/>
  <c r="S216" i="36"/>
  <c r="X215" i="36"/>
  <c r="U215" i="36"/>
  <c r="T215" i="36"/>
  <c r="S215" i="36"/>
  <c r="X214" i="36"/>
  <c r="U214" i="36"/>
  <c r="T214" i="36"/>
  <c r="S214" i="36"/>
  <c r="Q214" i="36"/>
  <c r="Q217" i="36"/>
  <c r="X211" i="36"/>
  <c r="U211" i="36"/>
  <c r="T211" i="36"/>
  <c r="S211" i="36"/>
  <c r="Q211" i="36"/>
  <c r="X210" i="36"/>
  <c r="U210" i="36"/>
  <c r="T210" i="36"/>
  <c r="S210" i="36"/>
  <c r="Q210" i="36"/>
  <c r="X209" i="36"/>
  <c r="U209" i="36"/>
  <c r="U212" i="36"/>
  <c r="T209" i="36"/>
  <c r="S209" i="36"/>
  <c r="Q209" i="36"/>
  <c r="X206" i="36"/>
  <c r="U206" i="36"/>
  <c r="T206" i="36"/>
  <c r="S206" i="36"/>
  <c r="Q206" i="36"/>
  <c r="X205" i="36"/>
  <c r="U205" i="36"/>
  <c r="T205" i="36"/>
  <c r="S205" i="36"/>
  <c r="S204" i="36"/>
  <c r="S207" i="36"/>
  <c r="Q205" i="36"/>
  <c r="X204" i="36"/>
  <c r="U204" i="36"/>
  <c r="T204" i="36"/>
  <c r="T207" i="36"/>
  <c r="Q204" i="36"/>
  <c r="X201" i="36"/>
  <c r="U201" i="36"/>
  <c r="T201" i="36"/>
  <c r="S201" i="36"/>
  <c r="Q201" i="36"/>
  <c r="X200" i="36"/>
  <c r="X202" i="36"/>
  <c r="U200" i="36"/>
  <c r="T200" i="36"/>
  <c r="S200" i="36"/>
  <c r="Q200" i="36"/>
  <c r="Q202" i="36"/>
  <c r="X197" i="36"/>
  <c r="U197" i="36"/>
  <c r="T197" i="36"/>
  <c r="S197" i="36"/>
  <c r="Q197" i="36"/>
  <c r="X196" i="36"/>
  <c r="X198" i="36"/>
  <c r="U196" i="36"/>
  <c r="T196" i="36"/>
  <c r="T198" i="36"/>
  <c r="S196" i="36"/>
  <c r="Q196" i="36"/>
  <c r="Q198" i="36"/>
  <c r="X190" i="36"/>
  <c r="U190" i="36"/>
  <c r="T190" i="36"/>
  <c r="S190" i="36"/>
  <c r="Q190" i="36"/>
  <c r="X189" i="36"/>
  <c r="U189" i="36"/>
  <c r="T189" i="36"/>
  <c r="S189" i="36"/>
  <c r="Q189" i="36"/>
  <c r="X188" i="36"/>
  <c r="U188" i="36"/>
  <c r="T188" i="36"/>
  <c r="S188" i="36"/>
  <c r="S191" i="36"/>
  <c r="Q188" i="36"/>
  <c r="X185" i="36"/>
  <c r="U185" i="36"/>
  <c r="T185" i="36"/>
  <c r="S185" i="36"/>
  <c r="X184" i="36"/>
  <c r="U184" i="36"/>
  <c r="U183" i="36"/>
  <c r="U186" i="36"/>
  <c r="T184" i="36"/>
  <c r="S184" i="36"/>
  <c r="X183" i="36"/>
  <c r="T183" i="36"/>
  <c r="S183" i="36"/>
  <c r="X175" i="36"/>
  <c r="U175" i="36"/>
  <c r="T175" i="36"/>
  <c r="S175" i="36"/>
  <c r="Q175" i="36"/>
  <c r="X174" i="36"/>
  <c r="U174" i="36"/>
  <c r="T174" i="36"/>
  <c r="Q174" i="36"/>
  <c r="X173" i="36"/>
  <c r="U173" i="36"/>
  <c r="T173" i="36"/>
  <c r="S173" i="36"/>
  <c r="Q173" i="36"/>
  <c r="U234" i="36"/>
  <c r="X234" i="36"/>
  <c r="T202" i="36"/>
  <c r="U198" i="36"/>
  <c r="Q212" i="36"/>
  <c r="Q226" i="36"/>
  <c r="U176" i="36"/>
  <c r="X207" i="36"/>
  <c r="S226" i="36"/>
  <c r="Q176" i="36"/>
  <c r="S230" i="36"/>
  <c r="U191" i="36"/>
  <c r="T176" i="36"/>
  <c r="X176" i="36"/>
  <c r="Q191" i="36"/>
  <c r="S198" i="36"/>
  <c r="S202" i="36"/>
  <c r="U202" i="36"/>
  <c r="T212" i="36"/>
  <c r="X212" i="36"/>
  <c r="U217" i="36"/>
  <c r="T221" i="36"/>
  <c r="X221" i="36"/>
  <c r="T226" i="36"/>
  <c r="X226" i="36"/>
  <c r="U230" i="36"/>
  <c r="S234" i="36"/>
  <c r="T230" i="36"/>
  <c r="X230" i="36"/>
  <c r="Q221" i="36"/>
  <c r="U221" i="36"/>
  <c r="U207" i="36"/>
  <c r="S212" i="36"/>
  <c r="S217" i="36"/>
  <c r="Q207" i="36"/>
  <c r="S176" i="36"/>
  <c r="S186" i="36"/>
  <c r="T186" i="36"/>
  <c r="X186" i="36"/>
  <c r="T191" i="36"/>
  <c r="X191" i="36"/>
  <c r="T217" i="36"/>
  <c r="X217" i="36"/>
  <c r="I219" i="36"/>
  <c r="V219" i="36"/>
  <c r="I220" i="36"/>
  <c r="V220" i="36"/>
  <c r="V221" i="36"/>
  <c r="K234" i="36"/>
  <c r="H234" i="36"/>
  <c r="G234" i="36"/>
  <c r="F234" i="36"/>
  <c r="F235" i="36"/>
  <c r="I233" i="36"/>
  <c r="V233" i="36"/>
  <c r="E233" i="36"/>
  <c r="R233" i="36"/>
  <c r="I232" i="36"/>
  <c r="V232" i="36"/>
  <c r="E232" i="36"/>
  <c r="R232" i="36"/>
  <c r="K230" i="36"/>
  <c r="H230" i="36"/>
  <c r="G230" i="36"/>
  <c r="F230" i="36"/>
  <c r="F231" i="36"/>
  <c r="I229" i="36"/>
  <c r="V229" i="36"/>
  <c r="E229" i="36"/>
  <c r="R229" i="36"/>
  <c r="I228" i="36"/>
  <c r="V228" i="36"/>
  <c r="E228" i="36"/>
  <c r="R228" i="36"/>
  <c r="K226" i="36"/>
  <c r="H226" i="36"/>
  <c r="G226" i="36"/>
  <c r="F226" i="36"/>
  <c r="F227" i="36"/>
  <c r="I225" i="36"/>
  <c r="V225" i="36"/>
  <c r="E225" i="36"/>
  <c r="R225" i="36"/>
  <c r="I224" i="36"/>
  <c r="V224" i="36"/>
  <c r="E224" i="36"/>
  <c r="R224" i="36"/>
  <c r="I223" i="36"/>
  <c r="V223" i="36"/>
  <c r="E223" i="36"/>
  <c r="R223" i="36"/>
  <c r="K221" i="36"/>
  <c r="H221" i="36"/>
  <c r="G221" i="36"/>
  <c r="F221" i="36"/>
  <c r="F222" i="36"/>
  <c r="J220" i="36"/>
  <c r="W220" i="36"/>
  <c r="E220" i="36"/>
  <c r="R220" i="36"/>
  <c r="J219" i="36"/>
  <c r="W219" i="36"/>
  <c r="E219" i="36"/>
  <c r="R219" i="36"/>
  <c r="K217" i="36"/>
  <c r="H217" i="36"/>
  <c r="H218" i="36"/>
  <c r="G217" i="36"/>
  <c r="F217" i="36"/>
  <c r="F218" i="36"/>
  <c r="I216" i="36"/>
  <c r="E216" i="36"/>
  <c r="R216" i="36"/>
  <c r="I215" i="36"/>
  <c r="V215" i="36"/>
  <c r="E215" i="36"/>
  <c r="R215" i="36"/>
  <c r="I214" i="36"/>
  <c r="V214" i="36"/>
  <c r="E214" i="36"/>
  <c r="R214" i="36"/>
  <c r="K212" i="36"/>
  <c r="H212" i="36"/>
  <c r="G212" i="36"/>
  <c r="F212" i="36"/>
  <c r="F213" i="36"/>
  <c r="I211" i="36"/>
  <c r="V211" i="36"/>
  <c r="E211" i="36"/>
  <c r="R211" i="36"/>
  <c r="I210" i="36"/>
  <c r="V210" i="36"/>
  <c r="E210" i="36"/>
  <c r="R210" i="36"/>
  <c r="I209" i="36"/>
  <c r="V209" i="36"/>
  <c r="V212" i="36"/>
  <c r="E209" i="36"/>
  <c r="R209" i="36"/>
  <c r="K207" i="36"/>
  <c r="H207" i="36"/>
  <c r="G207" i="36"/>
  <c r="F207" i="36"/>
  <c r="F208" i="36"/>
  <c r="I206" i="36"/>
  <c r="V206" i="36"/>
  <c r="E206" i="36"/>
  <c r="R206" i="36"/>
  <c r="I205" i="36"/>
  <c r="V205" i="36"/>
  <c r="E205" i="36"/>
  <c r="R205" i="36"/>
  <c r="I204" i="36"/>
  <c r="V204" i="36"/>
  <c r="E204" i="36"/>
  <c r="R204" i="36"/>
  <c r="K202" i="36"/>
  <c r="H202" i="36"/>
  <c r="G202" i="36"/>
  <c r="F202" i="36"/>
  <c r="F203" i="36"/>
  <c r="I201" i="36"/>
  <c r="V201" i="36"/>
  <c r="E201" i="36"/>
  <c r="R201" i="36"/>
  <c r="I200" i="36"/>
  <c r="V200" i="36"/>
  <c r="V202" i="36"/>
  <c r="E200" i="36"/>
  <c r="R200" i="36"/>
  <c r="K198" i="36"/>
  <c r="H198" i="36"/>
  <c r="G198" i="36"/>
  <c r="F198" i="36"/>
  <c r="F199" i="36"/>
  <c r="I197" i="36"/>
  <c r="V197" i="36"/>
  <c r="E197" i="36"/>
  <c r="R197" i="36"/>
  <c r="I196" i="36"/>
  <c r="V196" i="36"/>
  <c r="E196" i="36"/>
  <c r="R196" i="36"/>
  <c r="R221" i="36"/>
  <c r="R202" i="36"/>
  <c r="R212" i="36"/>
  <c r="R230" i="36"/>
  <c r="R198" i="36"/>
  <c r="R234" i="36"/>
  <c r="V207" i="36"/>
  <c r="V234" i="36"/>
  <c r="V198" i="36"/>
  <c r="R207" i="36"/>
  <c r="R217" i="36"/>
  <c r="W221" i="36"/>
  <c r="R226" i="36"/>
  <c r="V230" i="36"/>
  <c r="J216" i="36"/>
  <c r="W216" i="36"/>
  <c r="V216" i="36"/>
  <c r="V217" i="36"/>
  <c r="V226" i="36"/>
  <c r="E221" i="36"/>
  <c r="E222" i="36"/>
  <c r="G208" i="36"/>
  <c r="I217" i="36"/>
  <c r="I218" i="36"/>
  <c r="J215" i="36"/>
  <c r="W215" i="36"/>
  <c r="K235" i="36"/>
  <c r="G231" i="36"/>
  <c r="K208" i="36"/>
  <c r="E217" i="36"/>
  <c r="E218" i="36"/>
  <c r="K231" i="36"/>
  <c r="G235" i="36"/>
  <c r="K222" i="36"/>
  <c r="J214" i="36"/>
  <c r="W214" i="36"/>
  <c r="K199" i="36"/>
  <c r="I234" i="36"/>
  <c r="J232" i="36"/>
  <c r="W232" i="36"/>
  <c r="J233" i="36"/>
  <c r="W233" i="36"/>
  <c r="E234" i="36"/>
  <c r="H235" i="36"/>
  <c r="E230" i="36"/>
  <c r="I230" i="36"/>
  <c r="H231" i="36"/>
  <c r="J228" i="36"/>
  <c r="W228" i="36"/>
  <c r="J229" i="36"/>
  <c r="W229" i="36"/>
  <c r="G227" i="36"/>
  <c r="K227" i="36"/>
  <c r="E226" i="36"/>
  <c r="I226" i="36"/>
  <c r="H227" i="36"/>
  <c r="J223" i="36"/>
  <c r="W223" i="36"/>
  <c r="J224" i="36"/>
  <c r="W224" i="36"/>
  <c r="J225" i="36"/>
  <c r="W225" i="36"/>
  <c r="J221" i="36"/>
  <c r="G222" i="36"/>
  <c r="I221" i="36"/>
  <c r="H222" i="36"/>
  <c r="G218" i="36"/>
  <c r="K218" i="36"/>
  <c r="G213" i="36"/>
  <c r="K213" i="36"/>
  <c r="E212" i="36"/>
  <c r="I212" i="36"/>
  <c r="H213" i="36"/>
  <c r="J209" i="36"/>
  <c r="W209" i="36"/>
  <c r="J210" i="36"/>
  <c r="W210" i="36"/>
  <c r="J211" i="36"/>
  <c r="W211" i="36"/>
  <c r="I207" i="36"/>
  <c r="J204" i="36"/>
  <c r="W204" i="36"/>
  <c r="J205" i="36"/>
  <c r="W205" i="36"/>
  <c r="J206" i="36"/>
  <c r="W206" i="36"/>
  <c r="E207" i="36"/>
  <c r="H208" i="36"/>
  <c r="K203" i="36"/>
  <c r="G203" i="36"/>
  <c r="G199" i="36"/>
  <c r="E198" i="36"/>
  <c r="I198" i="36"/>
  <c r="E202" i="36"/>
  <c r="I202" i="36"/>
  <c r="H203" i="36"/>
  <c r="J196" i="36"/>
  <c r="W196" i="36"/>
  <c r="J197" i="36"/>
  <c r="W197" i="36"/>
  <c r="J200" i="36"/>
  <c r="W200" i="36"/>
  <c r="J201" i="36"/>
  <c r="W201" i="36"/>
  <c r="H199" i="36"/>
  <c r="I190" i="36"/>
  <c r="I189" i="36"/>
  <c r="I188" i="36"/>
  <c r="I185" i="36"/>
  <c r="I184" i="36"/>
  <c r="I183" i="36"/>
  <c r="I175" i="36"/>
  <c r="I174" i="36"/>
  <c r="E190" i="36"/>
  <c r="R190" i="36"/>
  <c r="E189" i="36"/>
  <c r="R189" i="36"/>
  <c r="E188" i="36"/>
  <c r="R188" i="36"/>
  <c r="E185" i="36"/>
  <c r="R185" i="36"/>
  <c r="E184" i="36"/>
  <c r="R184" i="36"/>
  <c r="E183" i="36"/>
  <c r="R183" i="36"/>
  <c r="E175" i="36"/>
  <c r="R175" i="36"/>
  <c r="E174" i="36"/>
  <c r="R174" i="36"/>
  <c r="E173" i="36"/>
  <c r="R173" i="36"/>
  <c r="R191" i="36"/>
  <c r="W202" i="36"/>
  <c r="W198" i="36"/>
  <c r="W234" i="36"/>
  <c r="R176" i="36"/>
  <c r="W207" i="36"/>
  <c r="W217" i="36"/>
  <c r="R186" i="36"/>
  <c r="J175" i="36"/>
  <c r="W175" i="36"/>
  <c r="V175" i="36"/>
  <c r="J188" i="36"/>
  <c r="W188" i="36"/>
  <c r="V188" i="36"/>
  <c r="J174" i="36"/>
  <c r="W174" i="36"/>
  <c r="V174" i="36"/>
  <c r="J189" i="36"/>
  <c r="W189" i="36"/>
  <c r="V189" i="36"/>
  <c r="W226" i="36"/>
  <c r="J185" i="36"/>
  <c r="W185" i="36"/>
  <c r="V185" i="36"/>
  <c r="J183" i="36"/>
  <c r="W183" i="36"/>
  <c r="V183" i="36"/>
  <c r="W173" i="36"/>
  <c r="V173" i="36"/>
  <c r="J184" i="36"/>
  <c r="W184" i="36"/>
  <c r="V184" i="36"/>
  <c r="J190" i="36"/>
  <c r="W190" i="36"/>
  <c r="V190" i="36"/>
  <c r="W212" i="36"/>
  <c r="W230" i="36"/>
  <c r="J217" i="36"/>
  <c r="E235" i="36"/>
  <c r="J234" i="36"/>
  <c r="I235" i="36"/>
  <c r="E231" i="36"/>
  <c r="J230" i="36"/>
  <c r="I231" i="36"/>
  <c r="J226" i="36"/>
  <c r="E227" i="36"/>
  <c r="I227" i="36"/>
  <c r="I222" i="36"/>
  <c r="J222" i="36"/>
  <c r="J212" i="36"/>
  <c r="I213" i="36"/>
  <c r="E213" i="36"/>
  <c r="J207" i="36"/>
  <c r="E208" i="36"/>
  <c r="I208" i="36"/>
  <c r="J202" i="36"/>
  <c r="I203" i="36"/>
  <c r="E203" i="36"/>
  <c r="E199" i="36"/>
  <c r="J198" i="36"/>
  <c r="I199" i="36"/>
  <c r="W191" i="36"/>
  <c r="W186" i="36"/>
  <c r="V176" i="36"/>
  <c r="V186" i="36"/>
  <c r="W176" i="36"/>
  <c r="V191" i="36"/>
  <c r="J218" i="36"/>
  <c r="J235" i="36"/>
  <c r="J231" i="36"/>
  <c r="J227" i="36"/>
  <c r="J213" i="36"/>
  <c r="J208" i="36"/>
  <c r="J199" i="36"/>
  <c r="J203" i="36"/>
  <c r="K191" i="36"/>
  <c r="J191" i="36"/>
  <c r="I191" i="36"/>
  <c r="H191" i="36"/>
  <c r="G191" i="36"/>
  <c r="F191" i="36"/>
  <c r="E191" i="36"/>
  <c r="K186" i="36"/>
  <c r="J186" i="36"/>
  <c r="I186" i="36"/>
  <c r="H186" i="36"/>
  <c r="G186" i="36"/>
  <c r="F186" i="36"/>
  <c r="E186" i="36"/>
  <c r="E176" i="36"/>
  <c r="F176" i="36"/>
  <c r="G176" i="36"/>
  <c r="H176" i="36"/>
  <c r="I176" i="36"/>
  <c r="J176" i="36"/>
  <c r="K176" i="36"/>
  <c r="H115" i="37"/>
  <c r="M28" i="27"/>
  <c r="M32" i="27"/>
  <c r="M33" i="27"/>
  <c r="I26" i="27"/>
  <c r="M25" i="27"/>
  <c r="M18" i="27"/>
  <c r="M19" i="27"/>
  <c r="M13" i="27"/>
  <c r="M14" i="27"/>
  <c r="M8" i="27"/>
  <c r="M39" i="2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P149" i="37"/>
  <c r="J115" i="37"/>
  <c r="D116" i="37"/>
  <c r="B150" i="37"/>
  <c r="D117" i="37"/>
  <c r="B151" i="37"/>
  <c r="D83" i="37"/>
  <c r="D118" i="37"/>
  <c r="B152" i="37"/>
  <c r="D119" i="37"/>
  <c r="B153" i="37"/>
  <c r="D120" i="37"/>
  <c r="B154" i="37"/>
  <c r="D121" i="37"/>
  <c r="B155" i="37"/>
  <c r="D122" i="37"/>
  <c r="B156" i="37"/>
  <c r="D123" i="37"/>
  <c r="B157" i="37"/>
  <c r="D124" i="37"/>
  <c r="B158" i="37"/>
  <c r="D125" i="37"/>
  <c r="B159" i="37"/>
  <c r="D126" i="37"/>
  <c r="B160" i="37"/>
  <c r="D127" i="37"/>
  <c r="B161" i="37"/>
  <c r="D128" i="37"/>
  <c r="B162" i="37"/>
  <c r="D129" i="37"/>
  <c r="B163" i="37"/>
  <c r="D130" i="37"/>
  <c r="B164" i="37"/>
  <c r="D131" i="37"/>
  <c r="B165" i="37"/>
  <c r="D132" i="37"/>
  <c r="B166" i="37"/>
  <c r="D133" i="37"/>
  <c r="B167" i="37"/>
  <c r="D134" i="37"/>
  <c r="B168" i="37"/>
  <c r="D135" i="37"/>
  <c r="B169" i="37"/>
  <c r="D136" i="37"/>
  <c r="B170" i="37"/>
  <c r="D137" i="37"/>
  <c r="B171" i="37"/>
  <c r="D138" i="37"/>
  <c r="B172" i="37"/>
  <c r="D139" i="37"/>
  <c r="B173" i="37"/>
  <c r="D140" i="37"/>
  <c r="B174" i="37"/>
  <c r="D141" i="37"/>
  <c r="B175" i="37"/>
  <c r="D142" i="37"/>
  <c r="B176" i="37"/>
  <c r="D143" i="37"/>
  <c r="B177" i="37"/>
  <c r="N344" i="36"/>
  <c r="N345" i="36"/>
  <c r="N346" i="36"/>
  <c r="N347" i="36"/>
  <c r="N348" i="36"/>
  <c r="N349" i="36"/>
  <c r="N350" i="36"/>
  <c r="N351" i="36"/>
  <c r="N352" i="36"/>
  <c r="N353" i="36"/>
  <c r="N354" i="36"/>
  <c r="N355" i="36"/>
  <c r="N356" i="36"/>
  <c r="N357" i="36"/>
  <c r="N358" i="36"/>
  <c r="N343" i="36"/>
  <c r="M344" i="36"/>
  <c r="M345" i="36"/>
  <c r="M346" i="36"/>
  <c r="M347" i="36"/>
  <c r="M348" i="36"/>
  <c r="M349" i="36"/>
  <c r="M350" i="36"/>
  <c r="M351" i="36"/>
  <c r="M352" i="36"/>
  <c r="M353" i="36"/>
  <c r="M354" i="36"/>
  <c r="M355" i="36"/>
  <c r="M356" i="36"/>
  <c r="M357" i="36"/>
  <c r="M358" i="36"/>
  <c r="M343" i="36"/>
  <c r="C359" i="36"/>
  <c r="E116" i="37"/>
  <c r="C150" i="37"/>
  <c r="H116" i="37"/>
  <c r="D150" i="37"/>
  <c r="K116" i="37"/>
  <c r="E150" i="37"/>
  <c r="L81" i="37"/>
  <c r="L116" i="37"/>
  <c r="F150" i="37"/>
  <c r="E117" i="37"/>
  <c r="C151" i="37"/>
  <c r="H117" i="37"/>
  <c r="D151" i="37"/>
  <c r="K117" i="37"/>
  <c r="E151" i="37"/>
  <c r="L82" i="37"/>
  <c r="L117" i="37"/>
  <c r="F151" i="37"/>
  <c r="E118" i="37"/>
  <c r="C152" i="37"/>
  <c r="H118" i="37"/>
  <c r="D152" i="37"/>
  <c r="K118" i="37"/>
  <c r="E152" i="37"/>
  <c r="L83" i="37"/>
  <c r="L118" i="37"/>
  <c r="F152" i="37"/>
  <c r="E119" i="37"/>
  <c r="C153" i="37"/>
  <c r="H119" i="37"/>
  <c r="D153" i="37"/>
  <c r="K119" i="37"/>
  <c r="E153" i="37"/>
  <c r="L84" i="37"/>
  <c r="L119" i="37"/>
  <c r="F153" i="37"/>
  <c r="E120" i="37"/>
  <c r="C154" i="37"/>
  <c r="H120" i="37"/>
  <c r="D154" i="37"/>
  <c r="K120" i="37"/>
  <c r="E154" i="37"/>
  <c r="L85" i="37"/>
  <c r="L120" i="37"/>
  <c r="F154" i="37"/>
  <c r="E121" i="37"/>
  <c r="C155" i="37"/>
  <c r="H121" i="37"/>
  <c r="D155" i="37"/>
  <c r="K121" i="37"/>
  <c r="E155" i="37"/>
  <c r="L86" i="37"/>
  <c r="L121" i="37"/>
  <c r="F155" i="37"/>
  <c r="E122" i="37"/>
  <c r="C156" i="37"/>
  <c r="H122" i="37"/>
  <c r="D156" i="37"/>
  <c r="K122" i="37"/>
  <c r="E156" i="37"/>
  <c r="L87" i="37"/>
  <c r="L122" i="37"/>
  <c r="F156" i="37"/>
  <c r="E123" i="37"/>
  <c r="C157" i="37"/>
  <c r="H123" i="37"/>
  <c r="D157" i="37"/>
  <c r="K123" i="37"/>
  <c r="E157" i="37"/>
  <c r="L88" i="37"/>
  <c r="L123" i="37"/>
  <c r="F157" i="37"/>
  <c r="E124" i="37"/>
  <c r="C158" i="37"/>
  <c r="H124" i="37"/>
  <c r="D158" i="37"/>
  <c r="K124" i="37"/>
  <c r="E158" i="37"/>
  <c r="L89" i="37"/>
  <c r="L124" i="37"/>
  <c r="F158" i="37"/>
  <c r="E125" i="37"/>
  <c r="C159" i="37"/>
  <c r="H125" i="37"/>
  <c r="D159" i="37"/>
  <c r="K125" i="37"/>
  <c r="E159" i="37"/>
  <c r="L90" i="37"/>
  <c r="L125" i="37"/>
  <c r="F159" i="37"/>
  <c r="E126" i="37"/>
  <c r="C160" i="37"/>
  <c r="H126" i="37"/>
  <c r="D160" i="37"/>
  <c r="K126" i="37"/>
  <c r="E160" i="37"/>
  <c r="L91" i="37"/>
  <c r="L126" i="37"/>
  <c r="F160" i="37"/>
  <c r="E127" i="37"/>
  <c r="C161" i="37"/>
  <c r="H127" i="37"/>
  <c r="D161" i="37"/>
  <c r="K127" i="37"/>
  <c r="E161" i="37"/>
  <c r="L92" i="37"/>
  <c r="L127" i="37"/>
  <c r="F161" i="37"/>
  <c r="E128" i="37"/>
  <c r="C162" i="37"/>
  <c r="H128" i="37"/>
  <c r="D162" i="37"/>
  <c r="K128" i="37"/>
  <c r="E162" i="37"/>
  <c r="L93" i="37"/>
  <c r="L128" i="37"/>
  <c r="F162" i="37"/>
  <c r="E129" i="37"/>
  <c r="C163" i="37"/>
  <c r="H129" i="37"/>
  <c r="D163" i="37"/>
  <c r="K129" i="37"/>
  <c r="E163" i="37"/>
  <c r="L94" i="37"/>
  <c r="L129" i="37"/>
  <c r="F163" i="37"/>
  <c r="E130" i="37"/>
  <c r="C164" i="37"/>
  <c r="H130" i="37"/>
  <c r="D164" i="37"/>
  <c r="K130" i="37"/>
  <c r="E164" i="37"/>
  <c r="L95" i="37"/>
  <c r="L130" i="37"/>
  <c r="F164" i="37"/>
  <c r="E131" i="37"/>
  <c r="C165" i="37"/>
  <c r="H131" i="37"/>
  <c r="D165" i="37"/>
  <c r="K131" i="37"/>
  <c r="E165" i="37"/>
  <c r="L96" i="37"/>
  <c r="L131" i="37"/>
  <c r="F165" i="37"/>
  <c r="E132" i="37"/>
  <c r="C166" i="37"/>
  <c r="H132" i="37"/>
  <c r="D166" i="37"/>
  <c r="K132" i="37"/>
  <c r="E166" i="37"/>
  <c r="L97" i="37"/>
  <c r="L132" i="37"/>
  <c r="F166" i="37"/>
  <c r="E133" i="37"/>
  <c r="C167" i="37"/>
  <c r="H133" i="37"/>
  <c r="D167" i="37"/>
  <c r="K133" i="37"/>
  <c r="E167" i="37"/>
  <c r="L98" i="37"/>
  <c r="L133" i="37"/>
  <c r="F167" i="37"/>
  <c r="E134" i="37"/>
  <c r="C168" i="37"/>
  <c r="H134" i="37"/>
  <c r="D168" i="37"/>
  <c r="K134" i="37"/>
  <c r="E168" i="37"/>
  <c r="L99" i="37"/>
  <c r="L134" i="37"/>
  <c r="F168" i="37"/>
  <c r="E135" i="37"/>
  <c r="C169" i="37"/>
  <c r="H135" i="37"/>
  <c r="D169" i="37"/>
  <c r="K135" i="37"/>
  <c r="E169" i="37"/>
  <c r="L100" i="37"/>
  <c r="L135" i="37"/>
  <c r="F169" i="37"/>
  <c r="E136" i="37"/>
  <c r="C170" i="37"/>
  <c r="H136" i="37"/>
  <c r="D170" i="37"/>
  <c r="K136" i="37"/>
  <c r="E170" i="37"/>
  <c r="L101" i="37"/>
  <c r="L136" i="37"/>
  <c r="F170" i="37"/>
  <c r="E137" i="37"/>
  <c r="C171" i="37"/>
  <c r="H137" i="37"/>
  <c r="D171" i="37"/>
  <c r="K137" i="37"/>
  <c r="E171" i="37"/>
  <c r="L102" i="37"/>
  <c r="L137" i="37"/>
  <c r="F171" i="37"/>
  <c r="E138" i="37"/>
  <c r="C172" i="37"/>
  <c r="H138" i="37"/>
  <c r="D172" i="37"/>
  <c r="K138" i="37"/>
  <c r="E172" i="37"/>
  <c r="L103" i="37"/>
  <c r="L138" i="37"/>
  <c r="F172" i="37"/>
  <c r="E139" i="37"/>
  <c r="C173" i="37"/>
  <c r="H139" i="37"/>
  <c r="D173" i="37"/>
  <c r="K139" i="37"/>
  <c r="E173" i="37"/>
  <c r="L104" i="37"/>
  <c r="L139" i="37"/>
  <c r="F173" i="37"/>
  <c r="E140" i="37"/>
  <c r="C174" i="37"/>
  <c r="H140" i="37"/>
  <c r="D174" i="37"/>
  <c r="K140" i="37"/>
  <c r="E174" i="37"/>
  <c r="L105" i="37"/>
  <c r="L140" i="37"/>
  <c r="F174" i="37"/>
  <c r="E141" i="37"/>
  <c r="C175" i="37"/>
  <c r="H141" i="37"/>
  <c r="D175" i="37"/>
  <c r="K141" i="37"/>
  <c r="E175" i="37"/>
  <c r="L106" i="37"/>
  <c r="L141" i="37"/>
  <c r="F175" i="37"/>
  <c r="E142" i="37"/>
  <c r="C176" i="37"/>
  <c r="H142" i="37"/>
  <c r="D176" i="37"/>
  <c r="K142" i="37"/>
  <c r="E176" i="37"/>
  <c r="L107" i="37"/>
  <c r="L142" i="37"/>
  <c r="F176" i="37"/>
  <c r="E143" i="37"/>
  <c r="C177" i="37"/>
  <c r="H143" i="37"/>
  <c r="D177" i="37"/>
  <c r="K143" i="37"/>
  <c r="E177" i="37"/>
  <c r="L108" i="37"/>
  <c r="L143" i="37"/>
  <c r="F177" i="37"/>
  <c r="A185" i="37"/>
  <c r="F116" i="37"/>
  <c r="C185" i="37"/>
  <c r="A186" i="37"/>
  <c r="F117" i="37"/>
  <c r="C186" i="37"/>
  <c r="A187" i="37"/>
  <c r="F118" i="37"/>
  <c r="C187" i="37"/>
  <c r="A188" i="37"/>
  <c r="F119" i="37"/>
  <c r="C188" i="37"/>
  <c r="A189" i="37"/>
  <c r="F120" i="37"/>
  <c r="C189" i="37"/>
  <c r="A190" i="37"/>
  <c r="F121" i="37"/>
  <c r="C190" i="37"/>
  <c r="A191" i="37"/>
  <c r="F122" i="37"/>
  <c r="C191" i="37"/>
  <c r="A192" i="37"/>
  <c r="F123" i="37"/>
  <c r="C192" i="37"/>
  <c r="A193" i="37"/>
  <c r="F124" i="37"/>
  <c r="C193" i="37"/>
  <c r="A194" i="37"/>
  <c r="F125" i="37"/>
  <c r="C194" i="37"/>
  <c r="A195" i="37"/>
  <c r="F126" i="37"/>
  <c r="C195" i="37"/>
  <c r="A196" i="37"/>
  <c r="F127" i="37"/>
  <c r="C196" i="37"/>
  <c r="A197" i="37"/>
  <c r="F128" i="37"/>
  <c r="C197" i="37"/>
  <c r="A198" i="37"/>
  <c r="F129" i="37"/>
  <c r="C198" i="37"/>
  <c r="A199" i="37"/>
  <c r="F130" i="37"/>
  <c r="C199" i="37"/>
  <c r="A200" i="37"/>
  <c r="F131" i="37"/>
  <c r="C200" i="37"/>
  <c r="A201" i="37"/>
  <c r="F132" i="37"/>
  <c r="C201" i="37"/>
  <c r="A202" i="37"/>
  <c r="F133" i="37"/>
  <c r="C202" i="37"/>
  <c r="A203" i="37"/>
  <c r="F134" i="37"/>
  <c r="C203" i="37"/>
  <c r="A204" i="37"/>
  <c r="F135" i="37"/>
  <c r="C204" i="37"/>
  <c r="A205" i="37"/>
  <c r="F136" i="37"/>
  <c r="C205" i="37"/>
  <c r="A206" i="37"/>
  <c r="F137" i="37"/>
  <c r="C206" i="37"/>
  <c r="A207" i="37"/>
  <c r="F138" i="37"/>
  <c r="C207" i="37"/>
  <c r="A208" i="37"/>
  <c r="F139" i="37"/>
  <c r="C208" i="37"/>
  <c r="A209" i="37"/>
  <c r="F140" i="37"/>
  <c r="C209" i="37"/>
  <c r="A210" i="37"/>
  <c r="F141" i="37"/>
  <c r="C210" i="37"/>
  <c r="A211" i="37"/>
  <c r="F142" i="37"/>
  <c r="C211" i="37"/>
  <c r="A212" i="37"/>
  <c r="F143" i="37"/>
  <c r="C212" i="37"/>
  <c r="I116" i="37"/>
  <c r="E185" i="37"/>
  <c r="I117" i="37"/>
  <c r="E186" i="37"/>
  <c r="I118" i="37"/>
  <c r="E187" i="37"/>
  <c r="I119" i="37"/>
  <c r="E188" i="37"/>
  <c r="I120" i="37"/>
  <c r="E189" i="37"/>
  <c r="I121" i="37"/>
  <c r="E190" i="37"/>
  <c r="I122" i="37"/>
  <c r="E191" i="37"/>
  <c r="I123" i="37"/>
  <c r="E192" i="37"/>
  <c r="I124" i="37"/>
  <c r="E193" i="37"/>
  <c r="I125" i="37"/>
  <c r="E194" i="37"/>
  <c r="I126" i="37"/>
  <c r="E195" i="37"/>
  <c r="I127" i="37"/>
  <c r="E196" i="37"/>
  <c r="I128" i="37"/>
  <c r="E197" i="37"/>
  <c r="I129" i="37"/>
  <c r="E198" i="37"/>
  <c r="I130" i="37"/>
  <c r="E199" i="37"/>
  <c r="I131" i="37"/>
  <c r="E200" i="37"/>
  <c r="I132" i="37"/>
  <c r="E201" i="37"/>
  <c r="I133" i="37"/>
  <c r="E202" i="37"/>
  <c r="I134" i="37"/>
  <c r="E203" i="37"/>
  <c r="I135" i="37"/>
  <c r="E204" i="37"/>
  <c r="I136" i="37"/>
  <c r="E205" i="37"/>
  <c r="I137" i="37"/>
  <c r="E206" i="37"/>
  <c r="I138" i="37"/>
  <c r="E207" i="37"/>
  <c r="I139" i="37"/>
  <c r="E208" i="37"/>
  <c r="I140" i="37"/>
  <c r="E209" i="37"/>
  <c r="I141" i="37"/>
  <c r="E210" i="37"/>
  <c r="I142" i="37"/>
  <c r="E211" i="37"/>
  <c r="I143" i="37"/>
  <c r="E212" i="37"/>
  <c r="E17" i="37"/>
  <c r="M17" i="37"/>
  <c r="F24" i="37"/>
  <c r="H24" i="37"/>
  <c r="P19" i="37"/>
  <c r="C24" i="37"/>
  <c r="N19" i="37"/>
  <c r="B16" i="37"/>
  <c r="J143" i="37"/>
  <c r="G143" i="37"/>
  <c r="C143" i="37"/>
  <c r="B143" i="37"/>
  <c r="J142" i="37"/>
  <c r="G142" i="37"/>
  <c r="C142" i="37"/>
  <c r="B142" i="37"/>
  <c r="J141" i="37"/>
  <c r="G141" i="37"/>
  <c r="D210" i="37"/>
  <c r="C141" i="37"/>
  <c r="B141" i="37"/>
  <c r="J140" i="37"/>
  <c r="G140" i="37"/>
  <c r="C140" i="37"/>
  <c r="B140" i="37"/>
  <c r="J139" i="37"/>
  <c r="G139" i="37"/>
  <c r="C139" i="37"/>
  <c r="B139" i="37"/>
  <c r="J138" i="37"/>
  <c r="G138" i="37"/>
  <c r="C138" i="37"/>
  <c r="B138" i="37"/>
  <c r="J137" i="37"/>
  <c r="G137" i="37"/>
  <c r="C137" i="37"/>
  <c r="B137" i="37"/>
  <c r="J136" i="37"/>
  <c r="G136" i="37"/>
  <c r="C136" i="37"/>
  <c r="B136" i="37"/>
  <c r="J135" i="37"/>
  <c r="G135" i="37"/>
  <c r="C135" i="37"/>
  <c r="B135" i="37"/>
  <c r="J134" i="37"/>
  <c r="G134" i="37"/>
  <c r="C134" i="37"/>
  <c r="B134" i="37"/>
  <c r="J133" i="37"/>
  <c r="G133" i="37"/>
  <c r="C133" i="37"/>
  <c r="B133" i="37"/>
  <c r="J132" i="37"/>
  <c r="G132" i="37"/>
  <c r="C132" i="37"/>
  <c r="B132" i="37"/>
  <c r="J131" i="37"/>
  <c r="G131" i="37"/>
  <c r="C131" i="37"/>
  <c r="B131" i="37"/>
  <c r="J130" i="37"/>
  <c r="G130" i="37"/>
  <c r="C130" i="37"/>
  <c r="B130" i="37"/>
  <c r="J129" i="37"/>
  <c r="G129" i="37"/>
  <c r="C129" i="37"/>
  <c r="B129" i="37"/>
  <c r="J128" i="37"/>
  <c r="G128" i="37"/>
  <c r="D197" i="37"/>
  <c r="C128" i="37"/>
  <c r="B128" i="37"/>
  <c r="J127" i="37"/>
  <c r="G127" i="37"/>
  <c r="C127" i="37"/>
  <c r="B127" i="37"/>
  <c r="J126" i="37"/>
  <c r="G126" i="37"/>
  <c r="C126" i="37"/>
  <c r="B126" i="37"/>
  <c r="J125" i="37"/>
  <c r="G125" i="37"/>
  <c r="C125" i="37"/>
  <c r="B125" i="37"/>
  <c r="J124" i="37"/>
  <c r="G124" i="37"/>
  <c r="C124" i="37"/>
  <c r="B124" i="37"/>
  <c r="J123" i="37"/>
  <c r="G123" i="37"/>
  <c r="C123" i="37"/>
  <c r="B123" i="37"/>
  <c r="J122" i="37"/>
  <c r="G122" i="37"/>
  <c r="C122" i="37"/>
  <c r="B122" i="37"/>
  <c r="J121" i="37"/>
  <c r="G121" i="37"/>
  <c r="C121" i="37"/>
  <c r="B121" i="37"/>
  <c r="J120" i="37"/>
  <c r="G120" i="37"/>
  <c r="C120" i="37"/>
  <c r="B120" i="37"/>
  <c r="J119" i="37"/>
  <c r="G119" i="37"/>
  <c r="C119" i="37"/>
  <c r="B119" i="37"/>
  <c r="J118" i="37"/>
  <c r="G118" i="37"/>
  <c r="C118" i="37"/>
  <c r="B118" i="37"/>
  <c r="J117" i="37"/>
  <c r="G117" i="37"/>
  <c r="C117" i="37"/>
  <c r="B117" i="37"/>
  <c r="J116" i="37"/>
  <c r="G116" i="37"/>
  <c r="C116" i="37"/>
  <c r="B116" i="37"/>
  <c r="B115" i="37"/>
  <c r="M107" i="37"/>
  <c r="M142" i="37"/>
  <c r="M104" i="37"/>
  <c r="M139" i="37"/>
  <c r="M103" i="37"/>
  <c r="M138" i="37"/>
  <c r="D36" i="37"/>
  <c r="C36" i="37"/>
  <c r="C34" i="37"/>
  <c r="K21" i="37"/>
  <c r="D35" i="37"/>
  <c r="H35" i="37"/>
  <c r="G34" i="37"/>
  <c r="E34" i="37"/>
  <c r="C33" i="37"/>
  <c r="G33" i="37"/>
  <c r="H33" i="37"/>
  <c r="D32" i="37"/>
  <c r="C32" i="37"/>
  <c r="D31" i="37"/>
  <c r="C31" i="37"/>
  <c r="G31" i="37"/>
  <c r="H31" i="37"/>
  <c r="E30" i="37"/>
  <c r="O19" i="37"/>
  <c r="H23" i="37"/>
  <c r="P18" i="37"/>
  <c r="D22" i="37"/>
  <c r="H22" i="37"/>
  <c r="D21" i="37"/>
  <c r="H21" i="37"/>
  <c r="D20" i="37"/>
  <c r="H20" i="37"/>
  <c r="D19" i="37"/>
  <c r="H19" i="37"/>
  <c r="O18" i="37"/>
  <c r="L18" i="37"/>
  <c r="K18" i="37"/>
  <c r="D18" i="37"/>
  <c r="H18" i="37"/>
  <c r="O17" i="37"/>
  <c r="C17" i="37"/>
  <c r="K17" i="37"/>
  <c r="M90" i="37"/>
  <c r="M125" i="37"/>
  <c r="M106" i="37"/>
  <c r="M141" i="37"/>
  <c r="D34" i="37"/>
  <c r="L21" i="37"/>
  <c r="D30" i="37"/>
  <c r="L20" i="37"/>
  <c r="M92" i="37"/>
  <c r="M127" i="37"/>
  <c r="M97" i="37"/>
  <c r="M132" i="37"/>
  <c r="M84" i="37"/>
  <c r="M119" i="37"/>
  <c r="C30" i="37"/>
  <c r="G30" i="37"/>
  <c r="M88" i="37"/>
  <c r="M123" i="37"/>
  <c r="G32" i="37"/>
  <c r="H32" i="37"/>
  <c r="M21" i="37"/>
  <c r="M86" i="37"/>
  <c r="M121" i="37"/>
  <c r="M100" i="37"/>
  <c r="M135" i="37"/>
  <c r="B204" i="37"/>
  <c r="F203" i="37"/>
  <c r="M95" i="37"/>
  <c r="M130" i="37"/>
  <c r="B209" i="37"/>
  <c r="B208" i="37"/>
  <c r="F208" i="37"/>
  <c r="M81" i="37"/>
  <c r="M116" i="37"/>
  <c r="M83" i="37"/>
  <c r="M118" i="37"/>
  <c r="M85" i="37"/>
  <c r="M120" i="37"/>
  <c r="M87" i="37"/>
  <c r="M122" i="37"/>
  <c r="M89" i="37"/>
  <c r="M124" i="37"/>
  <c r="M91" i="37"/>
  <c r="M126" i="37"/>
  <c r="M93" i="37"/>
  <c r="M128" i="37"/>
  <c r="M94" i="37"/>
  <c r="M129" i="37"/>
  <c r="M96" i="37"/>
  <c r="M131" i="37"/>
  <c r="M98" i="37"/>
  <c r="M133" i="37"/>
  <c r="M99" i="37"/>
  <c r="M134" i="37"/>
  <c r="M101" i="37"/>
  <c r="M136" i="37"/>
  <c r="M102" i="37"/>
  <c r="M137" i="37"/>
  <c r="M108" i="37"/>
  <c r="M143" i="37"/>
  <c r="D208" i="37"/>
  <c r="M105" i="37"/>
  <c r="M140" i="37"/>
  <c r="B197" i="37"/>
  <c r="F197" i="37"/>
  <c r="D17" i="37"/>
  <c r="H36" i="37"/>
  <c r="M82" i="37"/>
  <c r="M117" i="37"/>
  <c r="O21" i="37"/>
  <c r="B210" i="37"/>
  <c r="F210" i="37"/>
  <c r="B212" i="37"/>
  <c r="F211" i="37"/>
  <c r="F205" i="37"/>
  <c r="F204" i="37"/>
  <c r="D204" i="37"/>
  <c r="F207" i="37"/>
  <c r="D207" i="37"/>
  <c r="D209" i="37"/>
  <c r="F209" i="37"/>
  <c r="D212" i="37"/>
  <c r="F212" i="37"/>
  <c r="B207" i="37"/>
  <c r="K19" i="37"/>
  <c r="H34" i="37"/>
  <c r="P21" i="37"/>
  <c r="B203" i="37"/>
  <c r="B211" i="37"/>
  <c r="B205" i="37"/>
  <c r="D205" i="37"/>
  <c r="D203" i="37"/>
  <c r="D211" i="37"/>
  <c r="D193" i="37"/>
  <c r="B193" i="37"/>
  <c r="F193" i="37"/>
  <c r="B200" i="37"/>
  <c r="D200" i="37"/>
  <c r="F200" i="37"/>
  <c r="D186" i="37"/>
  <c r="B186" i="37"/>
  <c r="F186" i="37"/>
  <c r="F194" i="37"/>
  <c r="D194" i="37"/>
  <c r="B194" i="37"/>
  <c r="D191" i="37"/>
  <c r="B191" i="37"/>
  <c r="F191" i="37"/>
  <c r="F195" i="37"/>
  <c r="B195" i="37"/>
  <c r="D195" i="37"/>
  <c r="D188" i="37"/>
  <c r="B188" i="37"/>
  <c r="F188" i="37"/>
  <c r="D187" i="37"/>
  <c r="F187" i="37"/>
  <c r="B187" i="37"/>
  <c r="L17" i="37"/>
  <c r="H17" i="37"/>
  <c r="P17" i="37"/>
  <c r="B206" i="37"/>
  <c r="D206" i="37"/>
  <c r="F206" i="37"/>
  <c r="D189" i="37"/>
  <c r="B189" i="37"/>
  <c r="F189" i="37"/>
  <c r="F201" i="37"/>
  <c r="D201" i="37"/>
  <c r="B201" i="37"/>
  <c r="D190" i="37"/>
  <c r="F190" i="37"/>
  <c r="B190" i="37"/>
  <c r="B198" i="37"/>
  <c r="F198" i="37"/>
  <c r="D198" i="37"/>
  <c r="D196" i="37"/>
  <c r="F196" i="37"/>
  <c r="B196" i="37"/>
  <c r="D199" i="37"/>
  <c r="F199" i="37"/>
  <c r="B199" i="37"/>
  <c r="D192" i="37"/>
  <c r="B192" i="37"/>
  <c r="F192" i="37"/>
  <c r="B202" i="37"/>
  <c r="F202" i="37"/>
  <c r="D202" i="37"/>
  <c r="D185" i="37"/>
  <c r="B185" i="37"/>
  <c r="F185" i="37"/>
  <c r="J176" i="9"/>
  <c r="M29" i="27"/>
  <c r="M23" i="27"/>
  <c r="M17" i="27"/>
  <c r="M10" i="27"/>
  <c r="M9" i="27"/>
  <c r="M7" i="27"/>
  <c r="P34" i="9"/>
  <c r="H380" i="22"/>
  <c r="H398" i="22"/>
  <c r="I380" i="22"/>
  <c r="I397" i="22"/>
  <c r="I400" i="22"/>
  <c r="I409" i="22"/>
  <c r="J380" i="22"/>
  <c r="J398" i="22"/>
  <c r="K380" i="22"/>
  <c r="K398" i="22"/>
  <c r="L380" i="22"/>
  <c r="L398" i="22"/>
  <c r="M380" i="22"/>
  <c r="M396" i="22"/>
  <c r="N380" i="22"/>
  <c r="N398" i="22"/>
  <c r="G380" i="22"/>
  <c r="G398" i="22"/>
  <c r="B405" i="22"/>
  <c r="B406" i="22"/>
  <c r="B407" i="22"/>
  <c r="B408" i="22"/>
  <c r="B409" i="22"/>
  <c r="B410" i="22"/>
  <c r="B411" i="22"/>
  <c r="B404" i="22"/>
  <c r="G41" i="10"/>
  <c r="I37" i="10"/>
  <c r="J12" i="22"/>
  <c r="H12" i="22"/>
  <c r="I12" i="22"/>
  <c r="G12" i="22"/>
  <c r="Q82" i="10"/>
  <c r="S71" i="10"/>
  <c r="S72" i="10"/>
  <c r="S73" i="10"/>
  <c r="S74" i="10"/>
  <c r="S75" i="10"/>
  <c r="S77" i="10"/>
  <c r="S78" i="10"/>
  <c r="S70" i="10"/>
  <c r="M9" i="31"/>
  <c r="G161" i="22"/>
  <c r="M39" i="28"/>
  <c r="Q27" i="10"/>
  <c r="R27" i="10"/>
  <c r="P27" i="10"/>
  <c r="J115" i="3"/>
  <c r="Q94" i="7"/>
  <c r="P94" i="7"/>
  <c r="P95" i="7"/>
  <c r="P64" i="7"/>
  <c r="Q64" i="7"/>
  <c r="R64" i="7"/>
  <c r="P65" i="7"/>
  <c r="Q65" i="7"/>
  <c r="R65" i="7"/>
  <c r="P66" i="7"/>
  <c r="Q66" i="7"/>
  <c r="R66" i="7"/>
  <c r="P67" i="7"/>
  <c r="Q67" i="7"/>
  <c r="R67" i="7"/>
  <c r="P68" i="7"/>
  <c r="Q68" i="7"/>
  <c r="R68" i="7"/>
  <c r="P69" i="7"/>
  <c r="Q69" i="7"/>
  <c r="R69" i="7"/>
  <c r="P70" i="7"/>
  <c r="Q70" i="7"/>
  <c r="R70" i="7"/>
  <c r="P71" i="7"/>
  <c r="Q71" i="7"/>
  <c r="R71" i="7"/>
  <c r="P72" i="7"/>
  <c r="Q72" i="7"/>
  <c r="R72" i="7"/>
  <c r="P73" i="7"/>
  <c r="Q73" i="7"/>
  <c r="R73" i="7"/>
  <c r="P74" i="7"/>
  <c r="Q74" i="7"/>
  <c r="R74" i="7"/>
  <c r="P75" i="7"/>
  <c r="Q75" i="7"/>
  <c r="R75" i="7"/>
  <c r="P76" i="7"/>
  <c r="Q76" i="7"/>
  <c r="R76" i="7"/>
  <c r="P77" i="7"/>
  <c r="Q77" i="7"/>
  <c r="R77" i="7"/>
  <c r="P78" i="7"/>
  <c r="Q78" i="7"/>
  <c r="R78" i="7"/>
  <c r="P79" i="7"/>
  <c r="Q79" i="7"/>
  <c r="R79" i="7"/>
  <c r="P80" i="7"/>
  <c r="Q80" i="7"/>
  <c r="R80" i="7"/>
  <c r="P81" i="7"/>
  <c r="Q81" i="7"/>
  <c r="R81" i="7"/>
  <c r="P82" i="7"/>
  <c r="Q82" i="7"/>
  <c r="R82" i="7"/>
  <c r="P83" i="7"/>
  <c r="Q83" i="7"/>
  <c r="R83" i="7"/>
  <c r="P84" i="7"/>
  <c r="Q84" i="7"/>
  <c r="R84" i="7"/>
  <c r="P85" i="7"/>
  <c r="Q85" i="7"/>
  <c r="R85" i="7"/>
  <c r="P86" i="7"/>
  <c r="Q86" i="7"/>
  <c r="R86" i="7"/>
  <c r="P87" i="7"/>
  <c r="Q87" i="7"/>
  <c r="R87" i="7"/>
  <c r="P88" i="7"/>
  <c r="Q88" i="7"/>
  <c r="R88" i="7"/>
  <c r="P89" i="7"/>
  <c r="Q89" i="7"/>
  <c r="R89" i="7"/>
  <c r="P90" i="7"/>
  <c r="Q90" i="7"/>
  <c r="R90" i="7"/>
  <c r="P91" i="7"/>
  <c r="Q91" i="7"/>
  <c r="R91" i="7"/>
  <c r="P92" i="7"/>
  <c r="Q92" i="7"/>
  <c r="R92" i="7"/>
  <c r="P93" i="7"/>
  <c r="Q93" i="7"/>
  <c r="R93" i="7"/>
  <c r="R94" i="7"/>
  <c r="Q95" i="7"/>
  <c r="R95" i="7"/>
  <c r="Q63" i="7"/>
  <c r="R63" i="7"/>
  <c r="P63" i="7"/>
  <c r="Q27" i="7"/>
  <c r="R27" i="7"/>
  <c r="H105" i="7"/>
  <c r="H106" i="7"/>
  <c r="G100" i="7"/>
  <c r="H100" i="7"/>
  <c r="G101" i="7"/>
  <c r="H101" i="7"/>
  <c r="G102" i="7"/>
  <c r="I9" i="20"/>
  <c r="H102" i="7"/>
  <c r="G103" i="7"/>
  <c r="H103" i="7"/>
  <c r="J10" i="20"/>
  <c r="G104" i="7"/>
  <c r="H104" i="7"/>
  <c r="G105" i="7"/>
  <c r="G106" i="7"/>
  <c r="G122" i="7"/>
  <c r="H122" i="7"/>
  <c r="G123" i="7"/>
  <c r="I38" i="20"/>
  <c r="H123" i="7"/>
  <c r="G124" i="7"/>
  <c r="H124" i="7"/>
  <c r="J39" i="20"/>
  <c r="H99" i="7"/>
  <c r="G99" i="7"/>
  <c r="I6" i="20"/>
  <c r="I29" i="7"/>
  <c r="H29" i="7"/>
  <c r="P37" i="11"/>
  <c r="Q37" i="11"/>
  <c r="R37" i="11"/>
  <c r="P38" i="11"/>
  <c r="Q38" i="11"/>
  <c r="R38" i="11"/>
  <c r="P39" i="11"/>
  <c r="Q39" i="11"/>
  <c r="R39" i="11"/>
  <c r="P40" i="11"/>
  <c r="Q40" i="11"/>
  <c r="R40" i="11"/>
  <c r="P41" i="11"/>
  <c r="Q41" i="11"/>
  <c r="R41" i="11"/>
  <c r="P42" i="11"/>
  <c r="Q42" i="11"/>
  <c r="R42" i="11"/>
  <c r="P43" i="11"/>
  <c r="Q43" i="11"/>
  <c r="R43" i="11"/>
  <c r="P44" i="11"/>
  <c r="Q44" i="11"/>
  <c r="R44" i="11"/>
  <c r="P45" i="11"/>
  <c r="Q45" i="11"/>
  <c r="R45" i="11"/>
  <c r="Q36" i="11"/>
  <c r="R36" i="11"/>
  <c r="P36" i="11"/>
  <c r="P19" i="11"/>
  <c r="Q19" i="11"/>
  <c r="R19" i="11"/>
  <c r="D4" i="11"/>
  <c r="H46" i="11"/>
  <c r="I46" i="11"/>
  <c r="G46" i="11"/>
  <c r="P19" i="3"/>
  <c r="Q19" i="8"/>
  <c r="P19" i="8"/>
  <c r="P18" i="9"/>
  <c r="Q64" i="9"/>
  <c r="P26" i="9"/>
  <c r="P19" i="13"/>
  <c r="R38" i="13"/>
  <c r="Q19" i="13"/>
  <c r="R19" i="13"/>
  <c r="F87" i="31"/>
  <c r="F87" i="32"/>
  <c r="F87" i="30"/>
  <c r="F87" i="28"/>
  <c r="F87" i="27"/>
  <c r="F87" i="14"/>
  <c r="F87" i="4"/>
  <c r="F87" i="20"/>
  <c r="L20" i="4"/>
  <c r="L20" i="14"/>
  <c r="L20" i="30"/>
  <c r="B42" i="20"/>
  <c r="B43" i="20"/>
  <c r="B44" i="20"/>
  <c r="B45" i="20"/>
  <c r="B46" i="20"/>
  <c r="B47" i="20"/>
  <c r="B48" i="20"/>
  <c r="B49" i="20"/>
  <c r="B50" i="20"/>
  <c r="B51" i="20"/>
  <c r="B52" i="20"/>
  <c r="B53" i="20"/>
  <c r="B54" i="20"/>
  <c r="B55" i="20"/>
  <c r="B56" i="20"/>
  <c r="B57" i="20"/>
  <c r="B58" i="20"/>
  <c r="B59" i="20"/>
  <c r="B42" i="4"/>
  <c r="B43" i="4"/>
  <c r="B44" i="4"/>
  <c r="B45" i="4"/>
  <c r="B46" i="4"/>
  <c r="B47" i="4"/>
  <c r="B48" i="4"/>
  <c r="B49" i="4"/>
  <c r="B50" i="4"/>
  <c r="B51" i="4"/>
  <c r="B52" i="4"/>
  <c r="B53" i="4"/>
  <c r="B54" i="4"/>
  <c r="B55" i="4"/>
  <c r="B56" i="4"/>
  <c r="B57" i="4"/>
  <c r="B58" i="4"/>
  <c r="B59" i="4"/>
  <c r="B42" i="14"/>
  <c r="B43" i="14"/>
  <c r="B44" i="14"/>
  <c r="B45" i="14"/>
  <c r="B46" i="14"/>
  <c r="B47" i="14"/>
  <c r="B48" i="14"/>
  <c r="B49" i="14"/>
  <c r="B50" i="14"/>
  <c r="B51" i="14"/>
  <c r="B52" i="14"/>
  <c r="B53" i="14"/>
  <c r="B54" i="14"/>
  <c r="B55" i="14"/>
  <c r="B56" i="14"/>
  <c r="B57" i="14"/>
  <c r="B58" i="14"/>
  <c r="B59" i="14"/>
  <c r="B42" i="27"/>
  <c r="B43" i="27"/>
  <c r="B44" i="27"/>
  <c r="B45" i="27"/>
  <c r="B46" i="27"/>
  <c r="B47" i="27"/>
  <c r="B48" i="27"/>
  <c r="B49" i="27"/>
  <c r="B50" i="27"/>
  <c r="B51" i="27"/>
  <c r="B52" i="27"/>
  <c r="B53" i="27"/>
  <c r="B54" i="27"/>
  <c r="B55" i="27"/>
  <c r="B56" i="27"/>
  <c r="B57" i="27"/>
  <c r="B58" i="27"/>
  <c r="B59" i="27"/>
  <c r="B42" i="28"/>
  <c r="B43" i="28"/>
  <c r="B44" i="28"/>
  <c r="B45" i="28"/>
  <c r="B46" i="28"/>
  <c r="B47" i="28"/>
  <c r="B48" i="28"/>
  <c r="B49" i="28"/>
  <c r="B50" i="28"/>
  <c r="B51" i="28"/>
  <c r="B52" i="28"/>
  <c r="B53" i="28"/>
  <c r="B54" i="28"/>
  <c r="B55" i="28"/>
  <c r="B56" i="28"/>
  <c r="B57" i="28"/>
  <c r="B58" i="28"/>
  <c r="B59" i="28"/>
  <c r="B42" i="30"/>
  <c r="B43" i="30"/>
  <c r="B44" i="30"/>
  <c r="B45" i="30"/>
  <c r="B46" i="30"/>
  <c r="B47" i="30"/>
  <c r="B48" i="30"/>
  <c r="B49" i="30"/>
  <c r="B50" i="30"/>
  <c r="B51" i="30"/>
  <c r="B52" i="30"/>
  <c r="B53" i="30"/>
  <c r="B54" i="30"/>
  <c r="B55" i="30"/>
  <c r="B56" i="30"/>
  <c r="B57" i="30"/>
  <c r="B58" i="30"/>
  <c r="B59" i="30"/>
  <c r="B42" i="31"/>
  <c r="B43" i="31"/>
  <c r="B44" i="31"/>
  <c r="B45" i="31"/>
  <c r="B46" i="31"/>
  <c r="B47" i="31"/>
  <c r="B48" i="31"/>
  <c r="B49" i="31"/>
  <c r="B50" i="31"/>
  <c r="B51" i="31"/>
  <c r="B52" i="31"/>
  <c r="B53" i="31"/>
  <c r="B54" i="31"/>
  <c r="B55" i="31"/>
  <c r="B56" i="31"/>
  <c r="B57" i="31"/>
  <c r="B58" i="31"/>
  <c r="B59" i="31"/>
  <c r="B42" i="32"/>
  <c r="B43" i="32"/>
  <c r="B44" i="32"/>
  <c r="B45" i="32"/>
  <c r="B46" i="32"/>
  <c r="B47" i="32"/>
  <c r="B48" i="32"/>
  <c r="B49" i="32"/>
  <c r="B50" i="32"/>
  <c r="B51" i="32"/>
  <c r="B52" i="32"/>
  <c r="B53" i="32"/>
  <c r="B54" i="32"/>
  <c r="B55" i="32"/>
  <c r="B56" i="32"/>
  <c r="B57" i="32"/>
  <c r="B58" i="32"/>
  <c r="B59" i="32"/>
  <c r="B61" i="32"/>
  <c r="H206" i="13"/>
  <c r="I206" i="13"/>
  <c r="H207" i="13"/>
  <c r="I207" i="13"/>
  <c r="H208" i="13"/>
  <c r="I208" i="13"/>
  <c r="H209" i="13"/>
  <c r="I209" i="13"/>
  <c r="H210" i="13"/>
  <c r="I210" i="13"/>
  <c r="H211" i="13"/>
  <c r="I211" i="13"/>
  <c r="H212" i="13"/>
  <c r="I212" i="13"/>
  <c r="H213" i="13"/>
  <c r="I213" i="13"/>
  <c r="H214" i="13"/>
  <c r="I214" i="13"/>
  <c r="H215" i="13"/>
  <c r="I215" i="13"/>
  <c r="H216" i="13"/>
  <c r="I216" i="13"/>
  <c r="H217" i="13"/>
  <c r="I217" i="13"/>
  <c r="H218" i="13"/>
  <c r="I218" i="13"/>
  <c r="H219" i="13"/>
  <c r="I219" i="13"/>
  <c r="H220" i="13"/>
  <c r="I220" i="13"/>
  <c r="H205" i="13"/>
  <c r="I205" i="13"/>
  <c r="M20" i="31"/>
  <c r="L20" i="32"/>
  <c r="M20" i="32"/>
  <c r="M20" i="28"/>
  <c r="M20" i="27"/>
  <c r="L20" i="20"/>
  <c r="M20" i="20"/>
  <c r="K96" i="7"/>
  <c r="I7" i="20"/>
  <c r="J7" i="20"/>
  <c r="I8" i="20"/>
  <c r="J8" i="20"/>
  <c r="J9" i="20"/>
  <c r="I10" i="20"/>
  <c r="I12" i="20"/>
  <c r="J12" i="20"/>
  <c r="I13" i="20"/>
  <c r="J13" i="20"/>
  <c r="I14" i="20"/>
  <c r="J14" i="20"/>
  <c r="I37" i="20"/>
  <c r="J37" i="20"/>
  <c r="J38" i="20"/>
  <c r="J40" i="20"/>
  <c r="I39" i="20"/>
  <c r="J6" i="20"/>
  <c r="K38" i="27"/>
  <c r="K40" i="27"/>
  <c r="K39" i="27"/>
  <c r="J38" i="27"/>
  <c r="J40" i="27"/>
  <c r="J39" i="27"/>
  <c r="I40" i="27"/>
  <c r="J37" i="27"/>
  <c r="K37" i="27"/>
  <c r="J32" i="27"/>
  <c r="K32" i="27"/>
  <c r="J33" i="27"/>
  <c r="K33" i="27"/>
  <c r="M34" i="27"/>
  <c r="J34" i="27"/>
  <c r="K34" i="27"/>
  <c r="J31" i="27"/>
  <c r="J35" i="27"/>
  <c r="K31" i="27"/>
  <c r="K35" i="27"/>
  <c r="I35" i="27"/>
  <c r="J27" i="27"/>
  <c r="J30" i="27"/>
  <c r="J36" i="27"/>
  <c r="K27" i="27"/>
  <c r="K30" i="27"/>
  <c r="K36" i="27"/>
  <c r="J28" i="27"/>
  <c r="K28" i="27"/>
  <c r="J29" i="27"/>
  <c r="K29" i="27"/>
  <c r="J23" i="27"/>
  <c r="K23" i="27"/>
  <c r="M24" i="27"/>
  <c r="J24" i="27"/>
  <c r="K24" i="27"/>
  <c r="J25" i="27"/>
  <c r="K25" i="27"/>
  <c r="J22" i="27"/>
  <c r="J26" i="27"/>
  <c r="K22" i="27"/>
  <c r="K26" i="27"/>
  <c r="J16" i="27"/>
  <c r="J21" i="27"/>
  <c r="K16" i="27"/>
  <c r="K21" i="27"/>
  <c r="J17" i="27"/>
  <c r="K17" i="27"/>
  <c r="J18" i="27"/>
  <c r="K18" i="27"/>
  <c r="J19" i="27"/>
  <c r="K19" i="27"/>
  <c r="J12" i="27"/>
  <c r="J15" i="27"/>
  <c r="K12" i="27"/>
  <c r="K15" i="27"/>
  <c r="J13" i="27"/>
  <c r="K13" i="27"/>
  <c r="J14" i="27"/>
  <c r="K14" i="27"/>
  <c r="I11" i="27"/>
  <c r="J6" i="27"/>
  <c r="J11" i="27"/>
  <c r="K6" i="27"/>
  <c r="K11" i="27"/>
  <c r="J7" i="27"/>
  <c r="K7" i="27"/>
  <c r="J8" i="27"/>
  <c r="K8" i="27"/>
  <c r="J9" i="27"/>
  <c r="K9" i="27"/>
  <c r="J10" i="27"/>
  <c r="K10" i="27"/>
  <c r="J38" i="28"/>
  <c r="J40" i="28"/>
  <c r="K38" i="28"/>
  <c r="K40" i="28"/>
  <c r="J39" i="28"/>
  <c r="K39" i="28"/>
  <c r="J37" i="28"/>
  <c r="K37" i="28"/>
  <c r="J26" i="28"/>
  <c r="K26" i="28"/>
  <c r="J17" i="28"/>
  <c r="K17" i="28"/>
  <c r="J18" i="28"/>
  <c r="K18" i="28"/>
  <c r="J19" i="28"/>
  <c r="K19" i="28"/>
  <c r="K16" i="28"/>
  <c r="J15" i="28"/>
  <c r="K15" i="28"/>
  <c r="E80" i="28"/>
  <c r="J11" i="28"/>
  <c r="K11" i="28"/>
  <c r="E79" i="28"/>
  <c r="T20" i="4"/>
  <c r="U20" i="4"/>
  <c r="T20" i="31"/>
  <c r="U20" i="31"/>
  <c r="G20" i="31"/>
  <c r="H20" i="31"/>
  <c r="T20" i="32"/>
  <c r="U20" i="32"/>
  <c r="G20" i="32"/>
  <c r="H20" i="32"/>
  <c r="T20" i="30"/>
  <c r="U20" i="30"/>
  <c r="G20" i="30"/>
  <c r="H20" i="30"/>
  <c r="T20" i="28"/>
  <c r="U20" i="28"/>
  <c r="G20" i="28"/>
  <c r="H20" i="28"/>
  <c r="T20" i="27"/>
  <c r="U20" i="27"/>
  <c r="G20" i="27"/>
  <c r="H20" i="27"/>
  <c r="T20" i="14"/>
  <c r="U20" i="14"/>
  <c r="G20" i="14"/>
  <c r="H20" i="14"/>
  <c r="G20" i="4"/>
  <c r="H20" i="4"/>
  <c r="T20" i="20"/>
  <c r="U20" i="20"/>
  <c r="G20" i="20"/>
  <c r="H20" i="20"/>
  <c r="H359" i="22"/>
  <c r="H361" i="22"/>
  <c r="N364" i="22"/>
  <c r="I113" i="11"/>
  <c r="J204" i="22"/>
  <c r="J205" i="22"/>
  <c r="J202" i="22"/>
  <c r="H203" i="22"/>
  <c r="G203" i="22"/>
  <c r="I203" i="22"/>
  <c r="R35"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171" i="13"/>
  <c r="P89" i="13"/>
  <c r="Q89" i="13"/>
  <c r="P90" i="13"/>
  <c r="Q90" i="13"/>
  <c r="P91" i="13"/>
  <c r="Q91" i="13"/>
  <c r="P92" i="13"/>
  <c r="Q92" i="13"/>
  <c r="P93" i="13"/>
  <c r="Q93" i="13"/>
  <c r="P94" i="13"/>
  <c r="Q94" i="13"/>
  <c r="P95" i="13"/>
  <c r="Q95" i="13"/>
  <c r="P96" i="13"/>
  <c r="Q96" i="13"/>
  <c r="P97" i="13"/>
  <c r="Q97" i="13"/>
  <c r="P98" i="13"/>
  <c r="Q98" i="13"/>
  <c r="P99" i="13"/>
  <c r="Q99" i="13"/>
  <c r="P100" i="13"/>
  <c r="Q100" i="13"/>
  <c r="P101" i="13"/>
  <c r="Q101" i="13"/>
  <c r="P102" i="13"/>
  <c r="Q102" i="13"/>
  <c r="P103" i="13"/>
  <c r="Q103" i="13"/>
  <c r="P104" i="13"/>
  <c r="Q104" i="13"/>
  <c r="P105" i="13"/>
  <c r="Q105" i="13"/>
  <c r="P106" i="13"/>
  <c r="Q106" i="13"/>
  <c r="P107" i="13"/>
  <c r="Q107" i="13"/>
  <c r="P108" i="13"/>
  <c r="Q108" i="13"/>
  <c r="P109" i="13"/>
  <c r="Q109" i="13"/>
  <c r="P110" i="13"/>
  <c r="Q110" i="13"/>
  <c r="P111" i="13"/>
  <c r="Q111" i="13"/>
  <c r="P112" i="13"/>
  <c r="Q112" i="13"/>
  <c r="P113" i="13"/>
  <c r="Q113" i="13"/>
  <c r="P114" i="13"/>
  <c r="Q114" i="13"/>
  <c r="P115" i="13"/>
  <c r="Q115" i="13"/>
  <c r="P116" i="13"/>
  <c r="Q116" i="13"/>
  <c r="P117" i="13"/>
  <c r="Q117" i="13"/>
  <c r="Q88" i="13"/>
  <c r="P88" i="13"/>
  <c r="D81" i="33"/>
  <c r="C81" i="33"/>
  <c r="P27" i="9"/>
  <c r="F170" i="33"/>
  <c r="E170" i="33"/>
  <c r="D170" i="33"/>
  <c r="F166" i="33"/>
  <c r="E166" i="33"/>
  <c r="D166" i="33"/>
  <c r="F158" i="33"/>
  <c r="E158" i="33"/>
  <c r="D158" i="33"/>
  <c r="F153" i="33"/>
  <c r="E153" i="33"/>
  <c r="D153" i="33"/>
  <c r="F147" i="33"/>
  <c r="E147" i="33"/>
  <c r="D147" i="33"/>
  <c r="F143" i="33"/>
  <c r="E143" i="33"/>
  <c r="D143" i="33"/>
  <c r="P79" i="12"/>
  <c r="P80" i="12"/>
  <c r="P81" i="12"/>
  <c r="P82" i="12"/>
  <c r="P83" i="12"/>
  <c r="P84" i="12"/>
  <c r="P78" i="12"/>
  <c r="R74" i="12"/>
  <c r="P66" i="12"/>
  <c r="Q66" i="12"/>
  <c r="R66" i="12"/>
  <c r="P67" i="12"/>
  <c r="Q67" i="12"/>
  <c r="R67" i="12"/>
  <c r="P68" i="12"/>
  <c r="Q68" i="12"/>
  <c r="R68" i="12"/>
  <c r="P69" i="12"/>
  <c r="Q69" i="12"/>
  <c r="R69" i="12"/>
  <c r="P70" i="12"/>
  <c r="Q70" i="12"/>
  <c r="R70" i="12"/>
  <c r="P71" i="12"/>
  <c r="Q71" i="12"/>
  <c r="R71" i="12"/>
  <c r="P72" i="12"/>
  <c r="Q72" i="12"/>
  <c r="R72" i="12"/>
  <c r="P73" i="12"/>
  <c r="Q73" i="12"/>
  <c r="R73" i="12"/>
  <c r="P74" i="12"/>
  <c r="Q74" i="12"/>
  <c r="R65" i="12"/>
  <c r="Q65" i="12"/>
  <c r="P65" i="12"/>
  <c r="P18" i="12"/>
  <c r="F5" i="12"/>
  <c r="Q196" i="9"/>
  <c r="Q195" i="9"/>
  <c r="Q194" i="9"/>
  <c r="Q187" i="9"/>
  <c r="R176" i="9"/>
  <c r="Q172" i="9"/>
  <c r="Q146" i="9"/>
  <c r="Q147" i="9"/>
  <c r="Q148" i="9"/>
  <c r="Q149" i="9"/>
  <c r="Q150" i="9"/>
  <c r="Q151" i="9"/>
  <c r="Q152" i="9"/>
  <c r="Q153" i="9"/>
  <c r="Q154" i="9"/>
  <c r="Q155" i="9"/>
  <c r="Q156" i="9"/>
  <c r="Q157" i="9"/>
  <c r="Q158" i="9"/>
  <c r="Q159" i="9"/>
  <c r="Q160" i="9"/>
  <c r="Q161" i="9"/>
  <c r="Q162" i="9"/>
  <c r="Q163" i="9"/>
  <c r="Q164" i="9"/>
  <c r="Q165" i="9"/>
  <c r="Q166" i="9"/>
  <c r="Q167" i="9"/>
  <c r="Q168" i="9"/>
  <c r="Q169" i="9"/>
  <c r="Q145" i="9"/>
  <c r="Q65" i="9"/>
  <c r="R65" i="9"/>
  <c r="Q66" i="9"/>
  <c r="R66" i="9"/>
  <c r="Q67" i="9"/>
  <c r="R67" i="9"/>
  <c r="Q68" i="9"/>
  <c r="R68" i="9"/>
  <c r="Q69" i="9"/>
  <c r="R69" i="9"/>
  <c r="Q70" i="9"/>
  <c r="R70" i="9"/>
  <c r="Q71" i="9"/>
  <c r="R71" i="9"/>
  <c r="Q72" i="9"/>
  <c r="R72" i="9"/>
  <c r="Q73" i="9"/>
  <c r="R73" i="9"/>
  <c r="Q74" i="9"/>
  <c r="R74" i="9"/>
  <c r="Q75" i="9"/>
  <c r="R75" i="9"/>
  <c r="Q76" i="9"/>
  <c r="R76" i="9"/>
  <c r="Q77" i="9"/>
  <c r="R77" i="9"/>
  <c r="Q78" i="9"/>
  <c r="R78" i="9"/>
  <c r="Q79" i="9"/>
  <c r="R79" i="9"/>
  <c r="Q80" i="9"/>
  <c r="R80" i="9"/>
  <c r="Q81" i="9"/>
  <c r="R81" i="9"/>
  <c r="Q82" i="9"/>
  <c r="R82" i="9"/>
  <c r="Q83" i="9"/>
  <c r="R83" i="9"/>
  <c r="Q84" i="9"/>
  <c r="R84" i="9"/>
  <c r="Q85" i="9"/>
  <c r="R85" i="9"/>
  <c r="Q86" i="9"/>
  <c r="R86" i="9"/>
  <c r="Q87" i="9"/>
  <c r="R87" i="9"/>
  <c r="Q88" i="9"/>
  <c r="R88" i="9"/>
  <c r="Q89" i="9"/>
  <c r="R89" i="9"/>
  <c r="Q90" i="9"/>
  <c r="R90" i="9"/>
  <c r="Q91" i="9"/>
  <c r="R91" i="9"/>
  <c r="Q92" i="9"/>
  <c r="R92" i="9"/>
  <c r="Q93" i="9"/>
  <c r="R93" i="9"/>
  <c r="Q94" i="9"/>
  <c r="R94" i="9"/>
  <c r="Q95" i="9"/>
  <c r="R95" i="9"/>
  <c r="Q96" i="9"/>
  <c r="R96" i="9"/>
  <c r="Q97" i="9"/>
  <c r="R97" i="9"/>
  <c r="Q98" i="9"/>
  <c r="R98" i="9"/>
  <c r="Q99" i="9"/>
  <c r="R99" i="9"/>
  <c r="R64" i="9"/>
  <c r="P20" i="9"/>
  <c r="F342" i="33"/>
  <c r="E48" i="33"/>
  <c r="P75" i="8"/>
  <c r="P74" i="8"/>
  <c r="P73" i="8"/>
  <c r="P72" i="8"/>
  <c r="P71" i="8"/>
  <c r="Q55" i="8"/>
  <c r="P55" i="8"/>
  <c r="R19" i="8"/>
  <c r="F5" i="8"/>
  <c r="P27" i="7"/>
  <c r="Q19" i="7"/>
  <c r="R19" i="7"/>
  <c r="P19" i="7"/>
  <c r="Q94" i="10"/>
  <c r="Q22" i="10"/>
  <c r="R19" i="10"/>
  <c r="Q19" i="10"/>
  <c r="P19" i="10"/>
  <c r="F234" i="33"/>
  <c r="D6" i="22"/>
  <c r="K101" i="22"/>
  <c r="K102" i="22"/>
  <c r="K103" i="22"/>
  <c r="K104" i="22"/>
  <c r="K105" i="22"/>
  <c r="K106" i="22"/>
  <c r="K100" i="22"/>
  <c r="K99" i="22"/>
  <c r="D5" i="22"/>
  <c r="R181" i="3"/>
  <c r="Q181" i="3"/>
  <c r="P181" i="3"/>
  <c r="R150" i="3"/>
  <c r="Q150" i="3"/>
  <c r="P150" i="3"/>
  <c r="P103" i="3"/>
  <c r="Q103" i="3"/>
  <c r="R103" i="3"/>
  <c r="P104" i="3"/>
  <c r="Q104" i="3"/>
  <c r="R104" i="3"/>
  <c r="P105" i="3"/>
  <c r="Q105" i="3"/>
  <c r="R105" i="3"/>
  <c r="P106" i="3"/>
  <c r="Q106" i="3"/>
  <c r="R106" i="3"/>
  <c r="P107" i="3"/>
  <c r="Q107" i="3"/>
  <c r="R107" i="3"/>
  <c r="P108" i="3"/>
  <c r="Q108" i="3"/>
  <c r="R108" i="3"/>
  <c r="P109" i="3"/>
  <c r="Q109" i="3"/>
  <c r="R109" i="3"/>
  <c r="P110" i="3"/>
  <c r="Q110" i="3"/>
  <c r="R110" i="3"/>
  <c r="P111" i="3"/>
  <c r="Q111" i="3"/>
  <c r="R111" i="3"/>
  <c r="P112" i="3"/>
  <c r="Q112" i="3"/>
  <c r="R112" i="3"/>
  <c r="P113" i="3"/>
  <c r="Q113" i="3"/>
  <c r="R113" i="3"/>
  <c r="P114" i="3"/>
  <c r="Q114" i="3"/>
  <c r="R114" i="3"/>
  <c r="P115" i="3"/>
  <c r="Q115" i="3"/>
  <c r="R115" i="3"/>
  <c r="P116" i="3"/>
  <c r="Q116" i="3"/>
  <c r="R116" i="3"/>
  <c r="P117" i="3"/>
  <c r="Q117" i="3"/>
  <c r="R117" i="3"/>
  <c r="P118" i="3"/>
  <c r="Q118" i="3"/>
  <c r="R118" i="3"/>
  <c r="P119" i="3"/>
  <c r="Q119" i="3"/>
  <c r="R119" i="3"/>
  <c r="P120" i="3"/>
  <c r="Q120" i="3"/>
  <c r="R120" i="3"/>
  <c r="P121" i="3"/>
  <c r="Q121" i="3"/>
  <c r="R121" i="3"/>
  <c r="P122" i="3"/>
  <c r="Q122" i="3"/>
  <c r="R122" i="3"/>
  <c r="P123" i="3"/>
  <c r="Q123" i="3"/>
  <c r="R123" i="3"/>
  <c r="P124" i="3"/>
  <c r="Q124" i="3"/>
  <c r="R124" i="3"/>
  <c r="P125" i="3"/>
  <c r="Q125" i="3"/>
  <c r="R125" i="3"/>
  <c r="P126" i="3"/>
  <c r="Q126" i="3"/>
  <c r="R126" i="3"/>
  <c r="P127" i="3"/>
  <c r="Q127" i="3"/>
  <c r="R127" i="3"/>
  <c r="P128" i="3"/>
  <c r="Q128" i="3"/>
  <c r="R128" i="3"/>
  <c r="P130" i="3"/>
  <c r="Q130" i="3"/>
  <c r="R130" i="3"/>
  <c r="P131" i="3"/>
  <c r="Q131" i="3"/>
  <c r="R131" i="3"/>
  <c r="P132" i="3"/>
  <c r="Q132" i="3"/>
  <c r="R132" i="3"/>
  <c r="P133" i="3"/>
  <c r="Q133" i="3"/>
  <c r="R133" i="3"/>
  <c r="Q102" i="3"/>
  <c r="R102" i="3"/>
  <c r="P102" i="3"/>
  <c r="P44" i="3"/>
  <c r="Q44" i="3"/>
  <c r="R44" i="3"/>
  <c r="P45" i="3"/>
  <c r="Q45" i="3"/>
  <c r="R45" i="3"/>
  <c r="P46" i="3"/>
  <c r="Q46" i="3"/>
  <c r="R46" i="3"/>
  <c r="P47" i="3"/>
  <c r="Q47" i="3"/>
  <c r="R47" i="3"/>
  <c r="P48" i="3"/>
  <c r="Q48" i="3"/>
  <c r="R48" i="3"/>
  <c r="P49" i="3"/>
  <c r="Q49" i="3"/>
  <c r="R49" i="3"/>
  <c r="P50" i="3"/>
  <c r="Q50" i="3"/>
  <c r="R50" i="3"/>
  <c r="P51" i="3"/>
  <c r="Q51" i="3"/>
  <c r="R51" i="3"/>
  <c r="P52" i="3"/>
  <c r="Q52" i="3"/>
  <c r="R52" i="3"/>
  <c r="P53" i="3"/>
  <c r="Q53" i="3"/>
  <c r="R53" i="3"/>
  <c r="P54" i="3"/>
  <c r="Q54" i="3"/>
  <c r="R54" i="3"/>
  <c r="P55" i="3"/>
  <c r="Q55" i="3"/>
  <c r="R55" i="3"/>
  <c r="Q43" i="3"/>
  <c r="R43" i="3"/>
  <c r="P43" i="3"/>
  <c r="R35" i="3"/>
  <c r="Q35" i="3"/>
  <c r="Q19" i="3"/>
  <c r="F440" i="33"/>
  <c r="F435" i="33"/>
  <c r="F422" i="33"/>
  <c r="E406" i="33"/>
  <c r="D406" i="33"/>
  <c r="C406" i="33"/>
  <c r="F84" i="32"/>
  <c r="F80" i="32"/>
  <c r="F79" i="32"/>
  <c r="B39" i="32"/>
  <c r="B40" i="32"/>
  <c r="B28" i="32"/>
  <c r="B29" i="32"/>
  <c r="B30" i="32"/>
  <c r="B31" i="32"/>
  <c r="B32" i="32"/>
  <c r="B33" i="32"/>
  <c r="B34" i="32"/>
  <c r="B35" i="32"/>
  <c r="B36" i="32"/>
  <c r="B23" i="32"/>
  <c r="B24" i="32"/>
  <c r="B25" i="32"/>
  <c r="B26" i="32"/>
  <c r="B17" i="32"/>
  <c r="B18" i="32"/>
  <c r="B19" i="32"/>
  <c r="B20" i="32"/>
  <c r="B21" i="32"/>
  <c r="B13" i="32"/>
  <c r="B14" i="32"/>
  <c r="B15" i="32"/>
  <c r="B7" i="32"/>
  <c r="B8" i="32"/>
  <c r="B9" i="32"/>
  <c r="B10" i="32"/>
  <c r="B11" i="32"/>
  <c r="F84" i="31"/>
  <c r="F80" i="31"/>
  <c r="F79" i="31"/>
  <c r="B39" i="31"/>
  <c r="B40" i="31"/>
  <c r="B28" i="31"/>
  <c r="B29" i="31"/>
  <c r="B30" i="31"/>
  <c r="B31" i="31"/>
  <c r="B32" i="31"/>
  <c r="B33" i="31"/>
  <c r="B34" i="31"/>
  <c r="B35" i="31"/>
  <c r="B36" i="31"/>
  <c r="B23" i="31"/>
  <c r="B24" i="31"/>
  <c r="B25" i="31"/>
  <c r="B26" i="31"/>
  <c r="B17" i="31"/>
  <c r="B18" i="31"/>
  <c r="B19" i="31"/>
  <c r="B20" i="31"/>
  <c r="B21" i="31"/>
  <c r="B13" i="31"/>
  <c r="B14" i="31"/>
  <c r="B15" i="31"/>
  <c r="B7" i="31"/>
  <c r="B8" i="31"/>
  <c r="B9" i="31"/>
  <c r="B10" i="31"/>
  <c r="B11" i="31"/>
  <c r="F84" i="30"/>
  <c r="F80" i="30"/>
  <c r="F79" i="30"/>
  <c r="B39" i="30"/>
  <c r="B40" i="30"/>
  <c r="B28" i="30"/>
  <c r="B29" i="30"/>
  <c r="B30" i="30"/>
  <c r="B31" i="30"/>
  <c r="B32" i="30"/>
  <c r="B33" i="30"/>
  <c r="B34" i="30"/>
  <c r="B35" i="30"/>
  <c r="B36" i="30"/>
  <c r="B23" i="30"/>
  <c r="B24" i="30"/>
  <c r="B25" i="30"/>
  <c r="B26" i="30"/>
  <c r="B17" i="30"/>
  <c r="B18" i="30"/>
  <c r="B19" i="30"/>
  <c r="B20" i="30"/>
  <c r="B21" i="30"/>
  <c r="B13" i="30"/>
  <c r="B14" i="30"/>
  <c r="B15" i="30"/>
  <c r="B7" i="30"/>
  <c r="B8" i="30"/>
  <c r="B9" i="30"/>
  <c r="B10" i="30"/>
  <c r="B11" i="30"/>
  <c r="F84" i="28"/>
  <c r="F80" i="28"/>
  <c r="F79" i="28"/>
  <c r="B39" i="28"/>
  <c r="B40" i="28"/>
  <c r="B28" i="28"/>
  <c r="B29" i="28"/>
  <c r="B30" i="28"/>
  <c r="B31" i="28"/>
  <c r="B32" i="28"/>
  <c r="B33" i="28"/>
  <c r="B34" i="28"/>
  <c r="B35" i="28"/>
  <c r="B36" i="28"/>
  <c r="B23" i="28"/>
  <c r="B24" i="28"/>
  <c r="B25" i="28"/>
  <c r="B26" i="28"/>
  <c r="B17" i="28"/>
  <c r="B18" i="28"/>
  <c r="B19" i="28"/>
  <c r="B20" i="28"/>
  <c r="B21" i="28"/>
  <c r="B13" i="28"/>
  <c r="B14" i="28"/>
  <c r="B15" i="28"/>
  <c r="B7" i="28"/>
  <c r="B8" i="28"/>
  <c r="B9" i="28"/>
  <c r="B10" i="28"/>
  <c r="B11" i="28"/>
  <c r="F84" i="27"/>
  <c r="F80" i="27"/>
  <c r="F79" i="27"/>
  <c r="B39" i="27"/>
  <c r="B40" i="27"/>
  <c r="B28" i="27"/>
  <c r="B29" i="27"/>
  <c r="B30" i="27"/>
  <c r="B31" i="27"/>
  <c r="B32" i="27"/>
  <c r="B33" i="27"/>
  <c r="B34" i="27"/>
  <c r="B35" i="27"/>
  <c r="B36" i="27"/>
  <c r="B23" i="27"/>
  <c r="B24" i="27"/>
  <c r="B25" i="27"/>
  <c r="B26" i="27"/>
  <c r="B17" i="27"/>
  <c r="B18" i="27"/>
  <c r="B19" i="27"/>
  <c r="B20" i="27"/>
  <c r="B21" i="27"/>
  <c r="B13" i="27"/>
  <c r="B14" i="27"/>
  <c r="B15" i="27"/>
  <c r="B7" i="27"/>
  <c r="B8" i="27"/>
  <c r="B9" i="27"/>
  <c r="B10" i="27"/>
  <c r="B11" i="27"/>
  <c r="F84" i="14"/>
  <c r="F80" i="14"/>
  <c r="F79" i="14"/>
  <c r="B39" i="14"/>
  <c r="B40" i="14"/>
  <c r="B28" i="14"/>
  <c r="B29" i="14"/>
  <c r="B30" i="14"/>
  <c r="B31" i="14"/>
  <c r="B32" i="14"/>
  <c r="B33" i="14"/>
  <c r="B34" i="14"/>
  <c r="B35" i="14"/>
  <c r="B36" i="14"/>
  <c r="B23" i="14"/>
  <c r="B24" i="14"/>
  <c r="B25" i="14"/>
  <c r="B26" i="14"/>
  <c r="B17" i="14"/>
  <c r="B18" i="14"/>
  <c r="B19" i="14"/>
  <c r="B20" i="14"/>
  <c r="B21" i="14"/>
  <c r="B13" i="14"/>
  <c r="B14" i="14"/>
  <c r="B15" i="14"/>
  <c r="B7" i="14"/>
  <c r="B8" i="14"/>
  <c r="B9" i="14"/>
  <c r="B10" i="14"/>
  <c r="B11" i="14"/>
  <c r="F84" i="20"/>
  <c r="F80" i="20"/>
  <c r="F79" i="20"/>
  <c r="B39" i="20"/>
  <c r="B40" i="20"/>
  <c r="B28" i="20"/>
  <c r="B29" i="20"/>
  <c r="B30" i="20"/>
  <c r="B31" i="20"/>
  <c r="B32" i="20"/>
  <c r="B33" i="20"/>
  <c r="B34" i="20"/>
  <c r="B35" i="20"/>
  <c r="B36" i="20"/>
  <c r="B23" i="20"/>
  <c r="B24" i="20"/>
  <c r="B25" i="20"/>
  <c r="B26" i="20"/>
  <c r="B17" i="20"/>
  <c r="B18" i="20"/>
  <c r="B19" i="20"/>
  <c r="B20" i="20"/>
  <c r="B21" i="20"/>
  <c r="B13" i="20"/>
  <c r="B14" i="20"/>
  <c r="B15" i="20"/>
  <c r="B7" i="20"/>
  <c r="B8" i="20"/>
  <c r="B9" i="20"/>
  <c r="B10" i="20"/>
  <c r="B11" i="20"/>
  <c r="I23" i="30"/>
  <c r="I22" i="30"/>
  <c r="M20" i="30"/>
  <c r="M20" i="4"/>
  <c r="M20" i="14"/>
  <c r="G29" i="9"/>
  <c r="H30" i="10"/>
  <c r="I30" i="10"/>
  <c r="G30" i="10"/>
  <c r="H204" i="9"/>
  <c r="R38" i="27"/>
  <c r="H202" i="9"/>
  <c r="J13" i="32"/>
  <c r="P93" i="10"/>
  <c r="H217" i="22"/>
  <c r="I56" i="26"/>
  <c r="D63" i="26"/>
  <c r="I52" i="26"/>
  <c r="J19" i="22"/>
  <c r="I53" i="26"/>
  <c r="J20" i="22"/>
  <c r="I54" i="26"/>
  <c r="J21" i="22"/>
  <c r="I55" i="26"/>
  <c r="J22" i="22"/>
  <c r="G63" i="3"/>
  <c r="H62" i="3"/>
  <c r="E63" i="26"/>
  <c r="C63" i="26"/>
  <c r="J52" i="26"/>
  <c r="J24" i="22"/>
  <c r="J53" i="26"/>
  <c r="J25" i="22"/>
  <c r="J54" i="26"/>
  <c r="J26" i="22"/>
  <c r="J55" i="26"/>
  <c r="J27" i="22"/>
  <c r="J56" i="26"/>
  <c r="H56" i="26"/>
  <c r="H55" i="26"/>
  <c r="J17" i="22"/>
  <c r="H54" i="26"/>
  <c r="J16" i="22"/>
  <c r="H53" i="26"/>
  <c r="J15" i="22"/>
  <c r="J14" i="22"/>
  <c r="G61" i="3"/>
  <c r="R13" i="11"/>
  <c r="P13" i="11"/>
  <c r="O13" i="11"/>
  <c r="Q13" i="11"/>
  <c r="R12" i="11"/>
  <c r="P12" i="11"/>
  <c r="O12" i="11"/>
  <c r="Q12" i="11"/>
  <c r="R11" i="11"/>
  <c r="P11" i="11"/>
  <c r="P14" i="11"/>
  <c r="O11" i="11"/>
  <c r="Q11" i="11"/>
  <c r="O11" i="7"/>
  <c r="Q11" i="7"/>
  <c r="O12" i="7"/>
  <c r="Q12" i="7"/>
  <c r="O13" i="7"/>
  <c r="Q13" i="7"/>
  <c r="P11" i="7"/>
  <c r="P12" i="7"/>
  <c r="P13" i="7"/>
  <c r="R13" i="7"/>
  <c r="R12" i="7"/>
  <c r="R11" i="7"/>
  <c r="I100" i="9"/>
  <c r="H100" i="9"/>
  <c r="O11" i="9"/>
  <c r="Q11" i="9"/>
  <c r="O12" i="9"/>
  <c r="Q12" i="9"/>
  <c r="O13" i="9"/>
  <c r="Q13" i="9"/>
  <c r="P11" i="9"/>
  <c r="P12" i="9"/>
  <c r="P13" i="9"/>
  <c r="R13" i="9"/>
  <c r="R12" i="9"/>
  <c r="R11" i="9"/>
  <c r="O11" i="12"/>
  <c r="Q11" i="12"/>
  <c r="O12" i="12"/>
  <c r="Q12" i="12"/>
  <c r="O13" i="12"/>
  <c r="Q13" i="12"/>
  <c r="P11" i="12"/>
  <c r="P12" i="12"/>
  <c r="P13" i="12"/>
  <c r="R13" i="12"/>
  <c r="R12" i="12"/>
  <c r="R11" i="12"/>
  <c r="O11" i="10"/>
  <c r="Q11" i="10"/>
  <c r="O12" i="10"/>
  <c r="Q12" i="10"/>
  <c r="O13" i="10"/>
  <c r="Q13" i="10"/>
  <c r="P11" i="10"/>
  <c r="P12" i="10"/>
  <c r="P13" i="10"/>
  <c r="R13" i="10"/>
  <c r="R12" i="10"/>
  <c r="R11" i="10"/>
  <c r="B23" i="4"/>
  <c r="B24" i="4"/>
  <c r="B25" i="4"/>
  <c r="B26" i="4"/>
  <c r="B13" i="4"/>
  <c r="B14" i="4"/>
  <c r="B15" i="4"/>
  <c r="B39" i="4"/>
  <c r="B40" i="4"/>
  <c r="B28" i="4"/>
  <c r="B29" i="4"/>
  <c r="B30" i="4"/>
  <c r="B31" i="4"/>
  <c r="B32" i="4"/>
  <c r="B33" i="4"/>
  <c r="B34" i="4"/>
  <c r="B35" i="4"/>
  <c r="B36" i="4"/>
  <c r="B17" i="4"/>
  <c r="B18" i="4"/>
  <c r="B19" i="4"/>
  <c r="B20" i="4"/>
  <c r="B21" i="4"/>
  <c r="B7" i="4"/>
  <c r="B8" i="4"/>
  <c r="B9" i="4"/>
  <c r="B10" i="4"/>
  <c r="B11" i="4"/>
  <c r="G67" i="3"/>
  <c r="H67" i="3"/>
  <c r="I67" i="3"/>
  <c r="G65" i="3"/>
  <c r="G66" i="3"/>
  <c r="H65" i="3"/>
  <c r="H66" i="3"/>
  <c r="I65" i="3"/>
  <c r="I66" i="3"/>
  <c r="G64" i="3"/>
  <c r="H60" i="3"/>
  <c r="I60" i="3"/>
  <c r="O11" i="13"/>
  <c r="Q11" i="13"/>
  <c r="O12" i="13"/>
  <c r="Q12" i="13"/>
  <c r="O13" i="13"/>
  <c r="Q13" i="13"/>
  <c r="P11" i="13"/>
  <c r="P12" i="13"/>
  <c r="P13" i="13"/>
  <c r="R13" i="13"/>
  <c r="R12" i="13"/>
  <c r="R11" i="13"/>
  <c r="O11" i="3"/>
  <c r="Q11" i="3"/>
  <c r="O12" i="3"/>
  <c r="Q12" i="3"/>
  <c r="O13" i="3"/>
  <c r="Q13" i="3"/>
  <c r="P11" i="3"/>
  <c r="P12" i="3"/>
  <c r="P13" i="3"/>
  <c r="R13" i="3"/>
  <c r="R12" i="3"/>
  <c r="R11" i="3"/>
  <c r="P11" i="8"/>
  <c r="P12" i="8"/>
  <c r="P13" i="8"/>
  <c r="O11" i="8"/>
  <c r="Q11" i="8"/>
  <c r="O12" i="8"/>
  <c r="Q12" i="8"/>
  <c r="O13" i="8"/>
  <c r="Q13" i="8"/>
  <c r="C32" i="22"/>
  <c r="G62" i="3"/>
  <c r="H118" i="13"/>
  <c r="G118" i="13"/>
  <c r="R36" i="13"/>
  <c r="R37" i="13"/>
  <c r="R42" i="13"/>
  <c r="R43" i="13"/>
  <c r="R44" i="13"/>
  <c r="R45"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34" i="13"/>
  <c r="R13" i="8"/>
  <c r="R12" i="8"/>
  <c r="R11" i="8"/>
  <c r="D4" i="22"/>
  <c r="C3" i="22"/>
  <c r="C2" i="22"/>
  <c r="R39" i="4"/>
  <c r="C6" i="22"/>
  <c r="J114" i="22"/>
  <c r="I114" i="22"/>
  <c r="H111" i="22"/>
  <c r="I111" i="22"/>
  <c r="J111" i="22"/>
  <c r="H112" i="22"/>
  <c r="I112" i="22"/>
  <c r="J112" i="22"/>
  <c r="H113" i="22"/>
  <c r="I113" i="22"/>
  <c r="J113" i="22"/>
  <c r="H114" i="22"/>
  <c r="H115" i="22"/>
  <c r="I115" i="22"/>
  <c r="J115" i="22"/>
  <c r="H116" i="22"/>
  <c r="I116" i="22"/>
  <c r="J116" i="22"/>
  <c r="I110" i="22"/>
  <c r="J110" i="22"/>
  <c r="H110" i="22"/>
  <c r="C5" i="22"/>
  <c r="H61" i="3"/>
  <c r="I61" i="3"/>
  <c r="I62" i="3"/>
  <c r="H63" i="3"/>
  <c r="I63" i="3"/>
  <c r="H64" i="3"/>
  <c r="I64" i="3"/>
  <c r="D2" i="22"/>
  <c r="D3" i="22"/>
  <c r="I217" i="22"/>
  <c r="G217" i="22"/>
  <c r="J128" i="3"/>
  <c r="L23" i="4"/>
  <c r="M23" i="4"/>
  <c r="G56" i="3"/>
  <c r="J133" i="3"/>
  <c r="F84" i="4"/>
  <c r="F80" i="4"/>
  <c r="F79" i="4"/>
  <c r="I56" i="3"/>
  <c r="H56" i="3"/>
  <c r="R40" i="13"/>
  <c r="R41" i="13"/>
  <c r="R39" i="13"/>
  <c r="H35" i="30"/>
  <c r="H35" i="14"/>
  <c r="H30" i="14"/>
  <c r="M38" i="32"/>
  <c r="M39" i="32"/>
  <c r="I72" i="13"/>
  <c r="M19" i="31"/>
  <c r="G198" i="22"/>
  <c r="I228" i="13"/>
  <c r="H232" i="13"/>
  <c r="J17" i="31"/>
  <c r="I30" i="27"/>
  <c r="I36" i="27"/>
  <c r="H60" i="27"/>
  <c r="I87" i="27"/>
  <c r="P14" i="9"/>
  <c r="O14" i="9"/>
  <c r="M15" i="28"/>
  <c r="J80" i="28"/>
  <c r="P14" i="3"/>
  <c r="I69" i="3"/>
  <c r="H69" i="3"/>
  <c r="J173" i="3"/>
  <c r="K173" i="3"/>
  <c r="J162" i="3"/>
  <c r="K162" i="3"/>
  <c r="J170" i="3"/>
  <c r="K170" i="3"/>
  <c r="J4" i="3"/>
  <c r="G69" i="3"/>
  <c r="P14" i="12"/>
  <c r="L23" i="30"/>
  <c r="M23" i="30"/>
  <c r="I15" i="27"/>
  <c r="E82" i="28"/>
  <c r="M26" i="28"/>
  <c r="J82" i="28"/>
  <c r="M38" i="28"/>
  <c r="M37" i="28"/>
  <c r="J84" i="28"/>
  <c r="E84" i="28"/>
  <c r="M11" i="28"/>
  <c r="J79" i="28"/>
  <c r="I40" i="28"/>
  <c r="P14" i="7"/>
  <c r="K7" i="32"/>
  <c r="K8" i="32"/>
  <c r="K10" i="32"/>
  <c r="K6" i="32"/>
  <c r="K9" i="32"/>
  <c r="K18" i="32"/>
  <c r="K17" i="32"/>
  <c r="K19" i="32"/>
  <c r="I23" i="32"/>
  <c r="I25" i="32"/>
  <c r="I24" i="32"/>
  <c r="I22" i="32"/>
  <c r="K13" i="32"/>
  <c r="K12" i="32"/>
  <c r="K14" i="32"/>
  <c r="K23" i="32"/>
  <c r="K25" i="32"/>
  <c r="K22" i="32"/>
  <c r="K24" i="32"/>
  <c r="K110" i="9"/>
  <c r="E40" i="26"/>
  <c r="I18" i="32"/>
  <c r="I17" i="32"/>
  <c r="I19" i="32"/>
  <c r="J12" i="32"/>
  <c r="J14" i="32"/>
  <c r="J22" i="32"/>
  <c r="J24" i="32"/>
  <c r="J23" i="32"/>
  <c r="J25" i="32"/>
  <c r="I14" i="32"/>
  <c r="I12" i="32"/>
  <c r="I13" i="32"/>
  <c r="L13" i="32"/>
  <c r="M13" i="32"/>
  <c r="J7" i="32"/>
  <c r="J8" i="32"/>
  <c r="J10" i="32"/>
  <c r="J6" i="32"/>
  <c r="J9" i="32"/>
  <c r="J17" i="32"/>
  <c r="J19" i="32"/>
  <c r="J18" i="32"/>
  <c r="I9" i="32"/>
  <c r="I10" i="32"/>
  <c r="I7" i="32"/>
  <c r="I6" i="32"/>
  <c r="L6" i="32"/>
  <c r="M6" i="32"/>
  <c r="I8" i="32"/>
  <c r="K107" i="9"/>
  <c r="E37" i="26"/>
  <c r="K108" i="9"/>
  <c r="E38" i="26"/>
  <c r="J4" i="8"/>
  <c r="F4" i="8"/>
  <c r="L4" i="8"/>
  <c r="D4" i="8"/>
  <c r="M5" i="8"/>
  <c r="D4" i="3"/>
  <c r="G80" i="3"/>
  <c r="G94" i="3"/>
  <c r="D35" i="4"/>
  <c r="G77" i="3"/>
  <c r="G79" i="3"/>
  <c r="G93" i="3"/>
  <c r="D30" i="4"/>
  <c r="F4" i="3"/>
  <c r="F5" i="3"/>
  <c r="M5" i="3"/>
  <c r="L4" i="3"/>
  <c r="H79" i="3"/>
  <c r="H93" i="3"/>
  <c r="E30" i="4"/>
  <c r="H74" i="3"/>
  <c r="H78" i="3"/>
  <c r="H77" i="3"/>
  <c r="H81" i="3"/>
  <c r="H95" i="3"/>
  <c r="E37" i="4"/>
  <c r="H80" i="3"/>
  <c r="H94" i="3"/>
  <c r="E35" i="4"/>
  <c r="H76" i="3"/>
  <c r="H75" i="3"/>
  <c r="H280" i="22"/>
  <c r="I78" i="3"/>
  <c r="G81" i="3"/>
  <c r="G95" i="3"/>
  <c r="D37" i="4"/>
  <c r="G75" i="3"/>
  <c r="G76" i="3"/>
  <c r="G78" i="3"/>
  <c r="G279" i="22"/>
  <c r="M5" i="10"/>
  <c r="F4" i="10"/>
  <c r="M60" i="28"/>
  <c r="J87" i="28"/>
  <c r="H60" i="28"/>
  <c r="I87" i="28"/>
  <c r="G87" i="28"/>
  <c r="H87" i="28"/>
  <c r="D4" i="10"/>
  <c r="L4" i="10"/>
  <c r="J4" i="10"/>
  <c r="F5" i="10"/>
  <c r="O14" i="12"/>
  <c r="E85" i="30"/>
  <c r="L14" i="30"/>
  <c r="M14" i="30"/>
  <c r="L28" i="30"/>
  <c r="M28" i="30"/>
  <c r="L13" i="30"/>
  <c r="M13" i="30"/>
  <c r="L29" i="30"/>
  <c r="M29" i="30"/>
  <c r="E81" i="30"/>
  <c r="M21" i="30"/>
  <c r="J81" i="30"/>
  <c r="L27" i="30"/>
  <c r="M27" i="30"/>
  <c r="M5" i="12"/>
  <c r="D4" i="12"/>
  <c r="F4" i="12"/>
  <c r="E79" i="30"/>
  <c r="J4" i="12"/>
  <c r="L4" i="12"/>
  <c r="H283" i="22"/>
  <c r="H279" i="22"/>
  <c r="I74" i="3"/>
  <c r="I77" i="3"/>
  <c r="I79" i="3"/>
  <c r="I93" i="3"/>
  <c r="F30" i="4"/>
  <c r="I80" i="3"/>
  <c r="I94" i="3"/>
  <c r="F35" i="4"/>
  <c r="F36" i="4"/>
  <c r="H282" i="22"/>
  <c r="H284" i="22"/>
  <c r="G280" i="22"/>
  <c r="G285" i="22"/>
  <c r="G283" i="22"/>
  <c r="G83" i="3"/>
  <c r="M37" i="30"/>
  <c r="J84" i="30"/>
  <c r="E84" i="30"/>
  <c r="M11" i="30"/>
  <c r="J79" i="30"/>
  <c r="P14" i="8"/>
  <c r="F9" i="9"/>
  <c r="P14" i="13"/>
  <c r="O14" i="13"/>
  <c r="F9" i="13"/>
  <c r="F9" i="12"/>
  <c r="O14" i="10"/>
  <c r="P14" i="10"/>
  <c r="Q14" i="10"/>
  <c r="B14" i="10"/>
  <c r="O14" i="3"/>
  <c r="F9" i="3"/>
  <c r="O14" i="8"/>
  <c r="F9" i="8"/>
  <c r="I402" i="22"/>
  <c r="I398" i="22"/>
  <c r="I227" i="13"/>
  <c r="H227" i="13"/>
  <c r="I229" i="13"/>
  <c r="K13" i="31"/>
  <c r="I401" i="22"/>
  <c r="I235" i="13"/>
  <c r="I237" i="13"/>
  <c r="K37" i="31"/>
  <c r="H240" i="13"/>
  <c r="J62" i="31"/>
  <c r="H229" i="13"/>
  <c r="J13" i="31"/>
  <c r="M397" i="22"/>
  <c r="I396" i="22"/>
  <c r="I40" i="10"/>
  <c r="H39" i="10"/>
  <c r="M395" i="22"/>
  <c r="L396" i="22"/>
  <c r="M401" i="22"/>
  <c r="L401" i="22"/>
  <c r="G196" i="22"/>
  <c r="M399" i="22"/>
  <c r="L399" i="22"/>
  <c r="H395" i="22"/>
  <c r="G396" i="22"/>
  <c r="M400" i="22"/>
  <c r="M409" i="22"/>
  <c r="M402" i="22"/>
  <c r="M398" i="22"/>
  <c r="J396" i="22"/>
  <c r="H402" i="22"/>
  <c r="H44" i="7"/>
  <c r="G395" i="22"/>
  <c r="G399" i="22"/>
  <c r="K395" i="22"/>
  <c r="G397" i="22"/>
  <c r="G401" i="22"/>
  <c r="G400" i="22"/>
  <c r="G409" i="22"/>
  <c r="G402" i="22"/>
  <c r="O14" i="11"/>
  <c r="M40" i="30"/>
  <c r="J85" i="30"/>
  <c r="L38" i="4"/>
  <c r="M38" i="4"/>
  <c r="L24" i="4"/>
  <c r="M24" i="4"/>
  <c r="Q14" i="8"/>
  <c r="B14" i="8"/>
  <c r="Q14" i="12"/>
  <c r="B14" i="12"/>
  <c r="I112" i="9"/>
  <c r="D42" i="26"/>
  <c r="I109" i="9"/>
  <c r="D39" i="26"/>
  <c r="I110" i="9"/>
  <c r="D40" i="26"/>
  <c r="I108" i="9"/>
  <c r="D38" i="26"/>
  <c r="I106" i="9"/>
  <c r="D36" i="26"/>
  <c r="I107" i="9"/>
  <c r="D37" i="26"/>
  <c r="D34" i="26"/>
  <c r="I111" i="9"/>
  <c r="D41" i="26"/>
  <c r="D45" i="26"/>
  <c r="I38" i="26"/>
  <c r="D35" i="26"/>
  <c r="G282" i="22"/>
  <c r="G284" i="22"/>
  <c r="G281" i="22"/>
  <c r="H285" i="22"/>
  <c r="H281" i="22"/>
  <c r="I81" i="3"/>
  <c r="I95" i="3"/>
  <c r="F37" i="4"/>
  <c r="I76" i="3"/>
  <c r="I75" i="3"/>
  <c r="H83" i="3"/>
  <c r="L39" i="4"/>
  <c r="M39" i="4"/>
  <c r="L22" i="4"/>
  <c r="M22" i="4"/>
  <c r="L19" i="4"/>
  <c r="M19" i="4"/>
  <c r="B60" i="32"/>
  <c r="B61" i="30"/>
  <c r="B60" i="30"/>
  <c r="B61" i="28"/>
  <c r="B60" i="28"/>
  <c r="B61" i="27"/>
  <c r="B60" i="27"/>
  <c r="B61" i="14"/>
  <c r="B60" i="14"/>
  <c r="B60" i="4"/>
  <c r="B61" i="4"/>
  <c r="N400" i="22"/>
  <c r="N409" i="22"/>
  <c r="L400" i="22"/>
  <c r="L409" i="22"/>
  <c r="L397" i="22"/>
  <c r="L395" i="22"/>
  <c r="L402" i="22"/>
  <c r="J402" i="22"/>
  <c r="B60" i="31"/>
  <c r="B61" i="31"/>
  <c r="I40" i="7"/>
  <c r="F4" i="7"/>
  <c r="H289" i="22"/>
  <c r="G289" i="22"/>
  <c r="F5" i="11"/>
  <c r="F4" i="11"/>
  <c r="L38" i="20"/>
  <c r="M38" i="20"/>
  <c r="J4" i="7"/>
  <c r="G44" i="7"/>
  <c r="G41" i="7"/>
  <c r="L4" i="7"/>
  <c r="H39" i="7"/>
  <c r="F5" i="7"/>
  <c r="M5" i="7"/>
  <c r="D4" i="7"/>
  <c r="H37" i="7"/>
  <c r="I289" i="22"/>
  <c r="O14" i="7"/>
  <c r="F9" i="7"/>
  <c r="Q14" i="7"/>
  <c r="B14" i="7"/>
  <c r="F9" i="10"/>
  <c r="E85" i="28"/>
  <c r="M40" i="28"/>
  <c r="J85" i="28"/>
  <c r="M36" i="4"/>
  <c r="J83" i="4"/>
  <c r="I281" i="22"/>
  <c r="I285" i="22"/>
  <c r="H278" i="22"/>
  <c r="I282" i="22"/>
  <c r="I278" i="22"/>
  <c r="I279" i="22"/>
  <c r="I284" i="22"/>
  <c r="G278" i="22"/>
  <c r="M40" i="4"/>
  <c r="J85" i="4"/>
  <c r="I280" i="22"/>
  <c r="I83" i="3"/>
  <c r="I114" i="9"/>
  <c r="I283" i="22"/>
  <c r="M5" i="11"/>
  <c r="J4" i="11"/>
  <c r="L4" i="11"/>
  <c r="Q14" i="11"/>
  <c r="B14" i="11"/>
  <c r="F9" i="11"/>
  <c r="L25" i="32"/>
  <c r="M25" i="32"/>
  <c r="L8" i="32"/>
  <c r="M8" i="32"/>
  <c r="L7" i="32"/>
  <c r="M7" i="32"/>
  <c r="L17" i="32"/>
  <c r="M17" i="32"/>
  <c r="L24" i="32"/>
  <c r="M24" i="32"/>
  <c r="L12" i="32"/>
  <c r="M12" i="32"/>
  <c r="L10" i="32"/>
  <c r="M10" i="32"/>
  <c r="L19" i="32"/>
  <c r="M19" i="32"/>
  <c r="L9" i="32"/>
  <c r="M9" i="32"/>
  <c r="L14" i="32"/>
  <c r="M14" i="32"/>
  <c r="L22" i="32"/>
  <c r="M22" i="32"/>
  <c r="L23" i="32"/>
  <c r="M23" i="32"/>
  <c r="L18" i="32"/>
  <c r="M18" i="32"/>
  <c r="G35" i="4"/>
  <c r="H35" i="4"/>
  <c r="M36" i="30"/>
  <c r="J83" i="30"/>
  <c r="L18" i="4"/>
  <c r="M18" i="4"/>
  <c r="L16" i="4"/>
  <c r="M16" i="4"/>
  <c r="L7" i="4"/>
  <c r="M7" i="4"/>
  <c r="L14" i="4"/>
  <c r="M14" i="4"/>
  <c r="E84" i="4"/>
  <c r="M37" i="4"/>
  <c r="J84" i="4"/>
  <c r="G30" i="4"/>
  <c r="H30" i="4"/>
  <c r="D36" i="4"/>
  <c r="L12" i="4"/>
  <c r="M12" i="4"/>
  <c r="L22" i="30"/>
  <c r="M22" i="30"/>
  <c r="H78" i="13"/>
  <c r="C9" i="26"/>
  <c r="C14" i="26"/>
  <c r="H80" i="13"/>
  <c r="C11" i="26"/>
  <c r="H79" i="13"/>
  <c r="C10" i="26"/>
  <c r="C15" i="26"/>
  <c r="C13" i="26"/>
  <c r="C8" i="26"/>
  <c r="C7" i="26"/>
  <c r="C12" i="26"/>
  <c r="L13" i="4"/>
  <c r="M13" i="4"/>
  <c r="Q14" i="3"/>
  <c r="B14" i="3"/>
  <c r="Q14" i="9"/>
  <c r="B14" i="9"/>
  <c r="E36" i="4"/>
  <c r="L6" i="4"/>
  <c r="M6" i="4"/>
  <c r="L25" i="4"/>
  <c r="M25" i="4"/>
  <c r="F4" i="13"/>
  <c r="J4" i="13"/>
  <c r="Q14" i="13"/>
  <c r="B14" i="13"/>
  <c r="L12" i="30"/>
  <c r="M12" i="30"/>
  <c r="E85" i="4"/>
  <c r="I37" i="26"/>
  <c r="I39" i="26"/>
  <c r="K109" i="9"/>
  <c r="E39" i="26"/>
  <c r="K106" i="9"/>
  <c r="E36" i="26"/>
  <c r="L9" i="4"/>
  <c r="M9" i="4"/>
  <c r="G37" i="4"/>
  <c r="I36" i="26"/>
  <c r="I40" i="26"/>
  <c r="I41" i="26"/>
  <c r="D46" i="26"/>
  <c r="K111" i="9"/>
  <c r="E41" i="26"/>
  <c r="E35" i="26"/>
  <c r="E45" i="26"/>
  <c r="J37" i="26"/>
  <c r="K112" i="9"/>
  <c r="E42" i="26"/>
  <c r="I410" i="22"/>
  <c r="J40" i="26"/>
  <c r="L17" i="4"/>
  <c r="M17" i="4"/>
  <c r="L10" i="4"/>
  <c r="M10" i="4"/>
  <c r="L8" i="4"/>
  <c r="M8" i="4"/>
  <c r="F5" i="13"/>
  <c r="F221" i="37"/>
  <c r="M20" i="37"/>
  <c r="H30" i="37"/>
  <c r="P20" i="37"/>
  <c r="O20" i="37"/>
  <c r="D221" i="37"/>
  <c r="F220" i="37"/>
  <c r="M22" i="27"/>
  <c r="H223" i="37"/>
  <c r="K20" i="37"/>
  <c r="S176" i="9"/>
  <c r="H221" i="37"/>
  <c r="J220" i="37"/>
  <c r="J222" i="37"/>
  <c r="F223" i="37"/>
  <c r="D222" i="37"/>
  <c r="D220" i="37"/>
  <c r="D149" i="37"/>
  <c r="L87" i="28"/>
  <c r="K93" i="22"/>
  <c r="G410" i="22"/>
  <c r="L408" i="22"/>
  <c r="G408" i="22"/>
  <c r="M407" i="22"/>
  <c r="G199" i="22"/>
  <c r="H225" i="22"/>
  <c r="I15" i="20"/>
  <c r="L12" i="20"/>
  <c r="H11" i="4"/>
  <c r="I79" i="4"/>
  <c r="D79" i="4"/>
  <c r="D84" i="4"/>
  <c r="G84" i="4"/>
  <c r="H84" i="4"/>
  <c r="H37" i="4"/>
  <c r="I84" i="4"/>
  <c r="L84" i="4"/>
  <c r="D80" i="4"/>
  <c r="H15" i="4"/>
  <c r="I80" i="4"/>
  <c r="E82" i="4"/>
  <c r="M26" i="4"/>
  <c r="J82" i="4"/>
  <c r="M21" i="4"/>
  <c r="J81" i="4"/>
  <c r="E81" i="4"/>
  <c r="E7" i="26"/>
  <c r="J123" i="13"/>
  <c r="E8" i="26"/>
  <c r="J124" i="13"/>
  <c r="E9" i="26"/>
  <c r="J125" i="13"/>
  <c r="E10" i="26"/>
  <c r="J127" i="13"/>
  <c r="E12" i="26"/>
  <c r="E15" i="26"/>
  <c r="E13" i="26"/>
  <c r="E14" i="26"/>
  <c r="D7" i="26"/>
  <c r="M5" i="13"/>
  <c r="J126" i="13"/>
  <c r="E11" i="26"/>
  <c r="L4" i="13"/>
  <c r="D4" i="13"/>
  <c r="I25" i="22"/>
  <c r="H26" i="26"/>
  <c r="I19" i="22"/>
  <c r="I20" i="22"/>
  <c r="I22" i="22"/>
  <c r="I21" i="22"/>
  <c r="J26" i="26"/>
  <c r="J57" i="26"/>
  <c r="I57" i="26"/>
  <c r="H57" i="26"/>
  <c r="I26" i="26"/>
  <c r="E85" i="27"/>
  <c r="M60" i="27"/>
  <c r="J87" i="27"/>
  <c r="L87" i="27"/>
  <c r="G87" i="27"/>
  <c r="H87" i="27"/>
  <c r="M27" i="27"/>
  <c r="M12" i="27"/>
  <c r="M40" i="27"/>
  <c r="J85" i="27"/>
  <c r="M6" i="27"/>
  <c r="M35" i="27"/>
  <c r="M31" i="27"/>
  <c r="E84" i="27"/>
  <c r="M37" i="27"/>
  <c r="J84" i="27"/>
  <c r="M38" i="27"/>
  <c r="Q176" i="9"/>
  <c r="I120" i="9"/>
  <c r="I268" i="22"/>
  <c r="L7" i="20"/>
  <c r="M7" i="20"/>
  <c r="J15" i="20"/>
  <c r="M32" i="20"/>
  <c r="L14" i="20"/>
  <c r="M14" i="20"/>
  <c r="L10" i="20"/>
  <c r="M10" i="20"/>
  <c r="M28" i="20"/>
  <c r="L9" i="20"/>
  <c r="M9" i="20"/>
  <c r="J35" i="20"/>
  <c r="L39" i="20"/>
  <c r="M39" i="20"/>
  <c r="L6" i="20"/>
  <c r="M6" i="20"/>
  <c r="M31" i="20"/>
  <c r="I40" i="20"/>
  <c r="I35" i="20"/>
  <c r="J11" i="20"/>
  <c r="L37" i="20"/>
  <c r="E84" i="20"/>
  <c r="M29" i="20"/>
  <c r="M27" i="20"/>
  <c r="I11" i="20"/>
  <c r="M34" i="20"/>
  <c r="J30" i="20"/>
  <c r="M37" i="20"/>
  <c r="J84" i="20"/>
  <c r="M12" i="20"/>
  <c r="B61" i="20"/>
  <c r="B60" i="20"/>
  <c r="I30" i="20"/>
  <c r="L8" i="20"/>
  <c r="M8" i="20"/>
  <c r="M33" i="20"/>
  <c r="L13" i="20"/>
  <c r="M13" i="20"/>
  <c r="I41" i="7"/>
  <c r="G38" i="10"/>
  <c r="J397" i="22"/>
  <c r="J401" i="22"/>
  <c r="J410" i="22"/>
  <c r="G38" i="7"/>
  <c r="J395" i="22"/>
  <c r="J408" i="22"/>
  <c r="J400" i="22"/>
  <c r="J409" i="22"/>
  <c r="J399" i="22"/>
  <c r="I41" i="10"/>
  <c r="I240" i="13"/>
  <c r="K62" i="31"/>
  <c r="H234" i="13"/>
  <c r="H230" i="13"/>
  <c r="J14" i="31"/>
  <c r="I232" i="13"/>
  <c r="K17" i="31"/>
  <c r="K402" i="22"/>
  <c r="K396" i="22"/>
  <c r="L410" i="22"/>
  <c r="H239" i="13"/>
  <c r="J39" i="31"/>
  <c r="K397" i="22"/>
  <c r="I226" i="13"/>
  <c r="K8" i="31"/>
  <c r="H228" i="13"/>
  <c r="J12" i="31"/>
  <c r="H226" i="13"/>
  <c r="J8" i="31"/>
  <c r="H237" i="13"/>
  <c r="J37" i="31"/>
  <c r="I38" i="7"/>
  <c r="I238" i="13"/>
  <c r="K23" i="31"/>
  <c r="K26" i="31"/>
  <c r="H233" i="13"/>
  <c r="J18" i="31"/>
  <c r="G407" i="22"/>
  <c r="K401" i="22"/>
  <c r="I225" i="13"/>
  <c r="K7" i="31"/>
  <c r="H238" i="13"/>
  <c r="J38" i="31"/>
  <c r="H231" i="13"/>
  <c r="H235" i="13"/>
  <c r="K400" i="22"/>
  <c r="K409" i="22"/>
  <c r="K399" i="22"/>
  <c r="K407" i="22"/>
  <c r="H225" i="13"/>
  <c r="J7" i="31"/>
  <c r="I234" i="13"/>
  <c r="I230" i="13"/>
  <c r="K14" i="31"/>
  <c r="I239" i="13"/>
  <c r="K39" i="31"/>
  <c r="H224" i="13"/>
  <c r="J6" i="31"/>
  <c r="I224" i="13"/>
  <c r="K6" i="31"/>
  <c r="I231" i="13"/>
  <c r="K16" i="31"/>
  <c r="I233" i="13"/>
  <c r="K18" i="31"/>
  <c r="I38" i="10"/>
  <c r="K283" i="22"/>
  <c r="G40" i="7"/>
  <c r="N402" i="22"/>
  <c r="H399" i="22"/>
  <c r="H407" i="22"/>
  <c r="H401" i="22"/>
  <c r="H410" i="22"/>
  <c r="M410" i="22"/>
  <c r="I44" i="7"/>
  <c r="M408" i="22"/>
  <c r="I395" i="22"/>
  <c r="I408" i="22"/>
  <c r="N395" i="22"/>
  <c r="H396" i="22"/>
  <c r="N399" i="22"/>
  <c r="N407" i="22"/>
  <c r="H397" i="22"/>
  <c r="N401" i="22"/>
  <c r="N396" i="22"/>
  <c r="H400" i="22"/>
  <c r="H409" i="22"/>
  <c r="G195" i="22"/>
  <c r="K280" i="22"/>
  <c r="H37" i="10"/>
  <c r="I399" i="22"/>
  <c r="I407" i="22"/>
  <c r="N397" i="22"/>
  <c r="G40" i="10"/>
  <c r="L407" i="22"/>
  <c r="I124" i="9"/>
  <c r="I272" i="22"/>
  <c r="K10" i="31"/>
  <c r="K12" i="31"/>
  <c r="H124" i="9"/>
  <c r="H272" i="22"/>
  <c r="H121" i="9"/>
  <c r="H269" i="22"/>
  <c r="J10" i="31"/>
  <c r="M60" i="20"/>
  <c r="J87" i="20"/>
  <c r="H40" i="10"/>
  <c r="H40" i="7"/>
  <c r="I37" i="7"/>
  <c r="G197" i="22"/>
  <c r="K282" i="22"/>
  <c r="J407" i="22"/>
  <c r="G53" i="11"/>
  <c r="G259" i="22"/>
  <c r="M172" i="22"/>
  <c r="M182" i="22"/>
  <c r="K172" i="22"/>
  <c r="K182" i="22"/>
  <c r="N172" i="22"/>
  <c r="N182" i="22"/>
  <c r="H172" i="22"/>
  <c r="H182" i="22"/>
  <c r="J172" i="22"/>
  <c r="J182" i="22"/>
  <c r="H38" i="10"/>
  <c r="H38" i="7"/>
  <c r="H41" i="10"/>
  <c r="H41" i="7"/>
  <c r="I39" i="10"/>
  <c r="G37" i="10"/>
  <c r="G37" i="7"/>
  <c r="G194" i="22"/>
  <c r="I39" i="7"/>
  <c r="G39" i="7"/>
  <c r="G39" i="10"/>
  <c r="H219" i="22"/>
  <c r="H228" i="22"/>
  <c r="G172" i="22"/>
  <c r="H286" i="22"/>
  <c r="K281" i="22"/>
  <c r="J278" i="22"/>
  <c r="J289" i="22"/>
  <c r="H221" i="22"/>
  <c r="H229" i="22"/>
  <c r="H222" i="22"/>
  <c r="H230" i="22"/>
  <c r="H224" i="22"/>
  <c r="H231" i="22"/>
  <c r="J203" i="22"/>
  <c r="H220" i="22"/>
  <c r="H232" i="22"/>
  <c r="G257" i="22"/>
  <c r="I286" i="22"/>
  <c r="G286" i="22"/>
  <c r="G141" i="13"/>
  <c r="G249" i="22"/>
  <c r="M36" i="14"/>
  <c r="J83" i="14"/>
  <c r="I273" i="22"/>
  <c r="H273" i="22"/>
  <c r="E81" i="14"/>
  <c r="M21" i="14"/>
  <c r="J81" i="14"/>
  <c r="G52" i="11"/>
  <c r="J236" i="13"/>
  <c r="G54" i="11"/>
  <c r="G260" i="22"/>
  <c r="G55" i="11"/>
  <c r="G261" i="22"/>
  <c r="G262" i="22"/>
  <c r="H126" i="9"/>
  <c r="H139" i="9"/>
  <c r="E37" i="27"/>
  <c r="H123" i="9"/>
  <c r="H271" i="22"/>
  <c r="H122" i="9"/>
  <c r="H270" i="22"/>
  <c r="H125" i="9"/>
  <c r="H138" i="9"/>
  <c r="E36" i="27"/>
  <c r="H120" i="9"/>
  <c r="H268" i="22"/>
  <c r="J360" i="36"/>
  <c r="K96" i="36"/>
  <c r="K97" i="36"/>
  <c r="K81" i="36"/>
  <c r="S116" i="36"/>
  <c r="K111" i="36"/>
  <c r="K112" i="36"/>
  <c r="Q101" i="36"/>
  <c r="S91" i="36"/>
  <c r="T91" i="36"/>
  <c r="T106" i="36"/>
  <c r="U91" i="36"/>
  <c r="X91" i="36"/>
  <c r="K106" i="36"/>
  <c r="K107" i="36"/>
  <c r="D359" i="36"/>
  <c r="S101" i="36"/>
  <c r="F359" i="36"/>
  <c r="K101" i="36"/>
  <c r="K102" i="36"/>
  <c r="Q96" i="36"/>
  <c r="Q111" i="36"/>
  <c r="S96" i="36"/>
  <c r="S111" i="36"/>
  <c r="Q86" i="36"/>
  <c r="S86" i="36"/>
  <c r="U101" i="36"/>
  <c r="U116" i="36"/>
  <c r="K116" i="36"/>
  <c r="K117" i="36"/>
  <c r="K91" i="36"/>
  <c r="K92" i="36"/>
  <c r="Q106" i="36"/>
  <c r="S106" i="36"/>
  <c r="T81" i="36"/>
  <c r="U81" i="36"/>
  <c r="U96" i="36"/>
  <c r="U106" i="36"/>
  <c r="X81" i="36"/>
  <c r="F360" i="36"/>
  <c r="G359" i="36"/>
  <c r="H360" i="36"/>
  <c r="G360" i="36"/>
  <c r="J359" i="36"/>
  <c r="I195" i="37"/>
  <c r="L206" i="37"/>
  <c r="C115" i="37"/>
  <c r="I203" i="37"/>
  <c r="E222" i="37"/>
  <c r="L194" i="37"/>
  <c r="L200" i="37"/>
  <c r="T111" i="36"/>
  <c r="L210" i="37"/>
  <c r="I205" i="37"/>
  <c r="I199" i="37"/>
  <c r="I187" i="37"/>
  <c r="E220" i="37"/>
  <c r="J194" i="37"/>
  <c r="J186" i="37"/>
  <c r="J207" i="37"/>
  <c r="K208" i="37"/>
  <c r="T86" i="36"/>
  <c r="T96" i="36"/>
  <c r="T101" i="36"/>
  <c r="U111" i="36"/>
  <c r="X96" i="36"/>
  <c r="X101" i="36"/>
  <c r="X111" i="36"/>
  <c r="J185" i="37"/>
  <c r="L192" i="37"/>
  <c r="L199" i="37"/>
  <c r="G204" i="37"/>
  <c r="I186" i="37"/>
  <c r="G195" i="37"/>
  <c r="I211" i="37"/>
  <c r="E223" i="37"/>
  <c r="L115" i="37"/>
  <c r="F149" i="37"/>
  <c r="L185" i="37"/>
  <c r="L202" i="37"/>
  <c r="J190" i="37"/>
  <c r="L209" i="37"/>
  <c r="K204" i="37"/>
  <c r="I210" i="37"/>
  <c r="I206" i="37"/>
  <c r="I194" i="37"/>
  <c r="I190" i="37"/>
  <c r="K115" i="37"/>
  <c r="E149" i="37"/>
  <c r="L187" i="37"/>
  <c r="K220" i="37"/>
  <c r="I202" i="37"/>
  <c r="L198" i="37"/>
  <c r="J201" i="37"/>
  <c r="J189" i="37"/>
  <c r="I221" i="37"/>
  <c r="J187" i="37"/>
  <c r="I220" i="37"/>
  <c r="J188" i="37"/>
  <c r="J210" i="37"/>
  <c r="K210" i="37"/>
  <c r="K206" i="37"/>
  <c r="K202" i="37"/>
  <c r="K194" i="37"/>
  <c r="K192" i="37"/>
  <c r="K190" i="37"/>
  <c r="K188" i="37"/>
  <c r="G186" i="37"/>
  <c r="I212" i="37"/>
  <c r="E224" i="37"/>
  <c r="I204" i="37"/>
  <c r="I192" i="37"/>
  <c r="I188" i="37"/>
  <c r="G170" i="37"/>
  <c r="H170" i="37"/>
  <c r="G166" i="37"/>
  <c r="H166" i="37"/>
  <c r="G162" i="37"/>
  <c r="H162" i="37"/>
  <c r="G158" i="37"/>
  <c r="H158" i="37"/>
  <c r="G154" i="37"/>
  <c r="H154" i="37"/>
  <c r="C221" i="37"/>
  <c r="H201" i="37"/>
  <c r="L188" i="37"/>
  <c r="J191" i="37"/>
  <c r="L193" i="37"/>
  <c r="J211" i="37"/>
  <c r="I223" i="37"/>
  <c r="G190" i="37"/>
  <c r="L190" i="37"/>
  <c r="J209" i="37"/>
  <c r="G209" i="37"/>
  <c r="L197" i="37"/>
  <c r="J197" i="37"/>
  <c r="I197" i="37"/>
  <c r="K212" i="37"/>
  <c r="G224" i="37"/>
  <c r="F224" i="37"/>
  <c r="G208" i="37"/>
  <c r="G200" i="37"/>
  <c r="H200" i="37"/>
  <c r="G192" i="37"/>
  <c r="H195" i="37"/>
  <c r="I200" i="37"/>
  <c r="H211" i="37"/>
  <c r="K186" i="37"/>
  <c r="L211" i="37"/>
  <c r="K223" i="37"/>
  <c r="I196" i="37"/>
  <c r="J205" i="37"/>
  <c r="J206" i="37"/>
  <c r="G206" i="37"/>
  <c r="D224" i="37"/>
  <c r="I201" i="37"/>
  <c r="L195" i="37"/>
  <c r="H203" i="37"/>
  <c r="G152" i="37"/>
  <c r="H152" i="37"/>
  <c r="C220" i="37"/>
  <c r="D360" i="36"/>
  <c r="I360" i="36"/>
  <c r="E360" i="36"/>
  <c r="I359" i="36"/>
  <c r="E359" i="36"/>
  <c r="G196" i="37"/>
  <c r="G194" i="37"/>
  <c r="L207" i="37"/>
  <c r="H197" i="37"/>
  <c r="L359" i="36"/>
  <c r="H359" i="36"/>
  <c r="I198" i="37"/>
  <c r="J202" i="37"/>
  <c r="K211" i="37"/>
  <c r="G223" i="37"/>
  <c r="J195" i="37"/>
  <c r="H191" i="37"/>
  <c r="J212" i="37"/>
  <c r="I224" i="37"/>
  <c r="G177" i="37"/>
  <c r="B224" i="37"/>
  <c r="G171" i="37"/>
  <c r="H171" i="37"/>
  <c r="G151" i="37"/>
  <c r="H151" i="37"/>
  <c r="K360" i="36"/>
  <c r="K359" i="36"/>
  <c r="J198" i="37"/>
  <c r="H210" i="37"/>
  <c r="K200" i="37"/>
  <c r="K198" i="37"/>
  <c r="G174" i="37"/>
  <c r="H174" i="37"/>
  <c r="G169" i="37"/>
  <c r="H169" i="37"/>
  <c r="G165" i="37"/>
  <c r="H165" i="37"/>
  <c r="G161" i="37"/>
  <c r="H161" i="37"/>
  <c r="G157" i="37"/>
  <c r="H157" i="37"/>
  <c r="G153" i="37"/>
  <c r="H153" i="37"/>
  <c r="G187" i="37"/>
  <c r="L201" i="37"/>
  <c r="G202" i="37"/>
  <c r="H220" i="37"/>
  <c r="L196" i="37"/>
  <c r="H193" i="37"/>
  <c r="L204" i="37"/>
  <c r="L205" i="37"/>
  <c r="H208" i="37"/>
  <c r="I209" i="37"/>
  <c r="G205" i="37"/>
  <c r="G201" i="37"/>
  <c r="G197" i="37"/>
  <c r="G193" i="37"/>
  <c r="H185" i="37"/>
  <c r="G175" i="37"/>
  <c r="H175" i="37"/>
  <c r="K209" i="37"/>
  <c r="G207" i="37"/>
  <c r="K205" i="37"/>
  <c r="K201" i="37"/>
  <c r="K199" i="37"/>
  <c r="K197" i="37"/>
  <c r="K195" i="37"/>
  <c r="K193" i="37"/>
  <c r="K191" i="37"/>
  <c r="K189" i="37"/>
  <c r="G221" i="37"/>
  <c r="H187" i="37"/>
  <c r="K185" i="37"/>
  <c r="G176" i="37"/>
  <c r="H176" i="37"/>
  <c r="C223" i="37"/>
  <c r="G172" i="37"/>
  <c r="H172" i="37"/>
  <c r="G167" i="37"/>
  <c r="H167" i="37"/>
  <c r="G163" i="37"/>
  <c r="H163" i="37"/>
  <c r="G159" i="37"/>
  <c r="H159" i="37"/>
  <c r="G155" i="37"/>
  <c r="H155" i="37"/>
  <c r="H190" i="37"/>
  <c r="H206" i="37"/>
  <c r="J192" i="37"/>
  <c r="G199" i="37"/>
  <c r="L189" i="37"/>
  <c r="K221" i="37"/>
  <c r="H204" i="37"/>
  <c r="L186" i="37"/>
  <c r="J200" i="37"/>
  <c r="J204" i="37"/>
  <c r="L212" i="37"/>
  <c r="K224" i="37"/>
  <c r="J208" i="37"/>
  <c r="G211" i="37"/>
  <c r="I207" i="37"/>
  <c r="G173" i="37"/>
  <c r="H173" i="37"/>
  <c r="G168" i="37"/>
  <c r="H168" i="37"/>
  <c r="C222" i="37"/>
  <c r="G164" i="37"/>
  <c r="H164" i="37"/>
  <c r="G160" i="37"/>
  <c r="H160" i="37"/>
  <c r="G156" i="37"/>
  <c r="H156" i="37"/>
  <c r="G150" i="37"/>
  <c r="H150" i="37"/>
  <c r="J193" i="37"/>
  <c r="H186" i="37"/>
  <c r="K187" i="37"/>
  <c r="G220" i="37"/>
  <c r="G198" i="37"/>
  <c r="H196" i="37"/>
  <c r="H202" i="37"/>
  <c r="H192" i="37"/>
  <c r="H188" i="37"/>
  <c r="H198" i="37"/>
  <c r="G185" i="37"/>
  <c r="L191" i="37"/>
  <c r="H199" i="37"/>
  <c r="H194" i="37"/>
  <c r="K196" i="37"/>
  <c r="H205" i="37"/>
  <c r="G203" i="37"/>
  <c r="K203" i="37"/>
  <c r="G222" i="37"/>
  <c r="K207" i="37"/>
  <c r="G210" i="37"/>
  <c r="D223" i="37"/>
  <c r="H207" i="37"/>
  <c r="L203" i="37"/>
  <c r="K222" i="37"/>
  <c r="I193" i="37"/>
  <c r="G191" i="37"/>
  <c r="G188" i="37"/>
  <c r="J199" i="37"/>
  <c r="I189" i="37"/>
  <c r="E221" i="37"/>
  <c r="I185" i="37"/>
  <c r="J196" i="37"/>
  <c r="J203" i="37"/>
  <c r="I222" i="37"/>
  <c r="H212" i="37"/>
  <c r="I191" i="37"/>
  <c r="H189" i="37"/>
  <c r="G189" i="37"/>
  <c r="J221" i="37"/>
  <c r="L208" i="37"/>
  <c r="I208" i="37"/>
  <c r="H209" i="37"/>
  <c r="G212" i="37"/>
  <c r="F169" i="36"/>
  <c r="T168" i="36"/>
  <c r="K82" i="36"/>
  <c r="I141" i="13"/>
  <c r="F184" i="37"/>
  <c r="J219" i="37"/>
  <c r="H224" i="37"/>
  <c r="H222" i="37"/>
  <c r="F222" i="37"/>
  <c r="E34" i="26"/>
  <c r="K114" i="9"/>
  <c r="C34" i="26"/>
  <c r="S48" i="9"/>
  <c r="I53" i="11"/>
  <c r="I259" i="22"/>
  <c r="J39" i="26"/>
  <c r="I27" i="22"/>
  <c r="C6" i="26"/>
  <c r="H85" i="13"/>
  <c r="J27" i="26"/>
  <c r="E81" i="28"/>
  <c r="M21" i="28"/>
  <c r="J81" i="28"/>
  <c r="M26" i="30"/>
  <c r="J82" i="30"/>
  <c r="E82" i="30"/>
  <c r="G36" i="4"/>
  <c r="J223" i="37"/>
  <c r="J224" i="37"/>
  <c r="J38" i="26"/>
  <c r="I26" i="22"/>
  <c r="M15" i="30"/>
  <c r="J80" i="30"/>
  <c r="E80" i="30"/>
  <c r="J51" i="9"/>
  <c r="J53" i="9"/>
  <c r="J54" i="9"/>
  <c r="J55" i="9"/>
  <c r="J52" i="9"/>
  <c r="J56" i="9"/>
  <c r="J58" i="9"/>
  <c r="M36" i="28"/>
  <c r="J83" i="28"/>
  <c r="G140" i="13"/>
  <c r="G248" i="22"/>
  <c r="G411" i="22"/>
  <c r="K38" i="31"/>
  <c r="K40" i="31"/>
  <c r="G268" i="22"/>
  <c r="G414" i="22"/>
  <c r="G416" i="22"/>
  <c r="I142" i="13"/>
  <c r="I250" i="22"/>
  <c r="I251" i="22"/>
  <c r="L411" i="22"/>
  <c r="I138" i="13"/>
  <c r="I241" i="22"/>
  <c r="I249" i="22"/>
  <c r="I140" i="13"/>
  <c r="M60" i="30"/>
  <c r="J87" i="30"/>
  <c r="G139" i="13"/>
  <c r="M414" i="22"/>
  <c r="G415" i="22"/>
  <c r="G250" i="22"/>
  <c r="N408" i="22"/>
  <c r="J15" i="31"/>
  <c r="M39" i="31"/>
  <c r="L414" i="22"/>
  <c r="H408" i="22"/>
  <c r="H416" i="22"/>
  <c r="J40" i="31"/>
  <c r="J416" i="22"/>
  <c r="M8" i="31"/>
  <c r="L416" i="22"/>
  <c r="N410" i="22"/>
  <c r="L40" i="20"/>
  <c r="E85" i="20"/>
  <c r="G41" i="27"/>
  <c r="H41" i="27"/>
  <c r="G41" i="14"/>
  <c r="H41" i="14"/>
  <c r="K21" i="31"/>
  <c r="M7" i="31"/>
  <c r="K15" i="31"/>
  <c r="J21" i="31"/>
  <c r="I245" i="22"/>
  <c r="K11" i="31"/>
  <c r="J11" i="31"/>
  <c r="I139" i="13"/>
  <c r="D15" i="26"/>
  <c r="H125" i="13"/>
  <c r="D10" i="26"/>
  <c r="D14" i="26"/>
  <c r="H123" i="13"/>
  <c r="D8" i="26"/>
  <c r="H126" i="13"/>
  <c r="D11" i="26"/>
  <c r="H124" i="13"/>
  <c r="D9" i="26"/>
  <c r="D13" i="26"/>
  <c r="H127" i="13"/>
  <c r="D12" i="26"/>
  <c r="E6" i="26"/>
  <c r="J131" i="13"/>
  <c r="I27" i="26"/>
  <c r="H27" i="26"/>
  <c r="I126" i="9"/>
  <c r="I139" i="9"/>
  <c r="F37" i="27"/>
  <c r="I123" i="9"/>
  <c r="I271" i="22"/>
  <c r="H267" i="22"/>
  <c r="I121" i="9"/>
  <c r="I269" i="22"/>
  <c r="G267" i="22"/>
  <c r="G122" i="9"/>
  <c r="G270" i="22"/>
  <c r="G126" i="9"/>
  <c r="G139" i="9"/>
  <c r="D37" i="27"/>
  <c r="G37" i="27"/>
  <c r="D84" i="27"/>
  <c r="G84" i="27"/>
  <c r="H84" i="27"/>
  <c r="I267" i="22"/>
  <c r="G124" i="9"/>
  <c r="G272" i="22"/>
  <c r="G121" i="9"/>
  <c r="G269" i="22"/>
  <c r="I125" i="9"/>
  <c r="I138" i="9"/>
  <c r="F36" i="27"/>
  <c r="I122" i="9"/>
  <c r="I270" i="22"/>
  <c r="M21" i="27"/>
  <c r="J81" i="27"/>
  <c r="E81" i="27"/>
  <c r="M30" i="27"/>
  <c r="G273" i="22"/>
  <c r="G123" i="9"/>
  <c r="G271" i="22"/>
  <c r="E82" i="27"/>
  <c r="M26" i="27"/>
  <c r="J82" i="27"/>
  <c r="M11" i="27"/>
  <c r="J79" i="27"/>
  <c r="E79" i="27"/>
  <c r="M15" i="27"/>
  <c r="J80" i="27"/>
  <c r="E80" i="27"/>
  <c r="J36" i="20"/>
  <c r="I36" i="20"/>
  <c r="M40" i="20"/>
  <c r="J85" i="20"/>
  <c r="M30" i="20"/>
  <c r="M35" i="20"/>
  <c r="L11" i="20"/>
  <c r="L15" i="20"/>
  <c r="M380" i="36"/>
  <c r="D380" i="36"/>
  <c r="M379" i="36"/>
  <c r="K379" i="36"/>
  <c r="V101" i="36"/>
  <c r="R111" i="36"/>
  <c r="W106" i="36"/>
  <c r="I55" i="11"/>
  <c r="I261" i="22"/>
  <c r="M13" i="31"/>
  <c r="J23" i="31"/>
  <c r="J26" i="31"/>
  <c r="L415" i="22"/>
  <c r="K410" i="22"/>
  <c r="I52" i="11"/>
  <c r="I258" i="22"/>
  <c r="H110" i="7"/>
  <c r="J19" i="20"/>
  <c r="M411" i="22"/>
  <c r="M14" i="31"/>
  <c r="M10" i="31"/>
  <c r="K408" i="22"/>
  <c r="K416" i="22"/>
  <c r="H411" i="22"/>
  <c r="N415" i="22"/>
  <c r="I415" i="22"/>
  <c r="I414" i="22"/>
  <c r="I411" i="22"/>
  <c r="I416" i="22"/>
  <c r="K94" i="22"/>
  <c r="G109" i="7"/>
  <c r="I18" i="20"/>
  <c r="M416" i="22"/>
  <c r="M415" i="22"/>
  <c r="H108" i="7"/>
  <c r="J17" i="20"/>
  <c r="M60" i="4"/>
  <c r="J87" i="4"/>
  <c r="G107" i="7"/>
  <c r="I16" i="20"/>
  <c r="J411" i="22"/>
  <c r="J414" i="22"/>
  <c r="J415" i="22"/>
  <c r="G417" i="22"/>
  <c r="I51" i="11"/>
  <c r="I257" i="22"/>
  <c r="I54" i="11"/>
  <c r="I260" i="22"/>
  <c r="H109" i="7"/>
  <c r="J18" i="20"/>
  <c r="M60" i="32"/>
  <c r="J87" i="32"/>
  <c r="M60" i="31"/>
  <c r="J87" i="31"/>
  <c r="F172" i="22"/>
  <c r="G182" i="22"/>
  <c r="M60" i="14"/>
  <c r="J87" i="14"/>
  <c r="I256" i="22"/>
  <c r="I58" i="11"/>
  <c r="I262" i="22"/>
  <c r="G108" i="7"/>
  <c r="I17" i="20"/>
  <c r="G110" i="7"/>
  <c r="I19" i="20"/>
  <c r="H107" i="7"/>
  <c r="J16" i="20"/>
  <c r="M149" i="22"/>
  <c r="H60" i="32"/>
  <c r="I87" i="32"/>
  <c r="G246" i="22"/>
  <c r="G251" i="22"/>
  <c r="M147" i="22"/>
  <c r="I11" i="31"/>
  <c r="G263" i="22"/>
  <c r="G247" i="22"/>
  <c r="I240" i="22"/>
  <c r="I248" i="22"/>
  <c r="H51" i="11"/>
  <c r="H257" i="22"/>
  <c r="H55" i="11"/>
  <c r="H261" i="22"/>
  <c r="H54" i="11"/>
  <c r="H260" i="22"/>
  <c r="H128" i="9"/>
  <c r="H274" i="22"/>
  <c r="H275" i="22"/>
  <c r="G258" i="22"/>
  <c r="G59" i="11"/>
  <c r="G245" i="22"/>
  <c r="H139" i="13"/>
  <c r="H245" i="22"/>
  <c r="H138" i="13"/>
  <c r="H140" i="13"/>
  <c r="I40" i="31"/>
  <c r="M36" i="32"/>
  <c r="J83" i="32"/>
  <c r="I81" i="36"/>
  <c r="X116" i="36"/>
  <c r="V96" i="36"/>
  <c r="V116" i="36"/>
  <c r="U86" i="36"/>
  <c r="I111" i="36"/>
  <c r="I112" i="36"/>
  <c r="V111" i="36"/>
  <c r="R86" i="36"/>
  <c r="W111" i="36"/>
  <c r="Q91" i="36"/>
  <c r="S81" i="36"/>
  <c r="Q116" i="36"/>
  <c r="I116" i="36"/>
  <c r="I117" i="36"/>
  <c r="I96" i="36"/>
  <c r="I97" i="36"/>
  <c r="B220" i="37"/>
  <c r="L220" i="37"/>
  <c r="T116" i="36"/>
  <c r="X106" i="36"/>
  <c r="Q81" i="36"/>
  <c r="I106" i="36"/>
  <c r="I107" i="36"/>
  <c r="R96" i="36"/>
  <c r="R106" i="36"/>
  <c r="H192" i="36"/>
  <c r="F192" i="36"/>
  <c r="R116" i="36"/>
  <c r="R101" i="36"/>
  <c r="R91" i="36"/>
  <c r="I91" i="36"/>
  <c r="I92" i="36"/>
  <c r="K177" i="36"/>
  <c r="G187" i="36"/>
  <c r="I101" i="36"/>
  <c r="I102" i="36"/>
  <c r="W96" i="36"/>
  <c r="G177" i="36"/>
  <c r="V81" i="36"/>
  <c r="H177" i="37"/>
  <c r="C224" i="37"/>
  <c r="M224" i="37"/>
  <c r="M223" i="37"/>
  <c r="B222" i="37"/>
  <c r="B221" i="37"/>
  <c r="L221" i="37"/>
  <c r="M220" i="37"/>
  <c r="B223" i="37"/>
  <c r="W91" i="36"/>
  <c r="N359" i="36"/>
  <c r="M359" i="36"/>
  <c r="M360" i="36"/>
  <c r="N360" i="36"/>
  <c r="M221" i="37"/>
  <c r="M222" i="37"/>
  <c r="O209" i="9"/>
  <c r="L41" i="14"/>
  <c r="M41" i="14"/>
  <c r="R168" i="36"/>
  <c r="L222" i="37"/>
  <c r="H169" i="36"/>
  <c r="W81" i="36"/>
  <c r="I82" i="36"/>
  <c r="I380" i="36"/>
  <c r="L380" i="36"/>
  <c r="H380" i="36"/>
  <c r="L224" i="37"/>
  <c r="K380" i="36"/>
  <c r="L223" i="37"/>
  <c r="H251" i="22"/>
  <c r="H142" i="13"/>
  <c r="H250" i="22"/>
  <c r="C35" i="26"/>
  <c r="H37" i="26"/>
  <c r="I15" i="22"/>
  <c r="S49" i="9"/>
  <c r="C41" i="26"/>
  <c r="H38" i="26"/>
  <c r="I16" i="22"/>
  <c r="S55" i="9"/>
  <c r="C36" i="26"/>
  <c r="S50" i="9"/>
  <c r="C43" i="26"/>
  <c r="S57" i="9"/>
  <c r="C40" i="26"/>
  <c r="S54" i="9"/>
  <c r="C16" i="26"/>
  <c r="J61" i="9"/>
  <c r="C42" i="26"/>
  <c r="H39" i="26"/>
  <c r="I17" i="22"/>
  <c r="S56" i="9"/>
  <c r="C39" i="26"/>
  <c r="S53" i="9"/>
  <c r="M15" i="4"/>
  <c r="J80" i="4"/>
  <c r="L80" i="4"/>
  <c r="E80" i="4"/>
  <c r="G80" i="4"/>
  <c r="H80" i="4"/>
  <c r="M11" i="4"/>
  <c r="J79" i="4"/>
  <c r="L79" i="4"/>
  <c r="E79" i="4"/>
  <c r="G79" i="4"/>
  <c r="H79" i="4"/>
  <c r="S51" i="9"/>
  <c r="S52" i="9"/>
  <c r="S58" i="9"/>
  <c r="J4" i="9"/>
  <c r="J36" i="26"/>
  <c r="E46" i="26"/>
  <c r="C44" i="26"/>
  <c r="C38" i="26"/>
  <c r="C37" i="26"/>
  <c r="C46" i="26"/>
  <c r="D83" i="4"/>
  <c r="G83" i="4"/>
  <c r="H83" i="4"/>
  <c r="H36" i="4"/>
  <c r="I83" i="4"/>
  <c r="L83" i="4"/>
  <c r="H36" i="26"/>
  <c r="G125" i="9"/>
  <c r="G138" i="9"/>
  <c r="D36" i="27"/>
  <c r="G36" i="27"/>
  <c r="G256" i="22"/>
  <c r="K411" i="22"/>
  <c r="H414" i="22"/>
  <c r="N414" i="22"/>
  <c r="H256" i="22"/>
  <c r="H58" i="11"/>
  <c r="H262" i="22"/>
  <c r="H52" i="11"/>
  <c r="H258" i="22"/>
  <c r="H36" i="32"/>
  <c r="I83" i="32"/>
  <c r="L83" i="32"/>
  <c r="I252" i="22"/>
  <c r="H53" i="11"/>
  <c r="H259" i="22"/>
  <c r="H415" i="22"/>
  <c r="H15" i="27"/>
  <c r="I80" i="27"/>
  <c r="I239" i="22"/>
  <c r="I247" i="22"/>
  <c r="I238" i="22"/>
  <c r="I246" i="22"/>
  <c r="G87" i="32"/>
  <c r="H87" i="32"/>
  <c r="N411" i="22"/>
  <c r="I146" i="13"/>
  <c r="I15" i="31"/>
  <c r="M23" i="31"/>
  <c r="K414" i="22"/>
  <c r="K272" i="22"/>
  <c r="L417" i="22"/>
  <c r="M417" i="22"/>
  <c r="N416" i="22"/>
  <c r="O416" i="22"/>
  <c r="M148" i="22"/>
  <c r="G41" i="20"/>
  <c r="H41" i="20"/>
  <c r="K271" i="22"/>
  <c r="G274" i="22"/>
  <c r="G275" i="22"/>
  <c r="I274" i="22"/>
  <c r="H37" i="31"/>
  <c r="I84" i="31"/>
  <c r="G87" i="14"/>
  <c r="H87" i="14"/>
  <c r="J267" i="22"/>
  <c r="E16" i="26"/>
  <c r="J8" i="26"/>
  <c r="G24" i="22"/>
  <c r="D6" i="26"/>
  <c r="H131" i="13"/>
  <c r="H141" i="13"/>
  <c r="H146" i="13"/>
  <c r="H60" i="14"/>
  <c r="I87" i="14"/>
  <c r="L87" i="32"/>
  <c r="L80" i="27"/>
  <c r="K269" i="22"/>
  <c r="I275" i="22"/>
  <c r="I128" i="9"/>
  <c r="L87" i="14"/>
  <c r="H37" i="27"/>
  <c r="I84" i="27"/>
  <c r="L84" i="27"/>
  <c r="G128" i="9"/>
  <c r="M36" i="27"/>
  <c r="J83" i="27"/>
  <c r="V91" i="36"/>
  <c r="H60" i="20"/>
  <c r="I87" i="20"/>
  <c r="L87" i="20"/>
  <c r="L19" i="20"/>
  <c r="M19" i="20"/>
  <c r="L17" i="20"/>
  <c r="M17" i="20"/>
  <c r="L18" i="20"/>
  <c r="M18" i="20"/>
  <c r="E79" i="20"/>
  <c r="M11" i="20"/>
  <c r="J79" i="20"/>
  <c r="J21" i="20"/>
  <c r="E80" i="20"/>
  <c r="M15" i="20"/>
  <c r="J80" i="20"/>
  <c r="F379" i="36"/>
  <c r="G379" i="36"/>
  <c r="L379" i="36"/>
  <c r="E379" i="36"/>
  <c r="G122" i="36"/>
  <c r="D379" i="36"/>
  <c r="F380" i="36"/>
  <c r="G380" i="36"/>
  <c r="I379" i="36"/>
  <c r="H379" i="36"/>
  <c r="E380" i="36"/>
  <c r="J380" i="36"/>
  <c r="J379" i="36"/>
  <c r="H122" i="36"/>
  <c r="V106" i="36"/>
  <c r="W116" i="36"/>
  <c r="L16" i="20"/>
  <c r="M16" i="20"/>
  <c r="I417" i="22"/>
  <c r="K415" i="22"/>
  <c r="O415" i="22"/>
  <c r="M18" i="31"/>
  <c r="M16" i="31"/>
  <c r="I21" i="31"/>
  <c r="M37" i="31"/>
  <c r="J84" i="31"/>
  <c r="K270" i="22"/>
  <c r="J417" i="22"/>
  <c r="G146" i="13"/>
  <c r="M17" i="31"/>
  <c r="H11" i="31"/>
  <c r="I79" i="31"/>
  <c r="I59" i="11"/>
  <c r="G235" i="22"/>
  <c r="D80" i="27"/>
  <c r="G80" i="27"/>
  <c r="H80" i="27"/>
  <c r="K261" i="22"/>
  <c r="G87" i="20"/>
  <c r="H87" i="20"/>
  <c r="L13" i="14"/>
  <c r="M13" i="14"/>
  <c r="L38" i="14"/>
  <c r="M38" i="14"/>
  <c r="L23" i="14"/>
  <c r="M23" i="14"/>
  <c r="N233" i="36"/>
  <c r="I235" i="22"/>
  <c r="I263" i="22"/>
  <c r="I264" i="22"/>
  <c r="J256" i="22"/>
  <c r="I21" i="20"/>
  <c r="G87" i="4"/>
  <c r="H87" i="4"/>
  <c r="H60" i="4"/>
  <c r="I87" i="4"/>
  <c r="L87" i="4"/>
  <c r="G87" i="30"/>
  <c r="H87" i="30"/>
  <c r="H60" i="30"/>
  <c r="I87" i="30"/>
  <c r="L87" i="30"/>
  <c r="H15" i="31"/>
  <c r="I80" i="31"/>
  <c r="G264" i="22"/>
  <c r="H60" i="31"/>
  <c r="I87" i="31"/>
  <c r="L87" i="31"/>
  <c r="H83" i="22"/>
  <c r="L41" i="27"/>
  <c r="M41" i="27"/>
  <c r="G252" i="22"/>
  <c r="G253" i="22"/>
  <c r="L25" i="14"/>
  <c r="M25" i="14"/>
  <c r="L24" i="14"/>
  <c r="M24" i="14"/>
  <c r="L14" i="14"/>
  <c r="M14" i="14"/>
  <c r="L39" i="14"/>
  <c r="M39" i="14"/>
  <c r="H11" i="27"/>
  <c r="I79" i="27"/>
  <c r="L79" i="27"/>
  <c r="M6" i="31"/>
  <c r="H36" i="31"/>
  <c r="I83" i="31"/>
  <c r="H252" i="22"/>
  <c r="M15" i="31"/>
  <c r="J80" i="31"/>
  <c r="M38" i="31"/>
  <c r="H238" i="22"/>
  <c r="H246" i="22"/>
  <c r="H241" i="22"/>
  <c r="H249" i="22"/>
  <c r="K249" i="22"/>
  <c r="H240" i="22"/>
  <c r="H248" i="22"/>
  <c r="K248" i="22"/>
  <c r="H239" i="22"/>
  <c r="H247" i="22"/>
  <c r="J245" i="22"/>
  <c r="I253" i="22"/>
  <c r="M36" i="31"/>
  <c r="J83" i="31"/>
  <c r="H59" i="11"/>
  <c r="I242" i="22"/>
  <c r="R81" i="36"/>
  <c r="F177" i="36"/>
  <c r="K192" i="36"/>
  <c r="E122" i="36"/>
  <c r="K187" i="36"/>
  <c r="E192" i="36"/>
  <c r="H187" i="36"/>
  <c r="W101" i="36"/>
  <c r="G192" i="36"/>
  <c r="F187" i="36"/>
  <c r="H177" i="36"/>
  <c r="F122" i="36"/>
  <c r="I177" i="36"/>
  <c r="I192" i="36"/>
  <c r="I187" i="36"/>
  <c r="D122" i="36"/>
  <c r="H15" i="32"/>
  <c r="I80" i="32"/>
  <c r="K260" i="22"/>
  <c r="K259" i="22"/>
  <c r="K258" i="22"/>
  <c r="E169" i="36"/>
  <c r="G169" i="36"/>
  <c r="D83" i="27"/>
  <c r="G83" i="27"/>
  <c r="H83" i="27"/>
  <c r="H36" i="27"/>
  <c r="I83" i="27"/>
  <c r="I14" i="22"/>
  <c r="H12" i="26"/>
  <c r="H11" i="26"/>
  <c r="G17" i="22"/>
  <c r="H9" i="26"/>
  <c r="G15" i="22"/>
  <c r="H10" i="26"/>
  <c r="G16" i="22"/>
  <c r="H40" i="26"/>
  <c r="H41" i="26"/>
  <c r="J41" i="26"/>
  <c r="I24" i="22"/>
  <c r="H8" i="26"/>
  <c r="D4" i="9"/>
  <c r="L4" i="9"/>
  <c r="F5" i="9"/>
  <c r="M5" i="9"/>
  <c r="F4" i="9"/>
  <c r="K417" i="22"/>
  <c r="H417" i="22"/>
  <c r="H11" i="32"/>
  <c r="I79" i="32"/>
  <c r="H263" i="22"/>
  <c r="H264" i="22"/>
  <c r="O414" i="22"/>
  <c r="K247" i="22"/>
  <c r="H55" i="12"/>
  <c r="E19" i="30"/>
  <c r="H37" i="32"/>
  <c r="I84" i="32"/>
  <c r="N417" i="22"/>
  <c r="M12" i="31"/>
  <c r="G83" i="32"/>
  <c r="H83" i="32"/>
  <c r="L41" i="4"/>
  <c r="M41" i="4"/>
  <c r="O210" i="9"/>
  <c r="G41" i="4"/>
  <c r="H41" i="4"/>
  <c r="L84" i="31"/>
  <c r="L83" i="31"/>
  <c r="L80" i="31"/>
  <c r="D16" i="26"/>
  <c r="J10" i="26"/>
  <c r="G26" i="22"/>
  <c r="J11" i="26"/>
  <c r="G27" i="22"/>
  <c r="J9" i="26"/>
  <c r="J12" i="26"/>
  <c r="L83" i="27"/>
  <c r="AA233" i="36"/>
  <c r="L21" i="20"/>
  <c r="E81" i="20"/>
  <c r="M36" i="20"/>
  <c r="J83" i="20"/>
  <c r="M233" i="36"/>
  <c r="G55" i="12"/>
  <c r="D19" i="30"/>
  <c r="I306" i="22"/>
  <c r="N343" i="22"/>
  <c r="G56" i="12"/>
  <c r="D26" i="30"/>
  <c r="L306" i="22"/>
  <c r="I56" i="12"/>
  <c r="F26" i="30"/>
  <c r="J330" i="22"/>
  <c r="G53" i="12"/>
  <c r="D17" i="30"/>
  <c r="G83" i="31"/>
  <c r="H83" i="31"/>
  <c r="I55" i="12"/>
  <c r="F19" i="30"/>
  <c r="E84" i="14"/>
  <c r="M37" i="14"/>
  <c r="J84" i="14"/>
  <c r="H53" i="12"/>
  <c r="E17" i="30"/>
  <c r="L22" i="14"/>
  <c r="M22" i="14"/>
  <c r="I83" i="22"/>
  <c r="D79" i="27"/>
  <c r="G79" i="27"/>
  <c r="H79" i="27"/>
  <c r="I53" i="12"/>
  <c r="F17" i="30"/>
  <c r="L12" i="14"/>
  <c r="M12" i="14"/>
  <c r="G87" i="31"/>
  <c r="H87" i="31"/>
  <c r="M11" i="31"/>
  <c r="J79" i="31"/>
  <c r="L79" i="31"/>
  <c r="G80" i="31"/>
  <c r="H80" i="31"/>
  <c r="H242" i="22"/>
  <c r="H253" i="22"/>
  <c r="G84" i="31"/>
  <c r="H84" i="31"/>
  <c r="M26" i="31"/>
  <c r="J82" i="31"/>
  <c r="M40" i="31"/>
  <c r="J85" i="31"/>
  <c r="E187" i="36"/>
  <c r="E177" i="36"/>
  <c r="J177" i="36"/>
  <c r="J192" i="36"/>
  <c r="J187" i="36"/>
  <c r="H13" i="26"/>
  <c r="G14" i="22"/>
  <c r="G42" i="28"/>
  <c r="H42" i="28"/>
  <c r="G79" i="31"/>
  <c r="H79" i="31"/>
  <c r="L41" i="32"/>
  <c r="M41" i="32"/>
  <c r="G42" i="32"/>
  <c r="H42" i="32"/>
  <c r="L42" i="31"/>
  <c r="M42" i="31"/>
  <c r="M21" i="31"/>
  <c r="J81" i="31"/>
  <c r="G42" i="30"/>
  <c r="H42" i="30"/>
  <c r="M21" i="20"/>
  <c r="J81" i="20"/>
  <c r="G42" i="31"/>
  <c r="H42" i="31"/>
  <c r="L42" i="30"/>
  <c r="M42" i="30"/>
  <c r="L41" i="20"/>
  <c r="M41" i="20"/>
  <c r="G42" i="27"/>
  <c r="H42" i="27"/>
  <c r="L41" i="31"/>
  <c r="M41" i="31"/>
  <c r="G41" i="31"/>
  <c r="H41" i="31"/>
  <c r="G42" i="14"/>
  <c r="H42" i="14"/>
  <c r="L43" i="4"/>
  <c r="M43" i="4"/>
  <c r="L41" i="30"/>
  <c r="M41" i="30"/>
  <c r="G42" i="4"/>
  <c r="H42" i="4"/>
  <c r="L42" i="27"/>
  <c r="M42" i="27"/>
  <c r="L42" i="14"/>
  <c r="M42" i="14"/>
  <c r="G42" i="20"/>
  <c r="H42" i="20"/>
  <c r="L41" i="28"/>
  <c r="M41" i="28"/>
  <c r="L42" i="28"/>
  <c r="M42" i="28"/>
  <c r="L42" i="32"/>
  <c r="M42" i="32"/>
  <c r="G41" i="28"/>
  <c r="H41" i="28"/>
  <c r="O211" i="9"/>
  <c r="L43" i="32"/>
  <c r="M43" i="32"/>
  <c r="G41" i="30"/>
  <c r="H41" i="30"/>
  <c r="G41" i="32"/>
  <c r="H41" i="32"/>
  <c r="J334" i="22"/>
  <c r="J13" i="26"/>
  <c r="G25" i="22"/>
  <c r="I9" i="26"/>
  <c r="G20" i="22"/>
  <c r="I10" i="26"/>
  <c r="G21" i="22"/>
  <c r="I12" i="26"/>
  <c r="I11" i="26"/>
  <c r="G22" i="22"/>
  <c r="I8" i="26"/>
  <c r="G19" i="22"/>
  <c r="T19" i="30"/>
  <c r="U19" i="30"/>
  <c r="J332" i="22"/>
  <c r="G46" i="8"/>
  <c r="D26" i="14"/>
  <c r="N342" i="22"/>
  <c r="H43" i="8"/>
  <c r="E17" i="14"/>
  <c r="H54" i="12"/>
  <c r="E18" i="30"/>
  <c r="I315" i="22"/>
  <c r="G19" i="30"/>
  <c r="H19" i="30"/>
  <c r="J333" i="22"/>
  <c r="H45" i="8"/>
  <c r="E19" i="14"/>
  <c r="I44" i="8"/>
  <c r="F18" i="14"/>
  <c r="H46" i="8"/>
  <c r="E26" i="14"/>
  <c r="N341" i="22"/>
  <c r="G45" i="8"/>
  <c r="D19" i="14"/>
  <c r="H56" i="12"/>
  <c r="E26" i="30"/>
  <c r="G26" i="30"/>
  <c r="G43" i="8"/>
  <c r="D17" i="14"/>
  <c r="N339" i="22"/>
  <c r="L315" i="22"/>
  <c r="I54" i="12"/>
  <c r="F18" i="30"/>
  <c r="H44" i="8"/>
  <c r="E18" i="14"/>
  <c r="I46" i="8"/>
  <c r="F26" i="14"/>
  <c r="I45" i="8"/>
  <c r="F19" i="14"/>
  <c r="I43" i="8"/>
  <c r="F17" i="14"/>
  <c r="G54" i="12"/>
  <c r="D18" i="30"/>
  <c r="J331" i="22"/>
  <c r="G44" i="8"/>
  <c r="D18" i="14"/>
  <c r="N340" i="22"/>
  <c r="L61" i="36"/>
  <c r="L62" i="36"/>
  <c r="L60" i="36"/>
  <c r="E85" i="14"/>
  <c r="M40" i="14"/>
  <c r="J85" i="14"/>
  <c r="E82" i="14"/>
  <c r="M26" i="14"/>
  <c r="J82" i="14"/>
  <c r="G17" i="30"/>
  <c r="H17" i="30"/>
  <c r="E80" i="14"/>
  <c r="M15" i="14"/>
  <c r="J80" i="14"/>
  <c r="G103" i="8"/>
  <c r="Y65" i="31"/>
  <c r="AA215" i="36"/>
  <c r="N215" i="36"/>
  <c r="M215" i="36"/>
  <c r="G43" i="30"/>
  <c r="H43" i="30"/>
  <c r="G43" i="31"/>
  <c r="H43" i="31"/>
  <c r="G43" i="14"/>
  <c r="H43" i="14"/>
  <c r="F85" i="30"/>
  <c r="U40" i="30"/>
  <c r="K85" i="30"/>
  <c r="L43" i="30"/>
  <c r="M43" i="30"/>
  <c r="U26" i="30"/>
  <c r="K82" i="30"/>
  <c r="G43" i="32"/>
  <c r="H43" i="32"/>
  <c r="G43" i="28"/>
  <c r="H43" i="28"/>
  <c r="L43" i="20"/>
  <c r="M43" i="20"/>
  <c r="G43" i="27"/>
  <c r="H43" i="27"/>
  <c r="G43" i="4"/>
  <c r="H43" i="4"/>
  <c r="L43" i="14"/>
  <c r="M43" i="14"/>
  <c r="L42" i="20"/>
  <c r="M42" i="20"/>
  <c r="L42" i="4"/>
  <c r="M42" i="4"/>
  <c r="L43" i="28"/>
  <c r="M43" i="28"/>
  <c r="G43" i="20"/>
  <c r="H43" i="20"/>
  <c r="L43" i="27"/>
  <c r="M43" i="27"/>
  <c r="I13" i="26"/>
  <c r="G18" i="14"/>
  <c r="H18" i="14"/>
  <c r="G18" i="30"/>
  <c r="H18" i="30"/>
  <c r="T18" i="14"/>
  <c r="U18" i="14"/>
  <c r="T17" i="14"/>
  <c r="U17" i="14"/>
  <c r="H40" i="30"/>
  <c r="I85" i="30"/>
  <c r="D85" i="30"/>
  <c r="G85" i="30"/>
  <c r="H85" i="30"/>
  <c r="H26" i="30"/>
  <c r="I82" i="30"/>
  <c r="D82" i="30"/>
  <c r="U40" i="14"/>
  <c r="K85" i="14"/>
  <c r="F85" i="14"/>
  <c r="G52" i="12"/>
  <c r="D16" i="30"/>
  <c r="D21" i="30"/>
  <c r="J329" i="22"/>
  <c r="G26" i="14"/>
  <c r="I52" i="12"/>
  <c r="F16" i="30"/>
  <c r="F21" i="30"/>
  <c r="D85" i="14"/>
  <c r="H40" i="14"/>
  <c r="I85" i="14"/>
  <c r="L85" i="14"/>
  <c r="I42" i="8"/>
  <c r="F16" i="14"/>
  <c r="F21" i="14"/>
  <c r="G17" i="14"/>
  <c r="H17" i="14"/>
  <c r="G19" i="14"/>
  <c r="H19" i="14"/>
  <c r="H42" i="8"/>
  <c r="E16" i="14"/>
  <c r="E21" i="14"/>
  <c r="T18" i="30"/>
  <c r="U18" i="30"/>
  <c r="G42" i="8"/>
  <c r="N338" i="22"/>
  <c r="T19" i="14"/>
  <c r="U19" i="14"/>
  <c r="H52" i="12"/>
  <c r="E16" i="30"/>
  <c r="T17" i="30"/>
  <c r="U17" i="30"/>
  <c r="M232" i="36"/>
  <c r="N232" i="36"/>
  <c r="F82" i="30"/>
  <c r="M11" i="14"/>
  <c r="J79" i="14"/>
  <c r="E79" i="14"/>
  <c r="L85" i="30"/>
  <c r="G85" i="14"/>
  <c r="H85" i="14"/>
  <c r="G82" i="30"/>
  <c r="H82" i="30"/>
  <c r="L43" i="31"/>
  <c r="M43" i="31"/>
  <c r="L82" i="30"/>
  <c r="G16" i="30"/>
  <c r="H16" i="30"/>
  <c r="E21" i="30"/>
  <c r="O63" i="14"/>
  <c r="P63" i="30"/>
  <c r="O63" i="30"/>
  <c r="D16" i="14"/>
  <c r="H26" i="14"/>
  <c r="I82" i="14"/>
  <c r="D82" i="14"/>
  <c r="P63" i="14"/>
  <c r="F82" i="14"/>
  <c r="U26" i="14"/>
  <c r="K82" i="14"/>
  <c r="N234" i="36"/>
  <c r="M234" i="36"/>
  <c r="AA234" i="36"/>
  <c r="AA232" i="36"/>
  <c r="L82" i="14"/>
  <c r="N63" i="30"/>
  <c r="T16" i="30"/>
  <c r="U16" i="30"/>
  <c r="T16" i="14"/>
  <c r="U16" i="14"/>
  <c r="G82" i="14"/>
  <c r="H82" i="14"/>
  <c r="G16" i="14"/>
  <c r="H16" i="14"/>
  <c r="D21" i="14"/>
  <c r="N63" i="14"/>
  <c r="G21" i="30"/>
  <c r="N235" i="36"/>
  <c r="H21" i="30"/>
  <c r="I81" i="30"/>
  <c r="D81" i="30"/>
  <c r="U21" i="30"/>
  <c r="K81" i="30"/>
  <c r="F81" i="30"/>
  <c r="G21" i="14"/>
  <c r="U21" i="14"/>
  <c r="K81" i="14"/>
  <c r="F81" i="14"/>
  <c r="G81" i="30"/>
  <c r="H81" i="30"/>
  <c r="L81" i="30"/>
  <c r="D81" i="14"/>
  <c r="H21" i="14"/>
  <c r="I81" i="14"/>
  <c r="L81" i="14"/>
  <c r="G81" i="14"/>
  <c r="H81" i="14"/>
  <c r="O212" i="9"/>
  <c r="L44" i="28"/>
  <c r="M44" i="28"/>
  <c r="G44" i="27"/>
  <c r="H44" i="27"/>
  <c r="L44" i="14"/>
  <c r="M44" i="14"/>
  <c r="L44" i="30"/>
  <c r="M44" i="30"/>
  <c r="G44" i="30"/>
  <c r="H44" i="30"/>
  <c r="G44" i="32"/>
  <c r="H44" i="32"/>
  <c r="G44" i="31"/>
  <c r="H44" i="31"/>
  <c r="L44" i="27"/>
  <c r="M44" i="27"/>
  <c r="G44" i="14"/>
  <c r="H44" i="14"/>
  <c r="O213" i="9"/>
  <c r="G44" i="20"/>
  <c r="H44" i="20"/>
  <c r="G44" i="28"/>
  <c r="H44" i="28"/>
  <c r="G45" i="30"/>
  <c r="H45" i="30"/>
  <c r="L44" i="20"/>
  <c r="M44" i="20"/>
  <c r="G45" i="28"/>
  <c r="H45" i="28"/>
  <c r="T45" i="31"/>
  <c r="U45" i="31"/>
  <c r="T45" i="20"/>
  <c r="U45" i="20"/>
  <c r="O214" i="9"/>
  <c r="T45" i="28"/>
  <c r="U45" i="28"/>
  <c r="T45" i="4"/>
  <c r="U45" i="4"/>
  <c r="G45" i="32"/>
  <c r="H45" i="32"/>
  <c r="T45" i="27"/>
  <c r="U45" i="27"/>
  <c r="T45" i="32"/>
  <c r="U45" i="32"/>
  <c r="L45" i="14"/>
  <c r="M45" i="14"/>
  <c r="L45" i="4"/>
  <c r="M45" i="4"/>
  <c r="G45" i="31"/>
  <c r="H45" i="31"/>
  <c r="L45" i="27"/>
  <c r="M45" i="27"/>
  <c r="L45" i="20"/>
  <c r="M45" i="20"/>
  <c r="G45" i="4"/>
  <c r="H45" i="4"/>
  <c r="L44" i="31"/>
  <c r="M44" i="31"/>
  <c r="L45" i="30"/>
  <c r="M45" i="30"/>
  <c r="G45" i="27"/>
  <c r="H45" i="27"/>
  <c r="T45" i="14"/>
  <c r="U45" i="14"/>
  <c r="L44" i="32"/>
  <c r="M44" i="32"/>
  <c r="G45" i="14"/>
  <c r="H45" i="14"/>
  <c r="L45" i="28"/>
  <c r="M45" i="28"/>
  <c r="L45" i="32"/>
  <c r="M45" i="32"/>
  <c r="T45" i="30"/>
  <c r="U45" i="30"/>
  <c r="G45" i="20"/>
  <c r="H45" i="20"/>
  <c r="L45" i="31"/>
  <c r="M45" i="31"/>
  <c r="L46" i="14"/>
  <c r="M46" i="14"/>
  <c r="T46" i="14"/>
  <c r="U46" i="14"/>
  <c r="G46" i="14"/>
  <c r="H46" i="14"/>
  <c r="T46" i="30"/>
  <c r="U46" i="30"/>
  <c r="G46" i="4"/>
  <c r="H46" i="4"/>
  <c r="L46" i="32"/>
  <c r="M46" i="32"/>
  <c r="T46" i="20"/>
  <c r="U46" i="20"/>
  <c r="G46" i="28"/>
  <c r="H46" i="28"/>
  <c r="L46" i="30"/>
  <c r="M46" i="30"/>
  <c r="T46" i="32"/>
  <c r="U46" i="32"/>
  <c r="G46" i="31"/>
  <c r="H46" i="31"/>
  <c r="M46" i="27"/>
  <c r="T46" i="31"/>
  <c r="U46" i="31"/>
  <c r="G46" i="20"/>
  <c r="H46" i="20"/>
  <c r="G46" i="27"/>
  <c r="H46" i="27"/>
  <c r="L46" i="28"/>
  <c r="M46" i="28"/>
  <c r="T46" i="28"/>
  <c r="U46" i="28"/>
  <c r="T46" i="27"/>
  <c r="U46" i="27"/>
  <c r="G46" i="30"/>
  <c r="H46" i="30"/>
  <c r="O215" i="9"/>
  <c r="T46" i="4"/>
  <c r="U46" i="4"/>
  <c r="G46" i="32"/>
  <c r="H46" i="32"/>
  <c r="L47" i="4"/>
  <c r="M47" i="4"/>
  <c r="G48" i="28"/>
  <c r="H48" i="28"/>
  <c r="T47" i="31"/>
  <c r="U47" i="31"/>
  <c r="L47" i="27"/>
  <c r="M47" i="27"/>
  <c r="G47" i="28"/>
  <c r="H47" i="28"/>
  <c r="G47" i="14"/>
  <c r="H47" i="14"/>
  <c r="L47" i="31"/>
  <c r="M47" i="31"/>
  <c r="L47" i="30"/>
  <c r="M47" i="30"/>
  <c r="T47" i="27"/>
  <c r="U47" i="27"/>
  <c r="L46" i="4"/>
  <c r="M46" i="4"/>
  <c r="G47" i="30"/>
  <c r="H47" i="30"/>
  <c r="T47" i="4"/>
  <c r="U47" i="4"/>
  <c r="T47" i="30"/>
  <c r="U47" i="30"/>
  <c r="G47" i="4"/>
  <c r="H47" i="4"/>
  <c r="L47" i="14"/>
  <c r="M47" i="14"/>
  <c r="T47" i="14"/>
  <c r="U47" i="14"/>
  <c r="L46" i="20"/>
  <c r="M46" i="20"/>
  <c r="G47" i="27"/>
  <c r="H47" i="27"/>
  <c r="T47" i="28"/>
  <c r="U47" i="28"/>
  <c r="G47" i="31"/>
  <c r="H47" i="31"/>
  <c r="L46" i="31"/>
  <c r="M46" i="31"/>
  <c r="L48" i="30"/>
  <c r="M48" i="30"/>
  <c r="L48" i="28"/>
  <c r="M48" i="28"/>
  <c r="G48" i="32"/>
  <c r="H48" i="32"/>
  <c r="G47" i="20"/>
  <c r="H47" i="20"/>
  <c r="L47" i="28"/>
  <c r="M47" i="28"/>
  <c r="O216" i="9"/>
  <c r="L49" i="28"/>
  <c r="M49" i="28"/>
  <c r="T47" i="32"/>
  <c r="U47" i="32"/>
  <c r="G47" i="32"/>
  <c r="H47" i="32"/>
  <c r="G48" i="30"/>
  <c r="H48" i="30"/>
  <c r="G48" i="4"/>
  <c r="H48" i="4"/>
  <c r="G48" i="20"/>
  <c r="H48" i="20"/>
  <c r="T47" i="20"/>
  <c r="U47" i="20"/>
  <c r="L47" i="32"/>
  <c r="M47" i="32"/>
  <c r="O217" i="9"/>
  <c r="G49" i="14"/>
  <c r="H49" i="14"/>
  <c r="L49" i="14"/>
  <c r="M49" i="14"/>
  <c r="L49" i="4"/>
  <c r="M49" i="4"/>
  <c r="L49" i="30"/>
  <c r="M49" i="30"/>
  <c r="G49" i="32"/>
  <c r="H49" i="32"/>
  <c r="G49" i="20"/>
  <c r="H49" i="20"/>
  <c r="L48" i="32"/>
  <c r="M48" i="32"/>
  <c r="G49" i="31"/>
  <c r="H49" i="31"/>
  <c r="L47" i="20"/>
  <c r="M47" i="20"/>
  <c r="T49" i="32"/>
  <c r="U49" i="32"/>
  <c r="L49" i="32"/>
  <c r="M49" i="32"/>
  <c r="L49" i="27"/>
  <c r="M49" i="27"/>
  <c r="T49" i="14"/>
  <c r="U49" i="14"/>
  <c r="G49" i="30"/>
  <c r="H49" i="30"/>
  <c r="L48" i="4"/>
  <c r="M48" i="4"/>
  <c r="T49" i="20"/>
  <c r="U49" i="20"/>
  <c r="G48" i="27"/>
  <c r="H48" i="27"/>
  <c r="G48" i="14"/>
  <c r="H48" i="14"/>
  <c r="G48" i="31"/>
  <c r="H48" i="31"/>
  <c r="L48" i="20"/>
  <c r="M48" i="20"/>
  <c r="G49" i="4"/>
  <c r="H49" i="4"/>
  <c r="G49" i="28"/>
  <c r="H49" i="28"/>
  <c r="L48" i="27"/>
  <c r="M48" i="27"/>
  <c r="O218" i="9"/>
  <c r="L48" i="14"/>
  <c r="M48" i="14"/>
  <c r="G50" i="14"/>
  <c r="G49" i="27"/>
  <c r="H49" i="27"/>
  <c r="G50" i="31"/>
  <c r="H50" i="31"/>
  <c r="T50" i="27"/>
  <c r="U50" i="27"/>
  <c r="L50" i="31"/>
  <c r="G50" i="4"/>
  <c r="H50" i="4"/>
  <c r="G50" i="27"/>
  <c r="T50" i="4"/>
  <c r="U50" i="4"/>
  <c r="L50" i="27"/>
  <c r="M50" i="27"/>
  <c r="G50" i="30"/>
  <c r="T50" i="28"/>
  <c r="G50" i="28"/>
  <c r="L50" i="30"/>
  <c r="L48" i="31"/>
  <c r="M48" i="31"/>
  <c r="G50" i="32"/>
  <c r="T50" i="30"/>
  <c r="L50" i="14"/>
  <c r="L49" i="20"/>
  <c r="M49" i="20"/>
  <c r="G50" i="20"/>
  <c r="L49" i="31"/>
  <c r="M49" i="31"/>
  <c r="L50" i="28"/>
  <c r="O219" i="9"/>
  <c r="T50" i="14"/>
  <c r="T50" i="32"/>
  <c r="T50" i="20"/>
  <c r="T50" i="31"/>
  <c r="M50" i="30"/>
  <c r="H50" i="27"/>
  <c r="U50" i="28"/>
  <c r="T51" i="31"/>
  <c r="U51" i="31"/>
  <c r="G51" i="14"/>
  <c r="H51" i="14"/>
  <c r="H50" i="28"/>
  <c r="M50" i="31"/>
  <c r="H50" i="30"/>
  <c r="L51" i="31"/>
  <c r="M51" i="31"/>
  <c r="L51" i="20"/>
  <c r="M51" i="20"/>
  <c r="L50" i="4"/>
  <c r="M50" i="4"/>
  <c r="T51" i="20"/>
  <c r="U51" i="20"/>
  <c r="L51" i="27"/>
  <c r="M51" i="27"/>
  <c r="G51" i="30"/>
  <c r="H51" i="30"/>
  <c r="T51" i="4"/>
  <c r="U51" i="4"/>
  <c r="G51" i="27"/>
  <c r="H51" i="27"/>
  <c r="U59" i="20"/>
  <c r="L51" i="14"/>
  <c r="M51" i="14"/>
  <c r="U50" i="14"/>
  <c r="M50" i="28"/>
  <c r="T51" i="14"/>
  <c r="U51" i="14"/>
  <c r="G51" i="4"/>
  <c r="H51" i="4"/>
  <c r="U50" i="20"/>
  <c r="G51" i="31"/>
  <c r="H51" i="31"/>
  <c r="T51" i="30"/>
  <c r="U51" i="30"/>
  <c r="G51" i="28"/>
  <c r="H51" i="28"/>
  <c r="H50" i="20"/>
  <c r="U50" i="30"/>
  <c r="H50" i="14"/>
  <c r="T51" i="27"/>
  <c r="U51" i="27"/>
  <c r="U50" i="31"/>
  <c r="L51" i="30"/>
  <c r="M51" i="30"/>
  <c r="U50" i="32"/>
  <c r="G51" i="20"/>
  <c r="H51" i="20"/>
  <c r="L51" i="4"/>
  <c r="M51" i="4"/>
  <c r="L50" i="32"/>
  <c r="M50" i="14"/>
  <c r="H50" i="32"/>
  <c r="T51" i="28"/>
  <c r="U51" i="28"/>
  <c r="L50" i="20"/>
  <c r="L51" i="32"/>
  <c r="M51" i="32"/>
  <c r="T51" i="32"/>
  <c r="U51" i="32"/>
  <c r="G51" i="32"/>
  <c r="H51" i="32"/>
  <c r="L51" i="28"/>
  <c r="M51" i="28"/>
  <c r="M50" i="20"/>
  <c r="M50" i="32"/>
  <c r="O220" i="9"/>
  <c r="H52" i="14"/>
  <c r="H52" i="4"/>
  <c r="T52" i="27"/>
  <c r="U52" i="27"/>
  <c r="H52" i="32"/>
  <c r="T52" i="28"/>
  <c r="U52" i="28"/>
  <c r="H52" i="31"/>
  <c r="H52" i="28"/>
  <c r="L52" i="32"/>
  <c r="M52" i="32"/>
  <c r="L52" i="14"/>
  <c r="M52" i="14"/>
  <c r="H52" i="20"/>
  <c r="L52" i="27"/>
  <c r="M52" i="27"/>
  <c r="T52" i="14"/>
  <c r="U52" i="14"/>
  <c r="T52" i="32"/>
  <c r="U52" i="32"/>
  <c r="T52" i="31"/>
  <c r="U52" i="31"/>
  <c r="T52" i="30"/>
  <c r="U52" i="30"/>
  <c r="H52" i="27"/>
  <c r="H52" i="30"/>
  <c r="T52" i="4"/>
  <c r="U52" i="4"/>
  <c r="T52" i="20"/>
  <c r="U52" i="20"/>
  <c r="L52" i="30"/>
  <c r="M52" i="30"/>
  <c r="L52" i="28"/>
  <c r="M52" i="28"/>
  <c r="L52" i="31"/>
  <c r="M52" i="31"/>
  <c r="L52" i="20"/>
  <c r="M52" i="20"/>
  <c r="O221" i="9"/>
  <c r="L52" i="4"/>
  <c r="M52" i="4"/>
  <c r="L53" i="4"/>
  <c r="M53" i="4"/>
  <c r="H53" i="4"/>
  <c r="L53" i="31"/>
  <c r="M53" i="31"/>
  <c r="L53" i="32"/>
  <c r="M53" i="32"/>
  <c r="O222" i="9"/>
  <c r="H53" i="32"/>
  <c r="H53" i="28"/>
  <c r="H53" i="30"/>
  <c r="L53" i="30"/>
  <c r="M53" i="30"/>
  <c r="H53" i="20"/>
  <c r="H53" i="27"/>
  <c r="H53" i="31"/>
  <c r="L53" i="14"/>
  <c r="M53" i="14"/>
  <c r="L53" i="27"/>
  <c r="M53" i="27"/>
  <c r="H53" i="14"/>
  <c r="L53" i="20"/>
  <c r="M53" i="20"/>
  <c r="L54" i="28"/>
  <c r="M54" i="28"/>
  <c r="G54" i="27"/>
  <c r="H54" i="27"/>
  <c r="G54" i="30"/>
  <c r="H54" i="30"/>
  <c r="L54" i="30"/>
  <c r="M54" i="30"/>
  <c r="G54" i="32"/>
  <c r="H54" i="32"/>
  <c r="M54" i="27"/>
  <c r="J151" i="7"/>
  <c r="M151" i="7"/>
  <c r="T54" i="31"/>
  <c r="U54" i="31"/>
  <c r="G54" i="4"/>
  <c r="H54" i="4"/>
  <c r="G54" i="14"/>
  <c r="H54" i="14"/>
  <c r="G54" i="28"/>
  <c r="H54" i="28"/>
  <c r="T54" i="28"/>
  <c r="U54" i="28"/>
  <c r="T54" i="20"/>
  <c r="U54" i="20"/>
  <c r="G54" i="31"/>
  <c r="H54" i="31"/>
  <c r="T54" i="32"/>
  <c r="U54" i="32"/>
  <c r="T54" i="4"/>
  <c r="U54" i="4"/>
  <c r="G54" i="20"/>
  <c r="H54" i="20"/>
  <c r="L54" i="32"/>
  <c r="M54" i="32"/>
  <c r="J121" i="10"/>
  <c r="T54" i="27"/>
  <c r="U54" i="27"/>
  <c r="T54" i="14"/>
  <c r="U54" i="14"/>
  <c r="L53" i="28"/>
  <c r="M53" i="28"/>
  <c r="L54" i="31"/>
  <c r="M54" i="31"/>
  <c r="L54" i="14"/>
  <c r="M54" i="14"/>
  <c r="T54" i="30"/>
  <c r="U54" i="30"/>
  <c r="T55" i="28"/>
  <c r="U55" i="28"/>
  <c r="G55" i="14"/>
  <c r="H55" i="14"/>
  <c r="L55" i="31"/>
  <c r="M55" i="31"/>
  <c r="L55" i="14"/>
  <c r="M55" i="14"/>
  <c r="G55" i="32"/>
  <c r="H55" i="32"/>
  <c r="G55" i="31"/>
  <c r="H55" i="31"/>
  <c r="L55" i="30"/>
  <c r="M55" i="30"/>
  <c r="L54" i="4"/>
  <c r="M54" i="4"/>
  <c r="T55" i="32"/>
  <c r="U55" i="32"/>
  <c r="L55" i="32"/>
  <c r="M55" i="32"/>
  <c r="J129" i="8"/>
  <c r="O129" i="8"/>
  <c r="L55" i="4"/>
  <c r="M55" i="4"/>
  <c r="J125" i="12"/>
  <c r="O125" i="12"/>
  <c r="G55" i="30"/>
  <c r="H55" i="30"/>
  <c r="T55" i="4"/>
  <c r="U55" i="4"/>
  <c r="T55" i="31"/>
  <c r="U55" i="31"/>
  <c r="L55" i="28"/>
  <c r="M55" i="28"/>
  <c r="T55" i="14"/>
  <c r="U55" i="14"/>
  <c r="G55" i="4"/>
  <c r="H55" i="4"/>
  <c r="G55" i="28"/>
  <c r="H55" i="28"/>
  <c r="T55" i="30"/>
  <c r="U55" i="30"/>
  <c r="J226" i="9"/>
  <c r="O226" i="9"/>
  <c r="O223" i="9"/>
  <c r="L54" i="20"/>
  <c r="M54" i="20"/>
  <c r="L55" i="20"/>
  <c r="M55" i="20"/>
  <c r="J138" i="11"/>
  <c r="J205" i="3"/>
  <c r="M205" i="3"/>
  <c r="L56" i="30"/>
  <c r="M56" i="30"/>
  <c r="T56" i="20"/>
  <c r="U56" i="20"/>
  <c r="L55" i="27"/>
  <c r="M55" i="27"/>
  <c r="L56" i="14"/>
  <c r="M56" i="14"/>
  <c r="L56" i="31"/>
  <c r="M56" i="31"/>
  <c r="G56" i="4"/>
  <c r="H56" i="4"/>
  <c r="T56" i="4"/>
  <c r="U56" i="4"/>
  <c r="G55" i="20"/>
  <c r="H55" i="20"/>
  <c r="L56" i="28"/>
  <c r="M56" i="28"/>
  <c r="G56" i="20"/>
  <c r="H56" i="20"/>
  <c r="H56" i="27"/>
  <c r="L56" i="32"/>
  <c r="M56" i="32"/>
  <c r="G55" i="27"/>
  <c r="H55" i="27"/>
  <c r="G56" i="31"/>
  <c r="H56" i="31"/>
  <c r="U59" i="27"/>
  <c r="T56" i="14"/>
  <c r="U56" i="14"/>
  <c r="T56" i="27"/>
  <c r="U56" i="27"/>
  <c r="T55" i="20"/>
  <c r="U55" i="20"/>
  <c r="H59" i="14"/>
  <c r="T55" i="27"/>
  <c r="U55" i="27"/>
  <c r="T59" i="32"/>
  <c r="U59" i="32"/>
  <c r="T56" i="32"/>
  <c r="U56" i="32"/>
  <c r="G56" i="14"/>
  <c r="H56" i="14"/>
  <c r="T56" i="30"/>
  <c r="U56" i="30"/>
  <c r="M56" i="27"/>
  <c r="M59" i="20"/>
  <c r="G56" i="28"/>
  <c r="H56" i="28"/>
  <c r="U59" i="28"/>
  <c r="G56" i="30"/>
  <c r="H56" i="30"/>
  <c r="T56" i="31"/>
  <c r="U56" i="31"/>
  <c r="T56" i="28"/>
  <c r="U56" i="28"/>
  <c r="G56" i="32"/>
  <c r="H56" i="32"/>
  <c r="U59" i="30"/>
  <c r="T57" i="27"/>
  <c r="U57" i="27"/>
  <c r="T57" i="20"/>
  <c r="U57" i="20"/>
  <c r="T57" i="32"/>
  <c r="U57" i="32"/>
  <c r="G57" i="27"/>
  <c r="H57" i="27"/>
  <c r="H59" i="27"/>
  <c r="T57" i="4"/>
  <c r="U57" i="4"/>
  <c r="U59" i="4"/>
  <c r="L57" i="14"/>
  <c r="M57" i="14"/>
  <c r="M59" i="14"/>
  <c r="L57" i="27"/>
  <c r="M57" i="27"/>
  <c r="M59" i="27"/>
  <c r="T57" i="28"/>
  <c r="U57" i="28"/>
  <c r="T57" i="14"/>
  <c r="U57" i="14"/>
  <c r="L57" i="30"/>
  <c r="M57" i="30"/>
  <c r="M59" i="30"/>
  <c r="L56" i="4"/>
  <c r="M56" i="4"/>
  <c r="G57" i="14"/>
  <c r="H57" i="14"/>
  <c r="U59" i="14"/>
  <c r="L57" i="4"/>
  <c r="M57" i="4"/>
  <c r="M59" i="4"/>
  <c r="T57" i="31"/>
  <c r="U57" i="31"/>
  <c r="L57" i="20"/>
  <c r="M57" i="20"/>
  <c r="G57" i="30"/>
  <c r="H57" i="30"/>
  <c r="G57" i="20"/>
  <c r="H57" i="20"/>
  <c r="H59" i="20"/>
  <c r="G57" i="31"/>
  <c r="H57" i="31"/>
  <c r="H59" i="31"/>
  <c r="T57" i="30"/>
  <c r="U57" i="30"/>
  <c r="G57" i="4"/>
  <c r="H57" i="4"/>
  <c r="G44" i="4"/>
  <c r="H44" i="4"/>
  <c r="G57" i="28"/>
  <c r="H57" i="28"/>
  <c r="H59" i="28"/>
  <c r="L56" i="20"/>
  <c r="M56" i="20"/>
  <c r="G57" i="32"/>
  <c r="H57" i="32"/>
  <c r="F86" i="27"/>
  <c r="H61" i="31"/>
  <c r="F86" i="4"/>
  <c r="U58" i="28"/>
  <c r="K86" i="28"/>
  <c r="L44" i="4"/>
  <c r="M44" i="4"/>
  <c r="H58" i="31"/>
  <c r="I86" i="31"/>
  <c r="T58" i="32"/>
  <c r="U58" i="32"/>
  <c r="H59" i="4"/>
  <c r="L57" i="31"/>
  <c r="M57" i="31"/>
  <c r="H59" i="32"/>
  <c r="L57" i="32"/>
  <c r="M57" i="32"/>
  <c r="M59" i="32"/>
  <c r="L57" i="28"/>
  <c r="M57" i="28"/>
  <c r="F86" i="20"/>
  <c r="U58" i="20"/>
  <c r="K86" i="20"/>
  <c r="U59" i="31"/>
  <c r="M59" i="28"/>
  <c r="F86" i="28"/>
  <c r="U58" i="27"/>
  <c r="K86" i="27"/>
  <c r="M59" i="31"/>
  <c r="F86" i="30"/>
  <c r="U58" i="30"/>
  <c r="K86" i="30"/>
  <c r="M61" i="20"/>
  <c r="M58" i="30"/>
  <c r="J86" i="30"/>
  <c r="U58" i="14"/>
  <c r="K86" i="14"/>
  <c r="X61" i="32"/>
  <c r="H58" i="32"/>
  <c r="I86" i="32"/>
  <c r="U61" i="30"/>
  <c r="U61" i="28"/>
  <c r="H58" i="20"/>
  <c r="I86" i="20"/>
  <c r="H58" i="27"/>
  <c r="I86" i="27"/>
  <c r="M58" i="32"/>
  <c r="J86" i="32"/>
  <c r="F86" i="31"/>
  <c r="U58" i="31"/>
  <c r="K86" i="31"/>
  <c r="H58" i="4"/>
  <c r="I86" i="4"/>
  <c r="M58" i="20"/>
  <c r="J86" i="20"/>
  <c r="M58" i="27"/>
  <c r="J86" i="27"/>
  <c r="M58" i="14"/>
  <c r="J86" i="14"/>
  <c r="F86" i="32"/>
  <c r="K86" i="32"/>
  <c r="H58" i="14"/>
  <c r="I86" i="14"/>
  <c r="U61" i="20"/>
  <c r="H58" i="28"/>
  <c r="I86" i="28"/>
  <c r="U61" i="27"/>
  <c r="K86" i="4"/>
  <c r="S65" i="30"/>
  <c r="S18" i="36"/>
  <c r="G86" i="14"/>
  <c r="H86" i="14"/>
  <c r="L86" i="14"/>
  <c r="L86" i="27"/>
  <c r="G86" i="4"/>
  <c r="H86" i="4"/>
  <c r="M58" i="4"/>
  <c r="J86" i="4"/>
  <c r="L86" i="4"/>
  <c r="H61" i="20"/>
  <c r="H61" i="32"/>
  <c r="X61" i="4"/>
  <c r="G86" i="20"/>
  <c r="H86" i="20"/>
  <c r="H61" i="4"/>
  <c r="H61" i="14"/>
  <c r="U61" i="14"/>
  <c r="G86" i="32"/>
  <c r="H86" i="32"/>
  <c r="M61" i="30"/>
  <c r="H61" i="30"/>
  <c r="G86" i="28"/>
  <c r="H86" i="28"/>
  <c r="M58" i="28"/>
  <c r="J86" i="28"/>
  <c r="L86" i="28"/>
  <c r="M61" i="14"/>
  <c r="U61" i="4"/>
  <c r="H61" i="28"/>
  <c r="I86" i="30"/>
  <c r="L86" i="30"/>
  <c r="M58" i="31"/>
  <c r="J86" i="31"/>
  <c r="L86" i="31"/>
  <c r="X61" i="31"/>
  <c r="U61" i="32"/>
  <c r="M61" i="27"/>
  <c r="G86" i="27"/>
  <c r="H86" i="27"/>
  <c r="L86" i="20"/>
  <c r="L86" i="32"/>
  <c r="U61" i="31"/>
  <c r="H61" i="27"/>
  <c r="P18" i="36"/>
  <c r="T18" i="36"/>
  <c r="Q18" i="36"/>
  <c r="S29" i="36"/>
  <c r="K65" i="14"/>
  <c r="S17" i="36"/>
  <c r="K65" i="30"/>
  <c r="K65" i="27"/>
  <c r="S65" i="14"/>
  <c r="P25" i="36"/>
  <c r="G86" i="31"/>
  <c r="H86" i="31"/>
  <c r="P29" i="36"/>
  <c r="M61" i="4"/>
  <c r="U63" i="14"/>
  <c r="K72" i="14"/>
  <c r="M61" i="28"/>
  <c r="G86" i="30"/>
  <c r="H86" i="30"/>
  <c r="M61" i="32"/>
  <c r="P17" i="36"/>
  <c r="M61" i="31"/>
  <c r="O72" i="30"/>
  <c r="K65" i="28"/>
  <c r="K65" i="4"/>
  <c r="T29" i="36"/>
  <c r="Q25" i="36"/>
  <c r="P72" i="30"/>
  <c r="J72" i="30"/>
  <c r="R18" i="36"/>
  <c r="Q29" i="36"/>
  <c r="S25" i="36"/>
  <c r="Q17" i="36"/>
  <c r="T17" i="36"/>
  <c r="T25" i="36"/>
  <c r="S30" i="36"/>
  <c r="U64" i="14"/>
  <c r="L72" i="14"/>
  <c r="P30" i="36"/>
  <c r="T65" i="14"/>
  <c r="U65" i="14"/>
  <c r="M72" i="14"/>
  <c r="P72" i="14"/>
  <c r="P21" i="36"/>
  <c r="O72" i="14"/>
  <c r="K65" i="31"/>
  <c r="K18" i="36"/>
  <c r="K62" i="36"/>
  <c r="P33" i="36"/>
  <c r="K60" i="36"/>
  <c r="T33" i="36"/>
  <c r="T30" i="36"/>
  <c r="J71" i="31"/>
  <c r="P71" i="30"/>
  <c r="R29" i="36"/>
  <c r="J71" i="14"/>
  <c r="P71" i="27"/>
  <c r="S33" i="36"/>
  <c r="Q33" i="36"/>
  <c r="J71" i="30"/>
  <c r="R17" i="36"/>
  <c r="Q72" i="30"/>
  <c r="J18" i="36"/>
  <c r="M137" i="36"/>
  <c r="N137" i="36"/>
  <c r="R25" i="36"/>
  <c r="P71" i="14"/>
  <c r="Q30" i="36"/>
  <c r="J72" i="14"/>
  <c r="O71" i="14"/>
  <c r="P9" i="36"/>
  <c r="K30" i="36"/>
  <c r="Y105" i="36"/>
  <c r="N90" i="36"/>
  <c r="M90" i="36"/>
  <c r="K17" i="36"/>
  <c r="K25" i="36"/>
  <c r="M229" i="36"/>
  <c r="N229" i="36"/>
  <c r="AA229" i="36"/>
  <c r="O71" i="30"/>
  <c r="O71" i="27"/>
  <c r="T21" i="36"/>
  <c r="N228" i="36"/>
  <c r="M228" i="36"/>
  <c r="N99" i="36"/>
  <c r="M99" i="36"/>
  <c r="K29" i="36"/>
  <c r="O71" i="31"/>
  <c r="K9" i="36"/>
  <c r="Q71" i="31"/>
  <c r="J9" i="36"/>
  <c r="M151" i="36"/>
  <c r="N151" i="36"/>
  <c r="J71" i="28"/>
  <c r="P71" i="4"/>
  <c r="R9" i="36"/>
  <c r="Q21" i="36"/>
  <c r="Q71" i="30"/>
  <c r="J17" i="36"/>
  <c r="R33" i="36"/>
  <c r="J71" i="4"/>
  <c r="S21" i="36"/>
  <c r="Q71" i="14"/>
  <c r="J29" i="36"/>
  <c r="P71" i="28"/>
  <c r="Q71" i="27"/>
  <c r="J30" i="36"/>
  <c r="Q72" i="14"/>
  <c r="T9" i="36"/>
  <c r="Y152" i="36"/>
  <c r="S9" i="36"/>
  <c r="R30" i="36"/>
  <c r="K21" i="36"/>
  <c r="M104" i="36"/>
  <c r="N104" i="36"/>
  <c r="Z99" i="36"/>
  <c r="AA99" i="36"/>
  <c r="O71" i="28"/>
  <c r="M230" i="36"/>
  <c r="N230" i="36"/>
  <c r="Q9" i="36"/>
  <c r="N89" i="36"/>
  <c r="M89" i="36"/>
  <c r="O71" i="4"/>
  <c r="AA230" i="36"/>
  <c r="AA228" i="36"/>
  <c r="P71" i="31"/>
  <c r="Z90" i="36"/>
  <c r="AA90" i="36"/>
  <c r="N105" i="36"/>
  <c r="M105" i="36"/>
  <c r="K33" i="36"/>
  <c r="M146" i="36"/>
  <c r="N146" i="36"/>
  <c r="Q71" i="4"/>
  <c r="J33" i="36"/>
  <c r="Z151" i="36"/>
  <c r="AA151" i="36"/>
  <c r="Q71" i="28"/>
  <c r="J21" i="36"/>
  <c r="N136" i="36"/>
  <c r="M136" i="36"/>
  <c r="R21" i="36"/>
  <c r="M152" i="36"/>
  <c r="N152" i="36"/>
  <c r="N231" i="36"/>
  <c r="Z104" i="36"/>
  <c r="AA104" i="36"/>
  <c r="AA89" i="36"/>
  <c r="Z89" i="36"/>
  <c r="M94" i="36"/>
  <c r="N94" i="36"/>
  <c r="AA105" i="36"/>
  <c r="Z105" i="36"/>
  <c r="N109" i="36"/>
  <c r="M109" i="36"/>
  <c r="N79" i="36"/>
  <c r="M79" i="36"/>
  <c r="N141" i="36"/>
  <c r="M141" i="36"/>
  <c r="Z146" i="36"/>
  <c r="AA146" i="36"/>
  <c r="N156" i="36"/>
  <c r="M156" i="36"/>
  <c r="M126" i="36"/>
  <c r="N126" i="36"/>
  <c r="Z152" i="36"/>
  <c r="AA152" i="36"/>
  <c r="AA94" i="36"/>
  <c r="Z94" i="36"/>
  <c r="Z79" i="36"/>
  <c r="AA79" i="36"/>
  <c r="Z109" i="36"/>
  <c r="AA109" i="36"/>
  <c r="AA156" i="36"/>
  <c r="Z156" i="36"/>
  <c r="Z141" i="36"/>
  <c r="AA141" i="36"/>
  <c r="AA126" i="36"/>
  <c r="Z126" i="36"/>
  <c r="AA137" i="36"/>
  <c r="Z137" i="36"/>
  <c r="Z136" i="36"/>
  <c r="AA136" i="36"/>
  <c r="K251" i="22"/>
  <c r="K246" i="22"/>
  <c r="K250" i="22"/>
  <c r="K252" i="22"/>
  <c r="G305" i="22"/>
  <c r="G314" i="22"/>
  <c r="G325" i="22"/>
  <c r="G158" i="13"/>
  <c r="G304" i="22"/>
  <c r="G313" i="22"/>
  <c r="G324" i="22"/>
  <c r="G155" i="13"/>
  <c r="G300" i="22"/>
  <c r="G309" i="22"/>
  <c r="G301" i="22"/>
  <c r="G310" i="22"/>
  <c r="G321" i="22"/>
  <c r="G152" i="13"/>
  <c r="G302" i="22"/>
  <c r="G311" i="22"/>
  <c r="G322" i="22"/>
  <c r="G153" i="13"/>
  <c r="G303" i="22"/>
  <c r="G312" i="22"/>
  <c r="G323" i="22"/>
  <c r="G154" i="13"/>
  <c r="K17" i="22"/>
  <c r="K14" i="22"/>
  <c r="K15" i="22"/>
  <c r="K16" i="22"/>
  <c r="L17" i="22"/>
  <c r="G41" i="22"/>
  <c r="G45" i="12"/>
  <c r="G58" i="12"/>
  <c r="D37" i="30"/>
  <c r="L16" i="22"/>
  <c r="G40" i="22"/>
  <c r="G44" i="12"/>
  <c r="G57" i="12"/>
  <c r="D36" i="30"/>
  <c r="L15" i="22"/>
  <c r="G34" i="22"/>
  <c r="G38" i="12"/>
  <c r="G51" i="12"/>
  <c r="D15" i="30"/>
  <c r="L14" i="22"/>
  <c r="G33" i="22"/>
  <c r="G37" i="12"/>
  <c r="G50" i="12"/>
  <c r="D11" i="30"/>
  <c r="D63" i="30"/>
  <c r="D70" i="30"/>
  <c r="D74" i="30"/>
  <c r="H223" i="22"/>
  <c r="H233" i="22"/>
  <c r="H234" i="22"/>
  <c r="J305" i="22"/>
  <c r="J314" i="22"/>
  <c r="K334" i="22"/>
  <c r="G57" i="10"/>
  <c r="D40" i="28"/>
  <c r="G43" i="10"/>
  <c r="G56" i="10"/>
  <c r="D37" i="28"/>
  <c r="G42" i="10"/>
  <c r="G55" i="10"/>
  <c r="D36" i="28"/>
  <c r="J304" i="22"/>
  <c r="J313" i="22"/>
  <c r="K333" i="22"/>
  <c r="G54" i="10"/>
  <c r="D26" i="28"/>
  <c r="J300" i="22"/>
  <c r="J309" i="22"/>
  <c r="K329" i="22"/>
  <c r="G50" i="10"/>
  <c r="D16" i="28"/>
  <c r="J301" i="22"/>
  <c r="J310" i="22"/>
  <c r="K330" i="22"/>
  <c r="G51" i="10"/>
  <c r="D17" i="28"/>
  <c r="J302" i="22"/>
  <c r="J311" i="22"/>
  <c r="K331" i="22"/>
  <c r="G52" i="10"/>
  <c r="D18" i="28"/>
  <c r="J303" i="22"/>
  <c r="J312" i="22"/>
  <c r="K332" i="22"/>
  <c r="G53" i="10"/>
  <c r="D19" i="28"/>
  <c r="D21" i="28"/>
  <c r="G36" i="10"/>
  <c r="G49" i="10"/>
  <c r="D15" i="28"/>
  <c r="G35" i="10"/>
  <c r="G48" i="10"/>
  <c r="D11" i="28"/>
  <c r="D63" i="28"/>
  <c r="D70" i="28"/>
  <c r="N40" i="28"/>
  <c r="Q40" i="28"/>
  <c r="N26" i="28"/>
  <c r="Q26" i="28"/>
  <c r="N16" i="28"/>
  <c r="Q16" i="28"/>
  <c r="N17" i="28"/>
  <c r="Q17" i="28"/>
  <c r="N18" i="28"/>
  <c r="Q18" i="28"/>
  <c r="N19" i="28"/>
  <c r="Q19" i="28"/>
  <c r="Q21" i="28"/>
  <c r="Q63" i="28"/>
  <c r="D72" i="28"/>
  <c r="K273" i="22"/>
  <c r="K268" i="22"/>
  <c r="K274" i="22"/>
  <c r="K305" i="22"/>
  <c r="K314" i="22"/>
  <c r="G343" i="22"/>
  <c r="G140" i="9"/>
  <c r="D40" i="27"/>
  <c r="K304" i="22"/>
  <c r="K313" i="22"/>
  <c r="G342" i="22"/>
  <c r="G137" i="9"/>
  <c r="D26" i="27"/>
  <c r="K300" i="22"/>
  <c r="K309" i="22"/>
  <c r="G338" i="22"/>
  <c r="G133" i="9"/>
  <c r="D16" i="27"/>
  <c r="K301" i="22"/>
  <c r="K310" i="22"/>
  <c r="G339" i="22"/>
  <c r="G134" i="9"/>
  <c r="D17" i="27"/>
  <c r="K302" i="22"/>
  <c r="K311" i="22"/>
  <c r="G340" i="22"/>
  <c r="G135" i="9"/>
  <c r="D18" i="27"/>
  <c r="K303" i="22"/>
  <c r="K312" i="22"/>
  <c r="G341" i="22"/>
  <c r="G136" i="9"/>
  <c r="D19" i="27"/>
  <c r="D21" i="27"/>
  <c r="D63" i="27"/>
  <c r="D70" i="27"/>
  <c r="N40" i="27"/>
  <c r="Q40" i="27"/>
  <c r="N26" i="27"/>
  <c r="Q26" i="27"/>
  <c r="N16" i="27"/>
  <c r="Q16" i="27"/>
  <c r="N17" i="27"/>
  <c r="Q17" i="27"/>
  <c r="N18" i="27"/>
  <c r="Q18" i="27"/>
  <c r="N19" i="27"/>
  <c r="Q19" i="27"/>
  <c r="Q21" i="27"/>
  <c r="Q63" i="27"/>
  <c r="D72" i="27"/>
  <c r="D74" i="27"/>
  <c r="G35" i="8"/>
  <c r="G48" i="8"/>
  <c r="D37" i="14"/>
  <c r="G34" i="8"/>
  <c r="G47" i="8"/>
  <c r="D36" i="14"/>
  <c r="G28" i="8"/>
  <c r="G41" i="8"/>
  <c r="D15" i="14"/>
  <c r="G27" i="8"/>
  <c r="G40" i="8"/>
  <c r="D11" i="14"/>
  <c r="D63" i="14"/>
  <c r="D70" i="14"/>
  <c r="D74" i="14"/>
  <c r="K284" i="22"/>
  <c r="K279" i="22"/>
  <c r="K285" i="22"/>
  <c r="M305" i="22"/>
  <c r="M314" i="22"/>
  <c r="G352" i="22"/>
  <c r="G96" i="3"/>
  <c r="D40" i="4"/>
  <c r="M304" i="22"/>
  <c r="M313" i="22"/>
  <c r="G351" i="22"/>
  <c r="G92" i="3"/>
  <c r="D26" i="4"/>
  <c r="M300" i="22"/>
  <c r="M309" i="22"/>
  <c r="G347" i="22"/>
  <c r="G88" i="3"/>
  <c r="D16" i="4"/>
  <c r="M301" i="22"/>
  <c r="M310" i="22"/>
  <c r="G348" i="22"/>
  <c r="G89" i="3"/>
  <c r="D17" i="4"/>
  <c r="M302" i="22"/>
  <c r="M311" i="22"/>
  <c r="G349" i="22"/>
  <c r="G90" i="3"/>
  <c r="D18" i="4"/>
  <c r="M303" i="22"/>
  <c r="M312" i="22"/>
  <c r="G350" i="22"/>
  <c r="G91" i="3"/>
  <c r="D19" i="4"/>
  <c r="D21" i="4"/>
  <c r="D63" i="4"/>
  <c r="D70" i="4"/>
  <c r="N40" i="4"/>
  <c r="Q40" i="4"/>
  <c r="N26" i="4"/>
  <c r="Q26" i="4"/>
  <c r="N16" i="4"/>
  <c r="Q16" i="4"/>
  <c r="N17" i="4"/>
  <c r="Q17" i="4"/>
  <c r="N18" i="4"/>
  <c r="Q18" i="4"/>
  <c r="N19" i="4"/>
  <c r="Q19" i="4"/>
  <c r="Q21" i="4"/>
  <c r="Q63" i="4"/>
  <c r="D72" i="4"/>
  <c r="D74" i="4"/>
  <c r="I325" i="22"/>
  <c r="I158" i="13"/>
  <c r="I324" i="22"/>
  <c r="I155" i="13"/>
  <c r="I320" i="22"/>
  <c r="I151" i="13"/>
  <c r="K262" i="22"/>
  <c r="K257" i="22"/>
  <c r="K263" i="22"/>
  <c r="H305" i="22"/>
  <c r="H314" i="22"/>
  <c r="M325" i="22"/>
  <c r="I71" i="11"/>
  <c r="F40" i="32"/>
  <c r="H304" i="22"/>
  <c r="H313" i="22"/>
  <c r="M324" i="22"/>
  <c r="I68" i="11"/>
  <c r="F26" i="32"/>
  <c r="H300" i="22"/>
  <c r="H309" i="22"/>
  <c r="M320" i="22"/>
  <c r="I64" i="11"/>
  <c r="F16" i="32"/>
  <c r="H301" i="22"/>
  <c r="H310" i="22"/>
  <c r="M321" i="22"/>
  <c r="I65" i="11"/>
  <c r="F17" i="32"/>
  <c r="H302" i="22"/>
  <c r="H311" i="22"/>
  <c r="M322" i="22"/>
  <c r="I66" i="11"/>
  <c r="F18" i="32"/>
  <c r="H303" i="22"/>
  <c r="H312" i="22"/>
  <c r="M323" i="22"/>
  <c r="I67" i="11"/>
  <c r="F19" i="32"/>
  <c r="F21" i="32"/>
  <c r="K27" i="22"/>
  <c r="K24" i="22"/>
  <c r="K25" i="22"/>
  <c r="K26" i="22"/>
  <c r="L27" i="22"/>
  <c r="I41" i="22"/>
  <c r="I45" i="12"/>
  <c r="I58" i="12"/>
  <c r="F37" i="30"/>
  <c r="L26" i="22"/>
  <c r="I40" i="22"/>
  <c r="I44" i="12"/>
  <c r="I57" i="12"/>
  <c r="F36" i="30"/>
  <c r="L25" i="22"/>
  <c r="I34" i="22"/>
  <c r="I38" i="12"/>
  <c r="I51" i="12"/>
  <c r="F15" i="30"/>
  <c r="L24" i="22"/>
  <c r="I33" i="22"/>
  <c r="I37" i="12"/>
  <c r="I50" i="12"/>
  <c r="F11" i="30"/>
  <c r="M334" i="22"/>
  <c r="I57" i="10"/>
  <c r="F40" i="28"/>
  <c r="I43" i="10"/>
  <c r="I56" i="10"/>
  <c r="F37" i="28"/>
  <c r="I42" i="10"/>
  <c r="I55" i="10"/>
  <c r="F36" i="28"/>
  <c r="M333" i="22"/>
  <c r="I54" i="10"/>
  <c r="F26" i="28"/>
  <c r="M329" i="22"/>
  <c r="I50" i="10"/>
  <c r="F16" i="28"/>
  <c r="M330" i="22"/>
  <c r="I51" i="10"/>
  <c r="F17" i="28"/>
  <c r="M331" i="22"/>
  <c r="I52" i="10"/>
  <c r="F18" i="28"/>
  <c r="M332" i="22"/>
  <c r="I53" i="10"/>
  <c r="F19" i="28"/>
  <c r="F21" i="28"/>
  <c r="I36" i="10"/>
  <c r="I49" i="10"/>
  <c r="F15" i="28"/>
  <c r="I35" i="10"/>
  <c r="I48" i="10"/>
  <c r="F11" i="28"/>
  <c r="I321" i="22"/>
  <c r="I322" i="22"/>
  <c r="I323" i="22"/>
  <c r="P40" i="28"/>
  <c r="S40" i="28"/>
  <c r="P26" i="28"/>
  <c r="S26" i="28"/>
  <c r="P16" i="28"/>
  <c r="S16" i="28"/>
  <c r="P17" i="28"/>
  <c r="S17" i="28"/>
  <c r="P18" i="28"/>
  <c r="S18" i="28"/>
  <c r="P19" i="28"/>
  <c r="S19" i="28"/>
  <c r="S21" i="28"/>
  <c r="I343" i="22"/>
  <c r="I140" i="9"/>
  <c r="F40" i="27"/>
  <c r="I342" i="22"/>
  <c r="I137" i="9"/>
  <c r="F26" i="27"/>
  <c r="I338" i="22"/>
  <c r="I133" i="9"/>
  <c r="F16" i="27"/>
  <c r="I339" i="22"/>
  <c r="I134" i="9"/>
  <c r="F17" i="27"/>
  <c r="I340" i="22"/>
  <c r="I135" i="9"/>
  <c r="F18" i="27"/>
  <c r="I341" i="22"/>
  <c r="I136" i="9"/>
  <c r="F19" i="27"/>
  <c r="F21" i="27"/>
  <c r="P40" i="27"/>
  <c r="S40" i="27"/>
  <c r="P26" i="27"/>
  <c r="S26" i="27"/>
  <c r="P16" i="27"/>
  <c r="S16" i="27"/>
  <c r="P17" i="27"/>
  <c r="S17" i="27"/>
  <c r="P18" i="27"/>
  <c r="S18" i="27"/>
  <c r="P19" i="27"/>
  <c r="S19" i="27"/>
  <c r="S21" i="27"/>
  <c r="I35" i="8"/>
  <c r="I48" i="8"/>
  <c r="F37" i="14"/>
  <c r="I34" i="8"/>
  <c r="I47" i="8"/>
  <c r="F36" i="14"/>
  <c r="I28" i="8"/>
  <c r="I41" i="8"/>
  <c r="F15" i="14"/>
  <c r="I27" i="8"/>
  <c r="I40" i="8"/>
  <c r="F11" i="14"/>
  <c r="I352" i="22"/>
  <c r="I96" i="3"/>
  <c r="F40" i="4"/>
  <c r="I351" i="22"/>
  <c r="I92" i="3"/>
  <c r="F26" i="4"/>
  <c r="I347" i="22"/>
  <c r="I88" i="3"/>
  <c r="F16" i="4"/>
  <c r="I348" i="22"/>
  <c r="I89" i="3"/>
  <c r="F17" i="4"/>
  <c r="I349" i="22"/>
  <c r="I90" i="3"/>
  <c r="F18" i="4"/>
  <c r="I350" i="22"/>
  <c r="I91" i="3"/>
  <c r="F19" i="4"/>
  <c r="F21" i="4"/>
  <c r="P40" i="4"/>
  <c r="S40" i="4"/>
  <c r="P26" i="4"/>
  <c r="S26" i="4"/>
  <c r="P16" i="4"/>
  <c r="S16" i="4"/>
  <c r="P17" i="4"/>
  <c r="S17" i="4"/>
  <c r="P18" i="4"/>
  <c r="S18" i="4"/>
  <c r="P19" i="4"/>
  <c r="S19" i="4"/>
  <c r="S21" i="4"/>
  <c r="P40" i="32"/>
  <c r="S40" i="32"/>
  <c r="P26" i="32"/>
  <c r="S26" i="32"/>
  <c r="P16" i="32"/>
  <c r="S16" i="32"/>
  <c r="P17" i="32"/>
  <c r="S17" i="32"/>
  <c r="P18" i="32"/>
  <c r="S18" i="32"/>
  <c r="P19" i="32"/>
  <c r="S19" i="32"/>
  <c r="S21" i="32"/>
  <c r="H325" i="22"/>
  <c r="H158" i="13"/>
  <c r="H324" i="22"/>
  <c r="H155" i="13"/>
  <c r="H320" i="22"/>
  <c r="H151" i="13"/>
  <c r="L325" i="22"/>
  <c r="H71" i="11"/>
  <c r="E40" i="32"/>
  <c r="L324" i="22"/>
  <c r="H68" i="11"/>
  <c r="E26" i="32"/>
  <c r="L320" i="22"/>
  <c r="H64" i="11"/>
  <c r="E16" i="32"/>
  <c r="L321" i="22"/>
  <c r="H65" i="11"/>
  <c r="E17" i="32"/>
  <c r="L322" i="22"/>
  <c r="H66" i="11"/>
  <c r="E18" i="32"/>
  <c r="L323" i="22"/>
  <c r="H67" i="11"/>
  <c r="E19" i="32"/>
  <c r="E21" i="32"/>
  <c r="K22" i="22"/>
  <c r="K19" i="22"/>
  <c r="K20" i="22"/>
  <c r="K21" i="22"/>
  <c r="L22" i="22"/>
  <c r="H41" i="22"/>
  <c r="H45" i="12"/>
  <c r="H58" i="12"/>
  <c r="E37" i="30"/>
  <c r="L21" i="22"/>
  <c r="H40" i="22"/>
  <c r="H44" i="12"/>
  <c r="H57" i="12"/>
  <c r="E36" i="30"/>
  <c r="L20" i="22"/>
  <c r="H34" i="22"/>
  <c r="H38" i="12"/>
  <c r="H51" i="12"/>
  <c r="E15" i="30"/>
  <c r="L19" i="22"/>
  <c r="H33" i="22"/>
  <c r="H37" i="12"/>
  <c r="H50" i="12"/>
  <c r="E11" i="30"/>
  <c r="L334" i="22"/>
  <c r="H57" i="10"/>
  <c r="E40" i="28"/>
  <c r="H43" i="10"/>
  <c r="H56" i="10"/>
  <c r="E37" i="28"/>
  <c r="H42" i="10"/>
  <c r="H55" i="10"/>
  <c r="E36" i="28"/>
  <c r="L333" i="22"/>
  <c r="H54" i="10"/>
  <c r="E26" i="28"/>
  <c r="L329" i="22"/>
  <c r="H50" i="10"/>
  <c r="E16" i="28"/>
  <c r="L330" i="22"/>
  <c r="H51" i="10"/>
  <c r="E17" i="28"/>
  <c r="L331" i="22"/>
  <c r="H52" i="10"/>
  <c r="E18" i="28"/>
  <c r="L332" i="22"/>
  <c r="H53" i="10"/>
  <c r="E19" i="28"/>
  <c r="E21" i="28"/>
  <c r="H36" i="10"/>
  <c r="H49" i="10"/>
  <c r="E15" i="28"/>
  <c r="H35" i="10"/>
  <c r="H48" i="10"/>
  <c r="E11" i="28"/>
  <c r="H321" i="22"/>
  <c r="H322" i="22"/>
  <c r="H323" i="22"/>
  <c r="O40" i="28"/>
  <c r="R40" i="28"/>
  <c r="O26" i="28"/>
  <c r="R26" i="28"/>
  <c r="O16" i="28"/>
  <c r="R16" i="28"/>
  <c r="O17" i="28"/>
  <c r="R17" i="28"/>
  <c r="O18" i="28"/>
  <c r="R18" i="28"/>
  <c r="O19" i="28"/>
  <c r="R19" i="28"/>
  <c r="R21" i="28"/>
  <c r="H343" i="22"/>
  <c r="H140" i="9"/>
  <c r="E40" i="27"/>
  <c r="H342" i="22"/>
  <c r="H137" i="9"/>
  <c r="E26" i="27"/>
  <c r="H338" i="22"/>
  <c r="H133" i="9"/>
  <c r="E16" i="27"/>
  <c r="H339" i="22"/>
  <c r="H134" i="9"/>
  <c r="E17" i="27"/>
  <c r="H340" i="22"/>
  <c r="H135" i="9"/>
  <c r="E18" i="27"/>
  <c r="H341" i="22"/>
  <c r="H136" i="9"/>
  <c r="E19" i="27"/>
  <c r="E21" i="27"/>
  <c r="O40" i="27"/>
  <c r="R40" i="27"/>
  <c r="O26" i="27"/>
  <c r="R26" i="27"/>
  <c r="O16" i="27"/>
  <c r="R16" i="27"/>
  <c r="O17" i="27"/>
  <c r="R17" i="27"/>
  <c r="O18" i="27"/>
  <c r="R18" i="27"/>
  <c r="O19" i="27"/>
  <c r="R19" i="27"/>
  <c r="R21" i="27"/>
  <c r="H35" i="8"/>
  <c r="H48" i="8"/>
  <c r="E37" i="14"/>
  <c r="H34" i="8"/>
  <c r="H47" i="8"/>
  <c r="E36" i="14"/>
  <c r="H28" i="8"/>
  <c r="H41" i="8"/>
  <c r="E15" i="14"/>
  <c r="H27" i="8"/>
  <c r="H40" i="8"/>
  <c r="E11" i="14"/>
  <c r="H352" i="22"/>
  <c r="H96" i="3"/>
  <c r="E40" i="4"/>
  <c r="H351" i="22"/>
  <c r="H92" i="3"/>
  <c r="E26" i="4"/>
  <c r="H347" i="22"/>
  <c r="H88" i="3"/>
  <c r="E16" i="4"/>
  <c r="H348" i="22"/>
  <c r="H89" i="3"/>
  <c r="E17" i="4"/>
  <c r="H349" i="22"/>
  <c r="H90" i="3"/>
  <c r="E18" i="4"/>
  <c r="H350" i="22"/>
  <c r="H91" i="3"/>
  <c r="E19" i="4"/>
  <c r="E21" i="4"/>
  <c r="O40" i="4"/>
  <c r="R40" i="4"/>
  <c r="O26" i="4"/>
  <c r="R26" i="4"/>
  <c r="O16" i="4"/>
  <c r="R16" i="4"/>
  <c r="O17" i="4"/>
  <c r="R17" i="4"/>
  <c r="O18" i="4"/>
  <c r="R18" i="4"/>
  <c r="O19" i="4"/>
  <c r="R19" i="4"/>
  <c r="R21" i="4"/>
  <c r="O40" i="32"/>
  <c r="R40" i="32"/>
  <c r="O26" i="32"/>
  <c r="R26" i="32"/>
  <c r="O16" i="32"/>
  <c r="R16" i="32"/>
  <c r="O17" i="32"/>
  <c r="R17" i="32"/>
  <c r="O18" i="32"/>
  <c r="R18" i="32"/>
  <c r="O19" i="32"/>
  <c r="R19" i="32"/>
  <c r="R21" i="32"/>
  <c r="K325" i="22"/>
  <c r="G71" i="11"/>
  <c r="D40" i="32"/>
  <c r="K324" i="22"/>
  <c r="G68" i="11"/>
  <c r="D26" i="32"/>
  <c r="K320" i="22"/>
  <c r="G64" i="11"/>
  <c r="D16" i="32"/>
  <c r="K321" i="22"/>
  <c r="G65" i="11"/>
  <c r="D17" i="32"/>
  <c r="K322" i="22"/>
  <c r="G66" i="11"/>
  <c r="D18" i="32"/>
  <c r="K323" i="22"/>
  <c r="G67" i="11"/>
  <c r="D19" i="32"/>
  <c r="D21" i="32"/>
  <c r="D63" i="32"/>
  <c r="D70" i="32"/>
  <c r="N40" i="32"/>
  <c r="Q40" i="32"/>
  <c r="N26" i="32"/>
  <c r="Q26" i="32"/>
  <c r="N16" i="32"/>
  <c r="Q16" i="32"/>
  <c r="N17" i="32"/>
  <c r="Q17" i="32"/>
  <c r="N18" i="32"/>
  <c r="Q18" i="32"/>
  <c r="N19" i="32"/>
  <c r="Q19" i="32"/>
  <c r="Q21" i="32"/>
  <c r="Q63" i="32"/>
  <c r="D72" i="32"/>
  <c r="G63" i="31"/>
  <c r="G64" i="31"/>
  <c r="I70" i="31"/>
  <c r="G40" i="32"/>
  <c r="G26" i="32"/>
  <c r="G21" i="32"/>
  <c r="G63" i="32"/>
  <c r="G64" i="32"/>
  <c r="I70" i="32"/>
  <c r="G37" i="30"/>
  <c r="G36" i="30"/>
  <c r="G15" i="30"/>
  <c r="G11" i="30"/>
  <c r="G63" i="30"/>
  <c r="G64" i="30"/>
  <c r="I70" i="30"/>
  <c r="G40" i="28"/>
  <c r="G37" i="28"/>
  <c r="G36" i="28"/>
  <c r="G26" i="28"/>
  <c r="G21" i="28"/>
  <c r="G15" i="28"/>
  <c r="G11" i="28"/>
  <c r="G63" i="28"/>
  <c r="G64" i="28"/>
  <c r="I70" i="28"/>
  <c r="T40" i="31"/>
  <c r="T26" i="31"/>
  <c r="T21" i="31"/>
  <c r="T63" i="31"/>
  <c r="T64" i="31"/>
  <c r="I72" i="31"/>
  <c r="T40" i="32"/>
  <c r="T26" i="32"/>
  <c r="T21" i="32"/>
  <c r="T63" i="32"/>
  <c r="T64" i="32"/>
  <c r="I72" i="32"/>
  <c r="T40" i="28"/>
  <c r="T26" i="28"/>
  <c r="T21" i="28"/>
  <c r="T63" i="28"/>
  <c r="T64" i="28"/>
  <c r="I72" i="28"/>
  <c r="G40" i="27"/>
  <c r="G26" i="27"/>
  <c r="G21" i="27"/>
  <c r="G63" i="27"/>
  <c r="G64" i="27"/>
  <c r="I70" i="27"/>
  <c r="T40" i="27"/>
  <c r="T26" i="27"/>
  <c r="T21" i="27"/>
  <c r="T63" i="27"/>
  <c r="T64" i="27"/>
  <c r="I72" i="27"/>
  <c r="G37" i="14"/>
  <c r="G36" i="14"/>
  <c r="G15" i="14"/>
  <c r="G11" i="14"/>
  <c r="G40" i="4"/>
  <c r="G26" i="4"/>
  <c r="G21" i="4"/>
  <c r="G63" i="4"/>
  <c r="G64" i="4"/>
  <c r="I70" i="4"/>
  <c r="T40" i="4"/>
  <c r="T26" i="4"/>
  <c r="N21" i="4"/>
  <c r="O21" i="4"/>
  <c r="P21" i="4"/>
  <c r="T21" i="4"/>
  <c r="T63" i="4"/>
  <c r="T64" i="4"/>
  <c r="I72" i="4"/>
  <c r="H70" i="31"/>
  <c r="H70" i="32"/>
  <c r="H70" i="30"/>
  <c r="H70" i="28"/>
  <c r="H72" i="31"/>
  <c r="H72" i="32"/>
  <c r="H72" i="28"/>
  <c r="H70" i="27"/>
  <c r="H72" i="27"/>
  <c r="H70" i="4"/>
  <c r="H72" i="4"/>
  <c r="H315" i="22"/>
  <c r="N322" i="22"/>
  <c r="H306" i="22"/>
  <c r="G18" i="32"/>
  <c r="H18" i="32"/>
  <c r="N320" i="22"/>
  <c r="G17" i="32"/>
  <c r="H17" i="32"/>
  <c r="N321" i="22"/>
  <c r="T18" i="32"/>
  <c r="U18" i="32"/>
  <c r="G19" i="32"/>
  <c r="H19" i="32"/>
  <c r="N323" i="22"/>
  <c r="N324" i="22"/>
  <c r="N325" i="22"/>
  <c r="T17" i="32"/>
  <c r="U17" i="32"/>
  <c r="O21" i="32"/>
  <c r="O63" i="32"/>
  <c r="T19" i="32"/>
  <c r="U19" i="32"/>
  <c r="P21" i="32"/>
  <c r="P63" i="32"/>
  <c r="I72" i="11"/>
  <c r="N21" i="32"/>
  <c r="N63" i="32"/>
  <c r="G72" i="11"/>
  <c r="H72" i="11"/>
  <c r="G16" i="32"/>
  <c r="H16" i="32"/>
  <c r="T16" i="32"/>
  <c r="U16" i="32"/>
  <c r="G35" i="7"/>
  <c r="G48" i="7"/>
  <c r="G36" i="7"/>
  <c r="G49" i="7"/>
  <c r="I35" i="7"/>
  <c r="I48" i="7"/>
  <c r="I36" i="7"/>
  <c r="I49" i="7"/>
  <c r="H35" i="7"/>
  <c r="H48" i="7"/>
  <c r="H36" i="7"/>
  <c r="H49" i="7"/>
  <c r="F82" i="31"/>
  <c r="F82" i="32"/>
  <c r="F82" i="28"/>
  <c r="F82" i="27"/>
  <c r="F82" i="4"/>
  <c r="F85" i="31"/>
  <c r="F85" i="32"/>
  <c r="F85" i="28"/>
  <c r="F85" i="27"/>
  <c r="F85" i="4"/>
  <c r="D85" i="31"/>
  <c r="D85" i="32"/>
  <c r="D85" i="28"/>
  <c r="D85" i="27"/>
  <c r="D85" i="4"/>
  <c r="F81" i="31"/>
  <c r="F81" i="32"/>
  <c r="F81" i="28"/>
  <c r="F81" i="27"/>
  <c r="F81" i="4"/>
  <c r="D82" i="31"/>
  <c r="D82" i="32"/>
  <c r="D82" i="28"/>
  <c r="D82" i="27"/>
  <c r="D82" i="4"/>
  <c r="D81" i="31"/>
  <c r="D81" i="32"/>
  <c r="D81" i="28"/>
  <c r="D81" i="27"/>
  <c r="D81" i="4"/>
  <c r="G80" i="37"/>
  <c r="G115" i="37"/>
  <c r="D184" i="37"/>
  <c r="H219" i="37"/>
  <c r="O70" i="32"/>
  <c r="F65" i="32"/>
  <c r="O72" i="32"/>
  <c r="S65" i="32"/>
  <c r="P72" i="32"/>
  <c r="P70" i="32"/>
  <c r="U63" i="32"/>
  <c r="U64" i="32"/>
  <c r="L72" i="32"/>
  <c r="Q14" i="36"/>
  <c r="S14" i="36"/>
  <c r="K72" i="32"/>
  <c r="P14" i="36"/>
  <c r="T14" i="36"/>
  <c r="G65" i="32"/>
  <c r="J70" i="32"/>
  <c r="Q70" i="32"/>
  <c r="H64" i="32"/>
  <c r="L70" i="32"/>
  <c r="Q12" i="36"/>
  <c r="T65" i="32"/>
  <c r="U65" i="32"/>
  <c r="M72" i="32"/>
  <c r="R14" i="36"/>
  <c r="J72" i="32"/>
  <c r="Q72" i="32"/>
  <c r="S12" i="36"/>
  <c r="H63" i="32"/>
  <c r="K70" i="32"/>
  <c r="P12" i="36"/>
  <c r="T12" i="36"/>
  <c r="H65" i="32"/>
  <c r="M70" i="32"/>
  <c r="R12" i="36"/>
  <c r="M132" i="36"/>
  <c r="N132" i="36"/>
  <c r="M130" i="36"/>
  <c r="N130" i="36"/>
  <c r="K12" i="36"/>
  <c r="K14" i="36"/>
  <c r="Y130" i="36"/>
  <c r="AA130" i="36"/>
  <c r="Z130" i="36"/>
  <c r="Y132" i="36"/>
  <c r="AA132" i="36"/>
  <c r="Z132" i="36"/>
  <c r="N85" i="36"/>
  <c r="M85" i="36"/>
  <c r="D79" i="30"/>
  <c r="D79" i="28"/>
  <c r="D79" i="14"/>
  <c r="D11" i="20"/>
  <c r="E11" i="20"/>
  <c r="F11" i="20"/>
  <c r="G11" i="20"/>
  <c r="D79" i="20"/>
  <c r="D80" i="30"/>
  <c r="D80" i="28"/>
  <c r="D80" i="14"/>
  <c r="D15" i="20"/>
  <c r="E15" i="20"/>
  <c r="F15" i="20"/>
  <c r="G15" i="20"/>
  <c r="D80" i="20"/>
  <c r="N83" i="36"/>
  <c r="M83" i="36"/>
  <c r="Y83" i="36"/>
  <c r="Z83" i="36"/>
  <c r="AA83" i="36"/>
  <c r="Y85" i="36"/>
  <c r="Z85" i="36"/>
  <c r="AA85" i="36"/>
  <c r="H26" i="32"/>
  <c r="I82" i="32"/>
  <c r="U26" i="32"/>
  <c r="K82" i="32"/>
  <c r="H40" i="32"/>
  <c r="I85" i="32"/>
  <c r="U40" i="32"/>
  <c r="K85" i="32"/>
  <c r="H21" i="32"/>
  <c r="I81" i="32"/>
  <c r="U21" i="32"/>
  <c r="K81" i="32"/>
  <c r="D84" i="30"/>
  <c r="D84" i="28"/>
  <c r="D84" i="14"/>
  <c r="G43" i="7"/>
  <c r="G56" i="7"/>
  <c r="D37" i="20"/>
  <c r="H43" i="7"/>
  <c r="H56" i="7"/>
  <c r="E37" i="20"/>
  <c r="I43" i="7"/>
  <c r="I56" i="7"/>
  <c r="F37" i="20"/>
  <c r="G37" i="20"/>
  <c r="D84" i="20"/>
  <c r="Y219" i="36"/>
  <c r="Y200" i="36"/>
  <c r="Y196" i="36"/>
  <c r="I130" i="36"/>
  <c r="V130" i="36"/>
  <c r="J130" i="36"/>
  <c r="W130" i="36"/>
  <c r="G65" i="31"/>
  <c r="J70" i="31"/>
  <c r="J8" i="36"/>
  <c r="J12" i="36"/>
  <c r="G65" i="30"/>
  <c r="J70" i="30"/>
  <c r="J16" i="36"/>
  <c r="G65" i="28"/>
  <c r="J70" i="28"/>
  <c r="J20" i="36"/>
  <c r="T65" i="31"/>
  <c r="J72" i="31"/>
  <c r="J10" i="36"/>
  <c r="J14" i="36"/>
  <c r="J19" i="36"/>
  <c r="T65" i="28"/>
  <c r="J72" i="28"/>
  <c r="J22" i="36"/>
  <c r="J23" i="36"/>
  <c r="G65" i="27"/>
  <c r="J70" i="27"/>
  <c r="J24" i="36"/>
  <c r="T65" i="27"/>
  <c r="J72" i="27"/>
  <c r="J26" i="36"/>
  <c r="J27" i="36"/>
  <c r="G65" i="14"/>
  <c r="J70" i="14"/>
  <c r="J28" i="36"/>
  <c r="J31" i="36"/>
  <c r="G65" i="4"/>
  <c r="J70" i="4"/>
  <c r="J32" i="36"/>
  <c r="T65" i="4"/>
  <c r="J72" i="4"/>
  <c r="J34" i="36"/>
  <c r="J35" i="36"/>
  <c r="J165" i="36"/>
  <c r="W165" i="36"/>
  <c r="I165" i="36"/>
  <c r="V165" i="36"/>
  <c r="Y135" i="36"/>
  <c r="Y138" i="36"/>
  <c r="Z138" i="36"/>
  <c r="AA138" i="36"/>
  <c r="Z135" i="36"/>
  <c r="AA135" i="36"/>
  <c r="Y125" i="36"/>
  <c r="Y127" i="36"/>
  <c r="Y128" i="36"/>
  <c r="Z128" i="36"/>
  <c r="Y140" i="36"/>
  <c r="Y142" i="36"/>
  <c r="Y143" i="36"/>
  <c r="Z143" i="36"/>
  <c r="AA143" i="36"/>
  <c r="Y155" i="36"/>
  <c r="Y157" i="36"/>
  <c r="Y158" i="36"/>
  <c r="Z158" i="36"/>
  <c r="AA158" i="36"/>
  <c r="AA128" i="36"/>
  <c r="AA125" i="36"/>
  <c r="Z125" i="36"/>
  <c r="Y108" i="36"/>
  <c r="Y110" i="36"/>
  <c r="Y111" i="36"/>
  <c r="AA111" i="36"/>
  <c r="Z111" i="36"/>
  <c r="Y78" i="36"/>
  <c r="Y80" i="36"/>
  <c r="Y81" i="36"/>
  <c r="AA81" i="36"/>
  <c r="Z81" i="36"/>
  <c r="Y150" i="36"/>
  <c r="Y153" i="36"/>
  <c r="Z153" i="36"/>
  <c r="AA153" i="36"/>
  <c r="N128" i="36"/>
  <c r="M128" i="36"/>
  <c r="M143" i="36"/>
  <c r="N143" i="36"/>
  <c r="M158" i="36"/>
  <c r="N158" i="36"/>
  <c r="Y88" i="36"/>
  <c r="Y91" i="36"/>
  <c r="AA91" i="36"/>
  <c r="Z91" i="36"/>
  <c r="M81" i="36"/>
  <c r="N81" i="36"/>
  <c r="Y103" i="36"/>
  <c r="Y106" i="36"/>
  <c r="AA106" i="36"/>
  <c r="Z106" i="36"/>
  <c r="N111" i="36"/>
  <c r="M111" i="36"/>
  <c r="Y93" i="36"/>
  <c r="Y95" i="36"/>
  <c r="Y96" i="36"/>
  <c r="AA96" i="36"/>
  <c r="Z96" i="36"/>
  <c r="N153" i="36"/>
  <c r="M153" i="36"/>
  <c r="J74" i="28"/>
  <c r="Q74" i="28"/>
  <c r="J73" i="28"/>
  <c r="Q73" i="28"/>
  <c r="Y145" i="36"/>
  <c r="Y147" i="36"/>
  <c r="Y148" i="36"/>
  <c r="Z148" i="36"/>
  <c r="AA148" i="36"/>
  <c r="M91" i="36"/>
  <c r="N91" i="36"/>
  <c r="Z110" i="36"/>
  <c r="AA110" i="36"/>
  <c r="Y98" i="36"/>
  <c r="Y100" i="36"/>
  <c r="Y101" i="36"/>
  <c r="Z101" i="36"/>
  <c r="AA101" i="36"/>
  <c r="M106" i="36"/>
  <c r="N106" i="36"/>
  <c r="Z80" i="36"/>
  <c r="AA80" i="36"/>
  <c r="AA103" i="36"/>
  <c r="Z103" i="36"/>
  <c r="AA93" i="36"/>
  <c r="Z93" i="36"/>
  <c r="AA88" i="36"/>
  <c r="Z88" i="36"/>
  <c r="Z108" i="36"/>
  <c r="AA108" i="36"/>
  <c r="N96" i="36"/>
  <c r="M96" i="36"/>
  <c r="I74" i="31"/>
  <c r="I73" i="31"/>
  <c r="P73" i="31"/>
  <c r="I11" i="36"/>
  <c r="J74" i="14"/>
  <c r="Q74" i="14"/>
  <c r="J73" i="14"/>
  <c r="Q73" i="14"/>
  <c r="U65" i="28"/>
  <c r="M72" i="28"/>
  <c r="H65" i="28"/>
  <c r="M70" i="28"/>
  <c r="M74" i="28"/>
  <c r="M73" i="28"/>
  <c r="I74" i="28"/>
  <c r="P74" i="28"/>
  <c r="I73" i="28"/>
  <c r="P73" i="28"/>
  <c r="J74" i="27"/>
  <c r="Q74" i="27"/>
  <c r="J73" i="27"/>
  <c r="Q73" i="27"/>
  <c r="I35" i="36"/>
  <c r="Z150" i="36"/>
  <c r="AA150" i="36"/>
  <c r="AA145" i="36"/>
  <c r="Z145" i="36"/>
  <c r="I74" i="4"/>
  <c r="P74" i="4"/>
  <c r="I73" i="4"/>
  <c r="P73" i="4"/>
  <c r="Z157" i="36"/>
  <c r="AA157" i="36"/>
  <c r="AA155" i="36"/>
  <c r="Z155" i="36"/>
  <c r="J74" i="30"/>
  <c r="Q74" i="30"/>
  <c r="J73" i="30"/>
  <c r="Q73" i="30"/>
  <c r="U65" i="4"/>
  <c r="M72" i="4"/>
  <c r="H65" i="4"/>
  <c r="M70" i="4"/>
  <c r="M74" i="4"/>
  <c r="M73" i="4"/>
  <c r="I23" i="36"/>
  <c r="N148" i="36"/>
  <c r="M148" i="36"/>
  <c r="J74" i="4"/>
  <c r="Q74" i="4"/>
  <c r="J73" i="4"/>
  <c r="Q73" i="4"/>
  <c r="M138" i="36"/>
  <c r="N138" i="36"/>
  <c r="J74" i="31"/>
  <c r="J73" i="31"/>
  <c r="Q73" i="31"/>
  <c r="N80" i="36"/>
  <c r="M80" i="36"/>
  <c r="N103" i="36"/>
  <c r="M103" i="36"/>
  <c r="H74" i="28"/>
  <c r="O74" i="28"/>
  <c r="H73" i="28"/>
  <c r="O73" i="28"/>
  <c r="AA98" i="36"/>
  <c r="Z98" i="36"/>
  <c r="H74" i="14"/>
  <c r="H73" i="14"/>
  <c r="O73" i="14"/>
  <c r="P74" i="31"/>
  <c r="M108" i="36"/>
  <c r="N108" i="36"/>
  <c r="H74" i="4"/>
  <c r="H73" i="4"/>
  <c r="O73" i="4"/>
  <c r="U63" i="31"/>
  <c r="U64" i="31"/>
  <c r="L72" i="31"/>
  <c r="H64" i="31"/>
  <c r="L70" i="31"/>
  <c r="L74" i="31"/>
  <c r="L73" i="31"/>
  <c r="N101" i="36"/>
  <c r="M101" i="36"/>
  <c r="Z95" i="36"/>
  <c r="AA95" i="36"/>
  <c r="M110" i="36"/>
  <c r="N110" i="36"/>
  <c r="N88" i="36"/>
  <c r="M88" i="36"/>
  <c r="M93" i="36"/>
  <c r="N93" i="36"/>
  <c r="AA78" i="36"/>
  <c r="Z78" i="36"/>
  <c r="H74" i="31"/>
  <c r="H73" i="31"/>
  <c r="O73" i="31"/>
  <c r="H74" i="27"/>
  <c r="H73" i="27"/>
  <c r="O73" i="27"/>
  <c r="H65" i="14"/>
  <c r="M70" i="14"/>
  <c r="M74" i="14"/>
  <c r="M73" i="14"/>
  <c r="I31" i="36"/>
  <c r="AA127" i="36"/>
  <c r="Z127" i="36"/>
  <c r="M125" i="36"/>
  <c r="N125" i="36"/>
  <c r="H11" i="36"/>
  <c r="I74" i="14"/>
  <c r="P74" i="14"/>
  <c r="I73" i="14"/>
  <c r="P73" i="14"/>
  <c r="I19" i="36"/>
  <c r="Q72" i="31"/>
  <c r="N155" i="36"/>
  <c r="N145" i="36"/>
  <c r="Q70" i="14"/>
  <c r="Z142" i="36"/>
  <c r="AA142" i="36"/>
  <c r="H65" i="30"/>
  <c r="M70" i="30"/>
  <c r="M74" i="30"/>
  <c r="M73" i="30"/>
  <c r="R16" i="36"/>
  <c r="AA147" i="36"/>
  <c r="Z147" i="36"/>
  <c r="I74" i="30"/>
  <c r="P74" i="30"/>
  <c r="I73" i="30"/>
  <c r="P73" i="30"/>
  <c r="N157" i="36"/>
  <c r="M157" i="36"/>
  <c r="Z140" i="36"/>
  <c r="AA140" i="36"/>
  <c r="Q72" i="4"/>
  <c r="U63" i="28"/>
  <c r="U64" i="28"/>
  <c r="L72" i="28"/>
  <c r="H64" i="28"/>
  <c r="L70" i="28"/>
  <c r="L74" i="28"/>
  <c r="L73" i="28"/>
  <c r="N150" i="36"/>
  <c r="R32" i="36"/>
  <c r="U65" i="31"/>
  <c r="M72" i="31"/>
  <c r="H65" i="31"/>
  <c r="M70" i="31"/>
  <c r="M74" i="31"/>
  <c r="M73" i="31"/>
  <c r="Q70" i="30"/>
  <c r="I74" i="27"/>
  <c r="P74" i="27"/>
  <c r="I73" i="27"/>
  <c r="P73" i="27"/>
  <c r="Q70" i="27"/>
  <c r="Q70" i="4"/>
  <c r="N135" i="36"/>
  <c r="H65" i="27"/>
  <c r="M70" i="27"/>
  <c r="R24" i="36"/>
  <c r="U65" i="27"/>
  <c r="M72" i="27"/>
  <c r="M74" i="27"/>
  <c r="M73" i="27"/>
  <c r="U40" i="4"/>
  <c r="U26" i="4"/>
  <c r="U21" i="4"/>
  <c r="U63" i="4"/>
  <c r="U64" i="4"/>
  <c r="L72" i="4"/>
  <c r="H64" i="4"/>
  <c r="L70" i="4"/>
  <c r="L74" i="4"/>
  <c r="L73" i="4"/>
  <c r="Q74" i="31"/>
  <c r="M127" i="36"/>
  <c r="N127" i="36"/>
  <c r="O70" i="28"/>
  <c r="M78" i="36"/>
  <c r="N78" i="36"/>
  <c r="O74" i="31"/>
  <c r="O74" i="14"/>
  <c r="O70" i="14"/>
  <c r="K28" i="36"/>
  <c r="K20" i="36"/>
  <c r="O74" i="27"/>
  <c r="O70" i="27"/>
  <c r="H74" i="30"/>
  <c r="H73" i="30"/>
  <c r="O73" i="30"/>
  <c r="O70" i="4"/>
  <c r="K10" i="36"/>
  <c r="O74" i="4"/>
  <c r="AA100" i="36"/>
  <c r="Z100" i="36"/>
  <c r="K16" i="36"/>
  <c r="K34" i="36"/>
  <c r="K72" i="31"/>
  <c r="H63" i="31"/>
  <c r="K70" i="31"/>
  <c r="K74" i="31"/>
  <c r="K73" i="31"/>
  <c r="M95" i="36"/>
  <c r="N95" i="36"/>
  <c r="N98" i="36"/>
  <c r="M98" i="36"/>
  <c r="O74" i="30"/>
  <c r="K32" i="36"/>
  <c r="H63" i="14"/>
  <c r="K70" i="14"/>
  <c r="K74" i="14"/>
  <c r="K73" i="14"/>
  <c r="H64" i="14"/>
  <c r="L70" i="14"/>
  <c r="L74" i="14"/>
  <c r="L73" i="14"/>
  <c r="S10" i="36"/>
  <c r="H23" i="36"/>
  <c r="Q72" i="27"/>
  <c r="P70" i="14"/>
  <c r="H63" i="4"/>
  <c r="K70" i="4"/>
  <c r="P32" i="36"/>
  <c r="T32" i="36"/>
  <c r="H63" i="27"/>
  <c r="K70" i="27"/>
  <c r="P24" i="36"/>
  <c r="T24" i="36"/>
  <c r="Q70" i="28"/>
  <c r="F75" i="28"/>
  <c r="F73" i="28"/>
  <c r="H27" i="36"/>
  <c r="H63" i="30"/>
  <c r="K70" i="30"/>
  <c r="P16" i="36"/>
  <c r="T16" i="36"/>
  <c r="Q32" i="36"/>
  <c r="R34" i="36"/>
  <c r="H64" i="30"/>
  <c r="L70" i="30"/>
  <c r="Q16" i="36"/>
  <c r="L74" i="30"/>
  <c r="L73" i="30"/>
  <c r="F75" i="31"/>
  <c r="F73" i="31"/>
  <c r="R28" i="36"/>
  <c r="P70" i="27"/>
  <c r="S24" i="36"/>
  <c r="N140" i="36"/>
  <c r="P70" i="4"/>
  <c r="P72" i="4"/>
  <c r="P70" i="30"/>
  <c r="R10" i="36"/>
  <c r="M147" i="36"/>
  <c r="N147" i="36"/>
  <c r="K72" i="28"/>
  <c r="H63" i="28"/>
  <c r="K70" i="28"/>
  <c r="K74" i="28"/>
  <c r="K73" i="28"/>
  <c r="H35" i="36"/>
  <c r="K72" i="4"/>
  <c r="K74" i="4"/>
  <c r="K73" i="4"/>
  <c r="R20" i="36"/>
  <c r="N142" i="36"/>
  <c r="M142" i="36"/>
  <c r="H64" i="27"/>
  <c r="L70" i="27"/>
  <c r="Q24" i="36"/>
  <c r="U63" i="27"/>
  <c r="U64" i="27"/>
  <c r="L72" i="27"/>
  <c r="L74" i="27"/>
  <c r="L73" i="27"/>
  <c r="Q72" i="28"/>
  <c r="E74" i="31"/>
  <c r="E75" i="31"/>
  <c r="E73" i="31"/>
  <c r="K24" i="36"/>
  <c r="O72" i="4"/>
  <c r="P10" i="36"/>
  <c r="T10" i="36"/>
  <c r="Q10" i="36"/>
  <c r="P70" i="31"/>
  <c r="O72" i="31"/>
  <c r="K22" i="36"/>
  <c r="K26" i="36"/>
  <c r="Q8" i="36"/>
  <c r="N100" i="36"/>
  <c r="M100" i="36"/>
  <c r="P28" i="36"/>
  <c r="T28" i="36"/>
  <c r="H31" i="36"/>
  <c r="P20" i="36"/>
  <c r="T20" i="36"/>
  <c r="S8" i="36"/>
  <c r="S28" i="36"/>
  <c r="F75" i="14"/>
  <c r="F73" i="14"/>
  <c r="H19" i="36"/>
  <c r="R22" i="36"/>
  <c r="Q20" i="36"/>
  <c r="P72" i="27"/>
  <c r="F75" i="30"/>
  <c r="F73" i="30"/>
  <c r="S16" i="36"/>
  <c r="O70" i="30"/>
  <c r="P72" i="28"/>
  <c r="E74" i="28"/>
  <c r="E75" i="28"/>
  <c r="E73" i="28"/>
  <c r="S32" i="36"/>
  <c r="F75" i="4"/>
  <c r="F73" i="4"/>
  <c r="F75" i="27"/>
  <c r="F73" i="27"/>
  <c r="K72" i="27"/>
  <c r="K74" i="27"/>
  <c r="K73" i="27"/>
  <c r="P72" i="31"/>
  <c r="Q28" i="36"/>
  <c r="Q70" i="31"/>
  <c r="P70" i="28"/>
  <c r="E74" i="4"/>
  <c r="E75" i="4"/>
  <c r="E73" i="4"/>
  <c r="R26" i="36"/>
  <c r="K74" i="30"/>
  <c r="K73" i="30"/>
  <c r="P34" i="36"/>
  <c r="T34" i="36"/>
  <c r="E74" i="14"/>
  <c r="E75" i="14"/>
  <c r="O70" i="31"/>
  <c r="O72" i="27"/>
  <c r="P8" i="36"/>
  <c r="T8" i="36"/>
  <c r="S65" i="31"/>
  <c r="O72" i="28"/>
  <c r="S20" i="36"/>
  <c r="Q26" i="36"/>
  <c r="P26" i="36"/>
  <c r="T26" i="36"/>
  <c r="E74" i="27"/>
  <c r="E75" i="27"/>
  <c r="E73" i="27"/>
  <c r="F65" i="4"/>
  <c r="R8" i="36"/>
  <c r="S34" i="36"/>
  <c r="S65" i="4"/>
  <c r="S26" i="36"/>
  <c r="G75" i="28"/>
  <c r="G73" i="28"/>
  <c r="G75" i="4"/>
  <c r="G73" i="4"/>
  <c r="E74" i="30"/>
  <c r="E75" i="30"/>
  <c r="E73" i="30"/>
  <c r="F65" i="31"/>
  <c r="G75" i="31"/>
  <c r="G73" i="31"/>
  <c r="F65" i="30"/>
  <c r="F65" i="27"/>
  <c r="P22" i="36"/>
  <c r="T22" i="36"/>
  <c r="Q22" i="36"/>
  <c r="F65" i="14"/>
  <c r="E73" i="14"/>
  <c r="G75" i="14"/>
  <c r="G73" i="14"/>
  <c r="Q34" i="36"/>
  <c r="G75" i="30"/>
  <c r="G73" i="30"/>
  <c r="S65" i="28"/>
  <c r="S22" i="36"/>
  <c r="F65" i="28"/>
  <c r="S65" i="27"/>
  <c r="G75" i="27"/>
  <c r="G73" i="27"/>
  <c r="AA196" i="36"/>
  <c r="N196" i="36"/>
  <c r="M196" i="36"/>
  <c r="AA219" i="36"/>
  <c r="G79" i="28"/>
  <c r="H79" i="28"/>
  <c r="D83" i="30"/>
  <c r="D83" i="28"/>
  <c r="D83" i="14"/>
  <c r="G42" i="7"/>
  <c r="G55" i="7"/>
  <c r="D36" i="20"/>
  <c r="H42" i="7"/>
  <c r="H55" i="7"/>
  <c r="E36" i="20"/>
  <c r="I42" i="7"/>
  <c r="I55" i="7"/>
  <c r="F36" i="20"/>
  <c r="G36" i="20"/>
  <c r="D83" i="20"/>
  <c r="N218" i="36"/>
  <c r="AA200" i="36"/>
  <c r="D73" i="31"/>
  <c r="G81" i="31"/>
  <c r="H81" i="31"/>
  <c r="M219" i="36"/>
  <c r="N219" i="36"/>
  <c r="M217" i="36"/>
  <c r="N217" i="36"/>
  <c r="Y214" i="36"/>
  <c r="AA214" i="36"/>
  <c r="Y217" i="36"/>
  <c r="AA217" i="36"/>
  <c r="H11" i="28"/>
  <c r="I79" i="28"/>
  <c r="L79" i="28"/>
  <c r="H21" i="31"/>
  <c r="I81" i="31"/>
  <c r="U21" i="31"/>
  <c r="K81" i="31"/>
  <c r="L81" i="31"/>
  <c r="H11" i="14"/>
  <c r="I79" i="14"/>
  <c r="L79" i="14"/>
  <c r="N200" i="36"/>
  <c r="G81" i="27"/>
  <c r="H81" i="27"/>
  <c r="H21" i="27"/>
  <c r="I81" i="27"/>
  <c r="U21" i="27"/>
  <c r="K81" i="27"/>
  <c r="L81" i="27"/>
  <c r="M214" i="36"/>
  <c r="N214" i="36"/>
  <c r="G79" i="20"/>
  <c r="H79" i="20"/>
  <c r="H11" i="20"/>
  <c r="I79" i="20"/>
  <c r="L79" i="20"/>
  <c r="G79" i="30"/>
  <c r="H79" i="30"/>
  <c r="G79" i="14"/>
  <c r="H79" i="14"/>
  <c r="G81" i="4"/>
  <c r="H81" i="4"/>
  <c r="H21" i="4"/>
  <c r="I81" i="4"/>
  <c r="K81" i="4"/>
  <c r="L81" i="4"/>
  <c r="M200" i="36"/>
  <c r="H61" i="36"/>
  <c r="H62" i="36"/>
  <c r="D75" i="28"/>
  <c r="D73" i="28"/>
  <c r="T16" i="31"/>
  <c r="U16" i="31"/>
  <c r="G82" i="31"/>
  <c r="H82" i="31"/>
  <c r="G85" i="31"/>
  <c r="H85" i="31"/>
  <c r="H26" i="31"/>
  <c r="I82" i="31"/>
  <c r="U26" i="31"/>
  <c r="K82" i="31"/>
  <c r="L82" i="31"/>
  <c r="I58" i="10"/>
  <c r="I50" i="8"/>
  <c r="H11" i="30"/>
  <c r="I79" i="30"/>
  <c r="L79" i="30"/>
  <c r="H50" i="8"/>
  <c r="H60" i="36"/>
  <c r="H58" i="10"/>
  <c r="H290" i="22"/>
  <c r="H291" i="22"/>
  <c r="H292" i="22"/>
  <c r="H293" i="22"/>
  <c r="H294" i="22"/>
  <c r="H295" i="22"/>
  <c r="H296" i="22"/>
  <c r="H297" i="22"/>
  <c r="I290" i="22"/>
  <c r="I291" i="22"/>
  <c r="I292" i="22"/>
  <c r="I293" i="22"/>
  <c r="I294" i="22"/>
  <c r="I295" i="22"/>
  <c r="I296" i="22"/>
  <c r="I297" i="22"/>
  <c r="D75" i="14"/>
  <c r="D73" i="14"/>
  <c r="D73" i="30"/>
  <c r="H40" i="31"/>
  <c r="I85" i="31"/>
  <c r="U40" i="31"/>
  <c r="K85" i="31"/>
  <c r="L85" i="31"/>
  <c r="G159" i="13"/>
  <c r="I152" i="13"/>
  <c r="I153" i="13"/>
  <c r="I154" i="13"/>
  <c r="I159" i="13"/>
  <c r="H152" i="13"/>
  <c r="H153" i="13"/>
  <c r="H154" i="13"/>
  <c r="H159" i="13"/>
  <c r="G85" i="27"/>
  <c r="H85" i="27"/>
  <c r="H40" i="27"/>
  <c r="I85" i="27"/>
  <c r="U40" i="27"/>
  <c r="K85" i="27"/>
  <c r="L85" i="27"/>
  <c r="H26" i="27"/>
  <c r="I82" i="27"/>
  <c r="U26" i="27"/>
  <c r="K82" i="27"/>
  <c r="L82" i="27"/>
  <c r="H37" i="14"/>
  <c r="I84" i="14"/>
  <c r="L84" i="14"/>
  <c r="G84" i="14"/>
  <c r="H84" i="14"/>
  <c r="H45" i="7"/>
  <c r="H37" i="8"/>
  <c r="I45" i="7"/>
  <c r="I37" i="8"/>
  <c r="I45" i="10"/>
  <c r="H45" i="10"/>
  <c r="G80" i="14"/>
  <c r="H80" i="14"/>
  <c r="H15" i="14"/>
  <c r="I80" i="14"/>
  <c r="L80" i="14"/>
  <c r="G83" i="30"/>
  <c r="H83" i="30"/>
  <c r="G81" i="28"/>
  <c r="H81" i="28"/>
  <c r="H21" i="28"/>
  <c r="I81" i="28"/>
  <c r="U21" i="28"/>
  <c r="K81" i="28"/>
  <c r="L81" i="28"/>
  <c r="G84" i="28"/>
  <c r="H84" i="28"/>
  <c r="G80" i="30"/>
  <c r="H80" i="30"/>
  <c r="G80" i="28"/>
  <c r="H80" i="28"/>
  <c r="H15" i="20"/>
  <c r="I80" i="20"/>
  <c r="L80" i="20"/>
  <c r="H37" i="20"/>
  <c r="I84" i="20"/>
  <c r="L84" i="20"/>
  <c r="G50" i="8"/>
  <c r="G58" i="10"/>
  <c r="G290" i="22"/>
  <c r="G291" i="22"/>
  <c r="G292" i="22"/>
  <c r="G293" i="22"/>
  <c r="G294" i="22"/>
  <c r="G295" i="22"/>
  <c r="G296" i="22"/>
  <c r="G297" i="22"/>
  <c r="G84" i="30"/>
  <c r="H84" i="30"/>
  <c r="D75" i="30"/>
  <c r="G83" i="28"/>
  <c r="H83" i="28"/>
  <c r="H36" i="30"/>
  <c r="I83" i="30"/>
  <c r="L83" i="30"/>
  <c r="T16" i="27"/>
  <c r="U16" i="27"/>
  <c r="T17" i="31"/>
  <c r="U17" i="31"/>
  <c r="G16" i="27"/>
  <c r="H16" i="27"/>
  <c r="G82" i="27"/>
  <c r="H82" i="27"/>
  <c r="J320" i="22"/>
  <c r="T18" i="31"/>
  <c r="U18" i="31"/>
  <c r="G16" i="4"/>
  <c r="H16" i="4"/>
  <c r="G82" i="4"/>
  <c r="H82" i="4"/>
  <c r="T16" i="4"/>
  <c r="U16" i="4"/>
  <c r="T19" i="31"/>
  <c r="U19" i="31"/>
  <c r="G85" i="4"/>
  <c r="H85" i="4"/>
  <c r="I43" i="22"/>
  <c r="H43" i="22"/>
  <c r="G83" i="14"/>
  <c r="H83" i="14"/>
  <c r="H36" i="14"/>
  <c r="I83" i="14"/>
  <c r="L83" i="14"/>
  <c r="H37" i="28"/>
  <c r="I84" i="28"/>
  <c r="L84" i="28"/>
  <c r="H15" i="30"/>
  <c r="I80" i="30"/>
  <c r="L80" i="30"/>
  <c r="H26" i="4"/>
  <c r="I82" i="4"/>
  <c r="K82" i="4"/>
  <c r="L82" i="4"/>
  <c r="G80" i="20"/>
  <c r="H80" i="20"/>
  <c r="H15" i="28"/>
  <c r="I80" i="28"/>
  <c r="L80" i="28"/>
  <c r="G84" i="20"/>
  <c r="H84" i="20"/>
  <c r="H36" i="20"/>
  <c r="I83" i="20"/>
  <c r="L83" i="20"/>
  <c r="H40" i="4"/>
  <c r="I85" i="4"/>
  <c r="K85" i="4"/>
  <c r="L85" i="4"/>
  <c r="G17" i="27"/>
  <c r="H17" i="27"/>
  <c r="I141" i="9"/>
  <c r="O21" i="27"/>
  <c r="O63" i="27"/>
  <c r="T17" i="27"/>
  <c r="U17" i="27"/>
  <c r="H141" i="9"/>
  <c r="H37" i="30"/>
  <c r="I84" i="30"/>
  <c r="L84" i="30"/>
  <c r="P21" i="27"/>
  <c r="P63" i="27"/>
  <c r="G45" i="10"/>
  <c r="G45" i="7"/>
  <c r="G37" i="8"/>
  <c r="H36" i="28"/>
  <c r="I83" i="28"/>
  <c r="L83" i="28"/>
  <c r="J322" i="22"/>
  <c r="T18" i="27"/>
  <c r="U18" i="27"/>
  <c r="G315" i="22"/>
  <c r="G141" i="9"/>
  <c r="J323" i="22"/>
  <c r="J324" i="22"/>
  <c r="G19" i="27"/>
  <c r="H19" i="27"/>
  <c r="G18" i="27"/>
  <c r="H18" i="27"/>
  <c r="N21" i="27"/>
  <c r="N63" i="27"/>
  <c r="J321" i="22"/>
  <c r="T19" i="27"/>
  <c r="U19" i="27"/>
  <c r="P63" i="4"/>
  <c r="O63" i="4"/>
  <c r="I97" i="3"/>
  <c r="G97" i="3"/>
  <c r="H97" i="3"/>
  <c r="G85" i="28"/>
  <c r="H85" i="28"/>
  <c r="H40" i="28"/>
  <c r="I85" i="28"/>
  <c r="U40" i="28"/>
  <c r="K85" i="28"/>
  <c r="L85" i="28"/>
  <c r="N63" i="4"/>
  <c r="M27" i="22"/>
  <c r="M22" i="22"/>
  <c r="J342" i="22"/>
  <c r="J341" i="22"/>
  <c r="J339" i="22"/>
  <c r="G83" i="20"/>
  <c r="H83" i="20"/>
  <c r="G43" i="22"/>
  <c r="M17" i="22"/>
  <c r="G82" i="28"/>
  <c r="H82" i="28"/>
  <c r="J325" i="22"/>
  <c r="J343" i="22"/>
  <c r="J338" i="22"/>
  <c r="G306" i="22"/>
  <c r="J340" i="22"/>
  <c r="T17" i="4"/>
  <c r="U17" i="4"/>
  <c r="T16" i="28"/>
  <c r="U16" i="28"/>
  <c r="J347" i="22"/>
  <c r="G17" i="4"/>
  <c r="H17" i="4"/>
  <c r="H26" i="28"/>
  <c r="I82" i="28"/>
  <c r="U26" i="28"/>
  <c r="K82" i="28"/>
  <c r="L82" i="28"/>
  <c r="G18" i="28"/>
  <c r="H18" i="28"/>
  <c r="K315" i="22"/>
  <c r="K306" i="22"/>
  <c r="T18" i="28"/>
  <c r="U18" i="28"/>
  <c r="J352" i="22"/>
  <c r="G16" i="28"/>
  <c r="H16" i="28"/>
  <c r="G17" i="28"/>
  <c r="H17" i="28"/>
  <c r="M315" i="22"/>
  <c r="N21" i="28"/>
  <c r="N63" i="28"/>
  <c r="J348" i="22"/>
  <c r="O21" i="28"/>
  <c r="O63" i="28"/>
  <c r="T17" i="28"/>
  <c r="U17" i="28"/>
  <c r="J351" i="22"/>
  <c r="P21" i="28"/>
  <c r="P63" i="28"/>
  <c r="T19" i="4"/>
  <c r="U19" i="4"/>
  <c r="G19" i="4"/>
  <c r="H19" i="4"/>
  <c r="G18" i="4"/>
  <c r="H18" i="4"/>
  <c r="T18" i="4"/>
  <c r="U18" i="4"/>
  <c r="T19" i="28"/>
  <c r="U19" i="28"/>
  <c r="N331" i="22"/>
  <c r="G19" i="28"/>
  <c r="H19" i="28"/>
  <c r="N332" i="22"/>
  <c r="N330" i="22"/>
  <c r="J350" i="22"/>
  <c r="N329" i="22"/>
  <c r="N334" i="22"/>
  <c r="J349" i="22"/>
  <c r="M306" i="22"/>
  <c r="N333" i="22"/>
  <c r="J315" i="22"/>
  <c r="J306" i="22"/>
  <c r="H235" i="22"/>
  <c r="D73" i="27"/>
  <c r="D73" i="4"/>
  <c r="D75" i="31"/>
  <c r="D75" i="27"/>
  <c r="D75" i="4"/>
  <c r="K8" i="36"/>
  <c r="M135" i="36"/>
  <c r="M140" i="36"/>
  <c r="M145" i="36"/>
  <c r="M150" i="36"/>
  <c r="M155" i="36"/>
  <c r="Z217" i="36"/>
  <c r="Z214" i="36"/>
  <c r="Z219" i="36"/>
  <c r="Z196" i="36"/>
  <c r="Z200" i="36"/>
  <c r="I27" i="36"/>
  <c r="K295" i="22"/>
  <c r="K290" i="22"/>
  <c r="K291" i="22"/>
  <c r="K292" i="22"/>
  <c r="K293" i="22"/>
  <c r="K294" i="22"/>
  <c r="K296" i="22"/>
  <c r="N305" i="22"/>
  <c r="N314" i="22"/>
  <c r="L352" i="22"/>
  <c r="H57" i="7"/>
  <c r="E40" i="20"/>
  <c r="N304" i="22"/>
  <c r="N313" i="22"/>
  <c r="L351" i="22"/>
  <c r="H54" i="7"/>
  <c r="E26" i="20"/>
  <c r="N300" i="22"/>
  <c r="N309" i="22"/>
  <c r="L347" i="22"/>
  <c r="H50" i="7"/>
  <c r="E16" i="20"/>
  <c r="N301" i="22"/>
  <c r="N310" i="22"/>
  <c r="L348" i="22"/>
  <c r="H51" i="7"/>
  <c r="E17" i="20"/>
  <c r="N302" i="22"/>
  <c r="N311" i="22"/>
  <c r="L349" i="22"/>
  <c r="H52" i="7"/>
  <c r="E18" i="20"/>
  <c r="N303" i="22"/>
  <c r="N312" i="22"/>
  <c r="L350" i="22"/>
  <c r="H53" i="7"/>
  <c r="E19" i="20"/>
  <c r="E21" i="20"/>
  <c r="H111" i="7"/>
  <c r="J22" i="20"/>
  <c r="H112" i="7"/>
  <c r="J23" i="20"/>
  <c r="H113" i="7"/>
  <c r="J24" i="20"/>
  <c r="H114" i="7"/>
  <c r="J25" i="20"/>
  <c r="J26" i="20"/>
  <c r="O40" i="20"/>
  <c r="R40" i="20"/>
  <c r="O26" i="20"/>
  <c r="R26" i="20"/>
  <c r="O16" i="20"/>
  <c r="R16" i="20"/>
  <c r="O17" i="20"/>
  <c r="R17" i="20"/>
  <c r="O18" i="20"/>
  <c r="R18" i="20"/>
  <c r="O19" i="20"/>
  <c r="R19" i="20"/>
  <c r="R21" i="20"/>
  <c r="M352" i="22"/>
  <c r="I57" i="7"/>
  <c r="F40" i="20"/>
  <c r="M351" i="22"/>
  <c r="I54" i="7"/>
  <c r="F26" i="20"/>
  <c r="M347" i="22"/>
  <c r="I50" i="7"/>
  <c r="F16" i="20"/>
  <c r="M348" i="22"/>
  <c r="I51" i="7"/>
  <c r="F17" i="20"/>
  <c r="M349" i="22"/>
  <c r="I52" i="7"/>
  <c r="F18" i="20"/>
  <c r="M350" i="22"/>
  <c r="I53" i="7"/>
  <c r="F19" i="20"/>
  <c r="F21" i="20"/>
  <c r="P40" i="20"/>
  <c r="S40" i="20"/>
  <c r="P26" i="20"/>
  <c r="S26" i="20"/>
  <c r="P16" i="20"/>
  <c r="S16" i="20"/>
  <c r="P17" i="20"/>
  <c r="S17" i="20"/>
  <c r="P18" i="20"/>
  <c r="S18" i="20"/>
  <c r="P19" i="20"/>
  <c r="S19" i="20"/>
  <c r="S21" i="20"/>
  <c r="K352" i="22"/>
  <c r="G57" i="7"/>
  <c r="D40" i="20"/>
  <c r="K351" i="22"/>
  <c r="G54" i="7"/>
  <c r="D26" i="20"/>
  <c r="K347" i="22"/>
  <c r="G50" i="7"/>
  <c r="D16" i="20"/>
  <c r="K348" i="22"/>
  <c r="G51" i="7"/>
  <c r="D17" i="20"/>
  <c r="K349" i="22"/>
  <c r="G52" i="7"/>
  <c r="D18" i="20"/>
  <c r="K350" i="22"/>
  <c r="G53" i="7"/>
  <c r="D19" i="20"/>
  <c r="D21" i="20"/>
  <c r="D63" i="20"/>
  <c r="D70" i="20"/>
  <c r="G111" i="7"/>
  <c r="I22" i="20"/>
  <c r="G112" i="7"/>
  <c r="I23" i="20"/>
  <c r="G113" i="7"/>
  <c r="I24" i="20"/>
  <c r="G114" i="7"/>
  <c r="I25" i="20"/>
  <c r="I26" i="20"/>
  <c r="I63" i="20"/>
  <c r="D71" i="20"/>
  <c r="N40" i="20"/>
  <c r="Q40" i="20"/>
  <c r="N26" i="20"/>
  <c r="Q26" i="20"/>
  <c r="N16" i="20"/>
  <c r="Q16" i="20"/>
  <c r="N17" i="20"/>
  <c r="Q17" i="20"/>
  <c r="N18" i="20"/>
  <c r="Q18" i="20"/>
  <c r="N19" i="20"/>
  <c r="Q19" i="20"/>
  <c r="Q21" i="20"/>
  <c r="Q63" i="20"/>
  <c r="D72" i="20"/>
  <c r="D74" i="20"/>
  <c r="L22" i="20"/>
  <c r="L23" i="20"/>
  <c r="L24" i="20"/>
  <c r="L25" i="20"/>
  <c r="L26" i="20"/>
  <c r="L63" i="20"/>
  <c r="L64" i="20"/>
  <c r="I71" i="20"/>
  <c r="I41" i="36"/>
  <c r="Q41" i="36"/>
  <c r="G21" i="20"/>
  <c r="G26" i="20"/>
  <c r="G40" i="20"/>
  <c r="N21" i="20"/>
  <c r="N63" i="20"/>
  <c r="O21" i="20"/>
  <c r="O63" i="20"/>
  <c r="P21" i="20"/>
  <c r="P63" i="20"/>
  <c r="G63" i="20"/>
  <c r="H70" i="20"/>
  <c r="H71" i="20"/>
  <c r="T40" i="20"/>
  <c r="T26" i="20"/>
  <c r="T21" i="20"/>
  <c r="T63" i="20"/>
  <c r="H72" i="20"/>
  <c r="L121" i="36"/>
  <c r="N121" i="36"/>
  <c r="M58" i="36"/>
  <c r="N58" i="36"/>
  <c r="F81" i="20"/>
  <c r="M59" i="36"/>
  <c r="N59" i="36"/>
  <c r="D81" i="20"/>
  <c r="M57" i="36"/>
  <c r="N57" i="36"/>
  <c r="N60" i="36"/>
  <c r="Y201" i="36"/>
  <c r="Y202" i="36"/>
  <c r="Z202" i="36"/>
  <c r="Z201" i="36"/>
  <c r="Y197" i="36"/>
  <c r="Y198" i="36"/>
  <c r="Z198" i="36"/>
  <c r="Z197" i="36"/>
  <c r="Y220" i="36"/>
  <c r="Y221" i="36"/>
  <c r="Z221" i="36"/>
  <c r="Z220" i="36"/>
  <c r="D85" i="20"/>
  <c r="Y223" i="36"/>
  <c r="Y224" i="36"/>
  <c r="F85" i="20"/>
  <c r="Y225" i="36"/>
  <c r="Y226" i="36"/>
  <c r="Z226" i="36"/>
  <c r="Z225" i="36"/>
  <c r="Z224" i="36"/>
  <c r="Z223" i="36"/>
  <c r="D82" i="20"/>
  <c r="Y209" i="36"/>
  <c r="E82" i="20"/>
  <c r="Y210" i="36"/>
  <c r="F82" i="20"/>
  <c r="Y211" i="36"/>
  <c r="Y212" i="36"/>
  <c r="Z212" i="36"/>
  <c r="Z211" i="36"/>
  <c r="Z210" i="36"/>
  <c r="Z209" i="36"/>
  <c r="Y204" i="36"/>
  <c r="Y205" i="36"/>
  <c r="Y206" i="36"/>
  <c r="Y207" i="36"/>
  <c r="Z207" i="36"/>
  <c r="Z206" i="36"/>
  <c r="Z205" i="36"/>
  <c r="Z204" i="36"/>
  <c r="I204" i="11"/>
  <c r="J204" i="11"/>
  <c r="I203" i="11"/>
  <c r="J203" i="11"/>
  <c r="I202" i="11"/>
  <c r="J202" i="11"/>
  <c r="I200" i="11"/>
  <c r="J200" i="11"/>
  <c r="I199" i="11"/>
  <c r="J199" i="11"/>
  <c r="I131" i="36"/>
  <c r="J131" i="36"/>
  <c r="J133" i="36"/>
  <c r="J134" i="36"/>
  <c r="I84" i="36"/>
  <c r="J84" i="36"/>
  <c r="J86" i="36"/>
  <c r="J87" i="36"/>
  <c r="I80" i="37"/>
  <c r="I115" i="37"/>
  <c r="E184" i="37"/>
  <c r="F219" i="37"/>
  <c r="N149" i="37"/>
  <c r="K84" i="36"/>
  <c r="K119" i="36"/>
  <c r="K86" i="36"/>
  <c r="K121" i="36"/>
  <c r="K122" i="36"/>
  <c r="T64" i="20"/>
  <c r="I72" i="20"/>
  <c r="G64" i="20"/>
  <c r="I70" i="20"/>
  <c r="N169" i="36"/>
  <c r="K131" i="36"/>
  <c r="K133" i="36"/>
  <c r="K168" i="36"/>
  <c r="K166" i="36"/>
  <c r="K169" i="36"/>
  <c r="K134" i="36"/>
  <c r="X119" i="36"/>
  <c r="X121" i="36"/>
  <c r="X86" i="36"/>
  <c r="X166" i="36"/>
  <c r="X168" i="36"/>
  <c r="J119" i="36"/>
  <c r="J121" i="36"/>
  <c r="J122" i="36"/>
  <c r="Y131" i="36"/>
  <c r="Y133" i="36"/>
  <c r="Z133" i="36"/>
  <c r="AA133" i="36"/>
  <c r="L165" i="36"/>
  <c r="Y165" i="36"/>
  <c r="Y166" i="36"/>
  <c r="Y167" i="36"/>
  <c r="Y168" i="36"/>
  <c r="AA168" i="36"/>
  <c r="AA166" i="36"/>
  <c r="M168" i="36"/>
  <c r="L119" i="36"/>
  <c r="L120" i="36"/>
  <c r="L122" i="36"/>
  <c r="M122" i="36"/>
  <c r="N122" i="36"/>
  <c r="N187" i="36"/>
  <c r="Y178" i="36"/>
  <c r="Y179" i="36"/>
  <c r="Y180" i="36"/>
  <c r="Y181" i="36"/>
  <c r="AA181" i="36"/>
  <c r="AA179" i="36"/>
  <c r="N181" i="36"/>
  <c r="M181" i="36"/>
  <c r="N182" i="36"/>
  <c r="J168" i="36"/>
  <c r="J166" i="36"/>
  <c r="J169" i="36"/>
  <c r="X131" i="36"/>
  <c r="X133" i="36"/>
  <c r="K87" i="36"/>
  <c r="X84" i="36"/>
  <c r="I166" i="36"/>
  <c r="V166" i="36"/>
  <c r="V168" i="36"/>
  <c r="W166" i="36"/>
  <c r="W168" i="36"/>
  <c r="W121" i="36"/>
  <c r="I133" i="36"/>
  <c r="I168" i="36"/>
  <c r="I169" i="36"/>
  <c r="Y86" i="36"/>
  <c r="Z86" i="36"/>
  <c r="AA86" i="36"/>
  <c r="T65" i="20"/>
  <c r="J72" i="20"/>
  <c r="J38" i="36"/>
  <c r="J42" i="36"/>
  <c r="J48" i="36"/>
  <c r="G65" i="20"/>
  <c r="J70" i="20"/>
  <c r="J36" i="36"/>
  <c r="J40" i="36"/>
  <c r="J46" i="36"/>
  <c r="L65" i="32"/>
  <c r="J71" i="32"/>
  <c r="J13" i="36"/>
  <c r="L65" i="20"/>
  <c r="J71" i="20"/>
  <c r="J37" i="36"/>
  <c r="J41" i="36"/>
  <c r="J47" i="36"/>
  <c r="J50" i="36"/>
  <c r="J49" i="36"/>
  <c r="R41" i="36"/>
  <c r="R42" i="36"/>
  <c r="R40" i="36"/>
  <c r="R43" i="36"/>
  <c r="J43" i="36"/>
  <c r="J44" i="36"/>
  <c r="AA10" i="36"/>
  <c r="M133" i="36"/>
  <c r="N133" i="36"/>
  <c r="N166" i="36"/>
  <c r="AA131" i="36"/>
  <c r="Z131" i="36"/>
  <c r="M41" i="36"/>
  <c r="M42" i="36"/>
  <c r="M40" i="36"/>
  <c r="M43" i="36"/>
  <c r="O41" i="36"/>
  <c r="O42" i="36"/>
  <c r="O40" i="36"/>
  <c r="O43" i="36"/>
  <c r="L40" i="36"/>
  <c r="L41" i="36"/>
  <c r="L42" i="36"/>
  <c r="L43" i="36"/>
  <c r="T43" i="36"/>
  <c r="M121" i="36"/>
  <c r="Y121" i="36"/>
  <c r="AA121" i="36"/>
  <c r="Y183" i="36"/>
  <c r="Y184" i="36"/>
  <c r="Y185" i="36"/>
  <c r="Y186" i="36"/>
  <c r="AA186" i="36"/>
  <c r="AA184" i="36"/>
  <c r="N179" i="36"/>
  <c r="M179" i="36"/>
  <c r="M186" i="36"/>
  <c r="N186" i="36"/>
  <c r="I119" i="36"/>
  <c r="I86" i="36"/>
  <c r="I121" i="36"/>
  <c r="I122" i="36"/>
  <c r="W131" i="36"/>
  <c r="W133" i="36"/>
  <c r="W84" i="36"/>
  <c r="W86" i="36"/>
  <c r="I134" i="36"/>
  <c r="N131" i="36"/>
  <c r="M131" i="36"/>
  <c r="O16" i="37"/>
  <c r="T41" i="36"/>
  <c r="J15" i="36"/>
  <c r="M86" i="36"/>
  <c r="N86" i="36"/>
  <c r="Y119" i="36"/>
  <c r="AA119" i="36"/>
  <c r="N119" i="36"/>
  <c r="M119" i="36"/>
  <c r="J74" i="32"/>
  <c r="J73" i="32"/>
  <c r="Q73" i="32"/>
  <c r="I42" i="36"/>
  <c r="I48" i="36"/>
  <c r="I40" i="36"/>
  <c r="I46" i="36"/>
  <c r="I47" i="36"/>
  <c r="I50" i="36"/>
  <c r="I49" i="36"/>
  <c r="I43" i="36"/>
  <c r="I44" i="36"/>
  <c r="Y10" i="36"/>
  <c r="Q42" i="36"/>
  <c r="Q40" i="36"/>
  <c r="Q43" i="36"/>
  <c r="Y84" i="36"/>
  <c r="AA84" i="36"/>
  <c r="Z84" i="36"/>
  <c r="E16" i="37"/>
  <c r="H43" i="36"/>
  <c r="G16" i="37"/>
  <c r="D16" i="37"/>
  <c r="H16" i="37"/>
  <c r="P16" i="37"/>
  <c r="E43" i="36"/>
  <c r="G43" i="36"/>
  <c r="D43" i="36"/>
  <c r="S43" i="36"/>
  <c r="E50" i="36"/>
  <c r="E49" i="36"/>
  <c r="M184" i="36"/>
  <c r="N184" i="36"/>
  <c r="V121" i="36"/>
  <c r="I87" i="36"/>
  <c r="V84" i="36"/>
  <c r="W119" i="36"/>
  <c r="V131" i="36"/>
  <c r="V133" i="36"/>
  <c r="N203" i="36"/>
  <c r="N213" i="36"/>
  <c r="N199" i="36"/>
  <c r="N227" i="36"/>
  <c r="U58" i="36"/>
  <c r="H49" i="36"/>
  <c r="H44" i="36"/>
  <c r="W10" i="36"/>
  <c r="S41" i="36"/>
  <c r="AA226" i="36"/>
  <c r="AA224" i="36"/>
  <c r="N84" i="36"/>
  <c r="M84" i="36"/>
  <c r="AA198" i="36"/>
  <c r="I15" i="36"/>
  <c r="I74" i="32"/>
  <c r="I73" i="32"/>
  <c r="P73" i="32"/>
  <c r="N226" i="36"/>
  <c r="M226" i="36"/>
  <c r="M65" i="32"/>
  <c r="M71" i="32"/>
  <c r="M74" i="32"/>
  <c r="M73" i="32"/>
  <c r="R13" i="36"/>
  <c r="Q71" i="32"/>
  <c r="Q74" i="32"/>
  <c r="N198" i="36"/>
  <c r="M198" i="36"/>
  <c r="F50" i="36"/>
  <c r="F49" i="36"/>
  <c r="E44" i="36"/>
  <c r="V119" i="36"/>
  <c r="V86" i="36"/>
  <c r="AA202" i="36"/>
  <c r="AA201" i="36"/>
  <c r="N202" i="36"/>
  <c r="M202" i="36"/>
  <c r="M207" i="36"/>
  <c r="N207" i="36"/>
  <c r="N61" i="36"/>
  <c r="N62" i="36"/>
  <c r="AA207" i="36"/>
  <c r="AA205" i="36"/>
  <c r="AA197" i="36"/>
  <c r="N208" i="36"/>
  <c r="AA212" i="36"/>
  <c r="AA210" i="36"/>
  <c r="M212" i="36"/>
  <c r="N212" i="36"/>
  <c r="AA221" i="36"/>
  <c r="AA220" i="36"/>
  <c r="N222" i="36"/>
  <c r="N221" i="36"/>
  <c r="M221" i="36"/>
  <c r="K13" i="36"/>
  <c r="L16" i="37"/>
  <c r="S13" i="36"/>
  <c r="H15" i="36"/>
  <c r="F74" i="32"/>
  <c r="F73" i="32"/>
  <c r="N224" i="36"/>
  <c r="M224" i="36"/>
  <c r="M64" i="32"/>
  <c r="L71" i="32"/>
  <c r="L74" i="32"/>
  <c r="L73" i="32"/>
  <c r="Q13" i="36"/>
  <c r="H74" i="32"/>
  <c r="H73" i="32"/>
  <c r="O73" i="32"/>
  <c r="P74" i="32"/>
  <c r="P71" i="32"/>
  <c r="M197" i="36"/>
  <c r="F43" i="36"/>
  <c r="F44" i="36"/>
  <c r="N41" i="36"/>
  <c r="N42" i="36"/>
  <c r="N40" i="36"/>
  <c r="N43" i="36"/>
  <c r="M191" i="36"/>
  <c r="N191" i="36"/>
  <c r="M63" i="32"/>
  <c r="K71" i="32"/>
  <c r="P13" i="36"/>
  <c r="T13" i="36"/>
  <c r="Y188" i="36"/>
  <c r="Y189" i="36"/>
  <c r="Y190" i="36"/>
  <c r="Y191" i="36"/>
  <c r="AA191" i="36"/>
  <c r="AA189" i="36"/>
  <c r="N192" i="36"/>
  <c r="E74" i="32"/>
  <c r="E75" i="32"/>
  <c r="N201" i="36"/>
  <c r="M201" i="36"/>
  <c r="M61" i="36"/>
  <c r="M62" i="36"/>
  <c r="M60" i="36"/>
  <c r="N205" i="36"/>
  <c r="M205" i="36"/>
  <c r="D62" i="36"/>
  <c r="N197" i="36"/>
  <c r="N210" i="36"/>
  <c r="M210" i="36"/>
  <c r="N220" i="36"/>
  <c r="M220" i="36"/>
  <c r="J60" i="36"/>
  <c r="J62" i="36"/>
  <c r="F75" i="32"/>
  <c r="O74" i="32"/>
  <c r="O71" i="32"/>
  <c r="K74" i="32"/>
  <c r="K73" i="32"/>
  <c r="N189" i="36"/>
  <c r="M189" i="36"/>
  <c r="E73" i="32"/>
  <c r="E60" i="36"/>
  <c r="E62" i="36"/>
  <c r="F62" i="36"/>
  <c r="F60" i="36"/>
  <c r="D60" i="36"/>
  <c r="G62" i="36"/>
  <c r="G60" i="36"/>
  <c r="I60" i="36"/>
  <c r="I62" i="36"/>
  <c r="K65" i="32"/>
  <c r="G85" i="32"/>
  <c r="H85" i="32"/>
  <c r="G50" i="36"/>
  <c r="G49" i="36"/>
  <c r="G79" i="32"/>
  <c r="H79" i="32"/>
  <c r="M11" i="32"/>
  <c r="J79" i="32"/>
  <c r="L79" i="32"/>
  <c r="G80" i="32"/>
  <c r="H80" i="32"/>
  <c r="M21" i="32"/>
  <c r="J81" i="32"/>
  <c r="L81" i="32"/>
  <c r="G81" i="32"/>
  <c r="H81" i="32"/>
  <c r="G82" i="32"/>
  <c r="H82" i="32"/>
  <c r="G84" i="32"/>
  <c r="H84" i="32"/>
  <c r="M40" i="32"/>
  <c r="J85" i="32"/>
  <c r="L85" i="32"/>
  <c r="G44" i="36"/>
  <c r="AA180" i="36"/>
  <c r="M15" i="32"/>
  <c r="J80" i="32"/>
  <c r="L80" i="32"/>
  <c r="M26" i="32"/>
  <c r="J82" i="32"/>
  <c r="L82" i="32"/>
  <c r="I197" i="11"/>
  <c r="G74" i="32"/>
  <c r="G73" i="32"/>
  <c r="Y113" i="36"/>
  <c r="Y114" i="36"/>
  <c r="Y115" i="36"/>
  <c r="Y116" i="36"/>
  <c r="Z116" i="36"/>
  <c r="AA116" i="36"/>
  <c r="AA183" i="36"/>
  <c r="AA190" i="36"/>
  <c r="N167" i="36"/>
  <c r="M167" i="36"/>
  <c r="AA167" i="36"/>
  <c r="M180" i="36"/>
  <c r="N180" i="36"/>
  <c r="AA185" i="36"/>
  <c r="N185" i="36"/>
  <c r="M185" i="36"/>
  <c r="G75" i="32"/>
  <c r="AA113" i="36"/>
  <c r="Z113" i="36"/>
  <c r="M120" i="36"/>
  <c r="Y120" i="36"/>
  <c r="AA120" i="36"/>
  <c r="N120" i="36"/>
  <c r="M116" i="36"/>
  <c r="N116" i="36"/>
  <c r="M183" i="36"/>
  <c r="N183" i="36"/>
  <c r="L118" i="36"/>
  <c r="Y118" i="36"/>
  <c r="AA118" i="36"/>
  <c r="N118" i="36"/>
  <c r="N190" i="36"/>
  <c r="M190" i="36"/>
  <c r="AA178" i="36"/>
  <c r="AA165" i="36"/>
  <c r="N163" i="36"/>
  <c r="M163" i="36"/>
  <c r="Y160" i="36"/>
  <c r="Y161" i="36"/>
  <c r="Y162" i="36"/>
  <c r="Y163" i="36"/>
  <c r="Z163" i="36"/>
  <c r="AA163" i="36"/>
  <c r="AA161" i="36"/>
  <c r="Z161" i="36"/>
  <c r="J197" i="11"/>
  <c r="M16" i="37"/>
  <c r="T42" i="36"/>
  <c r="Z114" i="36"/>
  <c r="AA114" i="36"/>
  <c r="AA188" i="36"/>
  <c r="U59" i="36"/>
  <c r="H74" i="20"/>
  <c r="H73" i="20"/>
  <c r="O73" i="20"/>
  <c r="O74" i="20"/>
  <c r="N113" i="36"/>
  <c r="M113" i="36"/>
  <c r="U57" i="36"/>
  <c r="T40" i="36"/>
  <c r="C16" i="37"/>
  <c r="AA115" i="36"/>
  <c r="Z115" i="36"/>
  <c r="M118" i="36"/>
  <c r="N165" i="36"/>
  <c r="N178" i="36"/>
  <c r="M178" i="36"/>
  <c r="AA162" i="36"/>
  <c r="Z162" i="36"/>
  <c r="J74" i="20"/>
  <c r="Q74" i="20"/>
  <c r="J73" i="20"/>
  <c r="Q73" i="20"/>
  <c r="N161" i="36"/>
  <c r="M161" i="36"/>
  <c r="Z160" i="36"/>
  <c r="AA160" i="36"/>
  <c r="J39" i="36"/>
  <c r="S42" i="36"/>
  <c r="M115" i="36"/>
  <c r="N115" i="36"/>
  <c r="M114" i="36"/>
  <c r="N114" i="36"/>
  <c r="O70" i="20"/>
  <c r="K36" i="36"/>
  <c r="M188" i="36"/>
  <c r="N188" i="36"/>
  <c r="I39" i="36"/>
  <c r="H65" i="20"/>
  <c r="M70" i="20"/>
  <c r="R36" i="36"/>
  <c r="M65" i="20"/>
  <c r="M71" i="20"/>
  <c r="U65" i="20"/>
  <c r="M72" i="20"/>
  <c r="M74" i="20"/>
  <c r="M73" i="20"/>
  <c r="N160" i="36"/>
  <c r="Q70" i="20"/>
  <c r="Q71" i="20"/>
  <c r="N162" i="36"/>
  <c r="M162" i="36"/>
  <c r="Q72" i="20"/>
  <c r="H63" i="20"/>
  <c r="K70" i="20"/>
  <c r="P36" i="36"/>
  <c r="T36" i="36"/>
  <c r="I74" i="20"/>
  <c r="P74" i="20"/>
  <c r="I73" i="20"/>
  <c r="P73" i="20"/>
  <c r="S40" i="36"/>
  <c r="E39" i="36"/>
  <c r="K38" i="36"/>
  <c r="O71" i="20"/>
  <c r="K37" i="36"/>
  <c r="P72" i="20"/>
  <c r="R37" i="36"/>
  <c r="P70" i="20"/>
  <c r="M63" i="20"/>
  <c r="K71" i="20"/>
  <c r="U63" i="20"/>
  <c r="K72" i="20"/>
  <c r="K74" i="20"/>
  <c r="K73" i="20"/>
  <c r="P71" i="20"/>
  <c r="R38" i="36"/>
  <c r="P38" i="36"/>
  <c r="T38" i="36"/>
  <c r="H64" i="20"/>
  <c r="L70" i="20"/>
  <c r="M64" i="20"/>
  <c r="L71" i="20"/>
  <c r="U64" i="20"/>
  <c r="L72" i="20"/>
  <c r="L74" i="20"/>
  <c r="L73" i="20"/>
  <c r="Q36" i="36"/>
  <c r="S36" i="36"/>
  <c r="O72" i="20"/>
  <c r="S38" i="36"/>
  <c r="Q37" i="36"/>
  <c r="Q38" i="36"/>
  <c r="F75" i="20"/>
  <c r="F73" i="20"/>
  <c r="H39" i="36"/>
  <c r="E74" i="20"/>
  <c r="E75" i="20"/>
  <c r="E73" i="20"/>
  <c r="F39" i="36"/>
  <c r="P37" i="36"/>
  <c r="T37" i="36"/>
  <c r="S37" i="36"/>
  <c r="K65" i="20"/>
  <c r="F65" i="20"/>
  <c r="S65" i="20"/>
  <c r="G39" i="36"/>
  <c r="G75" i="20"/>
  <c r="G73" i="20"/>
  <c r="F80" i="37"/>
  <c r="F115" i="37"/>
  <c r="C184" i="37"/>
  <c r="D80" i="37"/>
  <c r="D115" i="37"/>
  <c r="B184" i="37"/>
  <c r="I184" i="37"/>
  <c r="E219" i="37"/>
  <c r="K184" i="37"/>
  <c r="G219" i="37"/>
  <c r="J184" i="37"/>
  <c r="I219" i="37"/>
  <c r="L184" i="37"/>
  <c r="K219" i="37"/>
  <c r="E80" i="37"/>
  <c r="E115" i="37"/>
  <c r="C149" i="37"/>
  <c r="G149" i="37"/>
  <c r="B149" i="37"/>
  <c r="H149" i="37"/>
  <c r="C219" i="37"/>
  <c r="M219" i="37"/>
  <c r="M176" i="36"/>
  <c r="N176" i="36"/>
  <c r="Y173" i="36"/>
  <c r="Y174" i="36"/>
  <c r="Y175" i="36"/>
  <c r="Y176" i="36"/>
  <c r="AA176" i="36"/>
  <c r="AA174" i="36"/>
  <c r="N177" i="36"/>
  <c r="N174" i="36"/>
  <c r="M174" i="36"/>
  <c r="H184" i="37"/>
  <c r="O149" i="37"/>
  <c r="M149" i="37"/>
  <c r="G184" i="37"/>
  <c r="D219" i="37"/>
  <c r="B219" i="37"/>
  <c r="L219" i="37"/>
  <c r="K149" i="37"/>
  <c r="D50" i="36"/>
  <c r="D49" i="36"/>
  <c r="D44" i="36"/>
  <c r="M80" i="37"/>
  <c r="M115" i="37"/>
  <c r="AA173" i="36"/>
  <c r="M173" i="36"/>
  <c r="N173" i="36"/>
  <c r="L149" i="37"/>
  <c r="AA204" i="36"/>
  <c r="U21" i="20"/>
  <c r="K81" i="20"/>
  <c r="D74" i="32"/>
  <c r="D73" i="32"/>
  <c r="D75" i="32"/>
  <c r="M204" i="36"/>
  <c r="N204" i="36"/>
  <c r="H197" i="11"/>
  <c r="M175" i="36"/>
  <c r="AA175" i="36"/>
  <c r="N175" i="36"/>
  <c r="D39" i="36"/>
  <c r="AA209" i="36"/>
  <c r="N206" i="36"/>
  <c r="AA206" i="36"/>
  <c r="M209" i="36"/>
  <c r="N209" i="36"/>
  <c r="G81" i="20"/>
  <c r="H81" i="20"/>
  <c r="AA223" i="36"/>
  <c r="H21" i="20"/>
  <c r="I81" i="20"/>
  <c r="L81" i="20"/>
  <c r="M206" i="36"/>
  <c r="M223" i="36"/>
  <c r="N223" i="36"/>
  <c r="G82" i="20"/>
  <c r="H82" i="20"/>
  <c r="M26" i="20"/>
  <c r="J82" i="20"/>
  <c r="U26" i="20"/>
  <c r="K82" i="20"/>
  <c r="H26" i="20"/>
  <c r="I82" i="20"/>
  <c r="L82" i="20"/>
  <c r="D73" i="20"/>
  <c r="D75" i="20"/>
  <c r="M225" i="36"/>
  <c r="N225" i="36"/>
  <c r="AA225" i="36"/>
  <c r="M22" i="20"/>
  <c r="U40" i="20"/>
  <c r="K85" i="20"/>
  <c r="H40" i="20"/>
  <c r="I85" i="20"/>
  <c r="L85" i="20"/>
  <c r="G16" i="20"/>
  <c r="H16" i="20"/>
  <c r="AA211" i="36"/>
  <c r="M211" i="36"/>
  <c r="N211" i="36"/>
  <c r="T16" i="20"/>
  <c r="U16" i="20"/>
  <c r="G85" i="20"/>
  <c r="H85" i="20"/>
  <c r="M23" i="20"/>
  <c r="H58" i="7"/>
  <c r="M24" i="20"/>
  <c r="I58" i="7"/>
  <c r="G58" i="7"/>
  <c r="M25" i="20"/>
  <c r="G19" i="20"/>
  <c r="H19" i="20"/>
  <c r="T19" i="20"/>
  <c r="U19" i="20"/>
  <c r="N347" i="22"/>
  <c r="T17" i="20"/>
  <c r="U17" i="20"/>
  <c r="G18" i="20"/>
  <c r="H18" i="20"/>
  <c r="G17" i="20"/>
  <c r="H17" i="20"/>
  <c r="T18" i="20"/>
  <c r="U18" i="20"/>
  <c r="N349" i="22"/>
  <c r="N351" i="22"/>
  <c r="N348" i="22"/>
  <c r="N315" i="22"/>
  <c r="N352" i="22"/>
  <c r="N350" i="22"/>
  <c r="N306" i="22"/>
  <c r="K16" i="37"/>
  <c r="N168" i="36"/>
  <c r="Z121" i="36"/>
  <c r="Z168" i="36"/>
  <c r="Z120" i="36"/>
  <c r="Z119" i="36"/>
  <c r="Z118" i="36"/>
  <c r="M160" i="36"/>
  <c r="M165" i="36"/>
  <c r="Z173" i="36"/>
  <c r="Z174" i="36"/>
  <c r="Z175" i="36"/>
  <c r="Z176" i="36"/>
  <c r="Z178" i="36"/>
  <c r="Z179" i="36"/>
  <c r="Z180" i="36"/>
  <c r="Z181" i="36"/>
  <c r="Z183" i="36"/>
  <c r="Z184" i="36"/>
  <c r="Z185" i="36"/>
  <c r="Z186" i="36"/>
  <c r="Z188" i="36"/>
  <c r="Z189" i="36"/>
  <c r="Z190" i="36"/>
  <c r="Z191" i="36"/>
  <c r="H198" i="11"/>
  <c r="H204" i="11"/>
  <c r="H203" i="11"/>
  <c r="H202" i="11"/>
  <c r="H201" i="11"/>
  <c r="H200" i="11"/>
  <c r="H199" i="11"/>
</calcChain>
</file>

<file path=xl/comments1.xml><?xml version="1.0" encoding="utf-8"?>
<comments xmlns="http://schemas.openxmlformats.org/spreadsheetml/2006/main">
  <authors>
    <author>Joe Pickin</author>
  </authors>
  <commentList>
    <comment ref="C37" authorId="0" shapeId="0">
      <text>
        <r>
          <rPr>
            <b/>
            <sz val="9"/>
            <color indexed="81"/>
            <rFont val="Tahoma"/>
            <family val="2"/>
          </rPr>
          <t>Joe Pickin:</t>
        </r>
        <r>
          <rPr>
            <sz val="9"/>
            <color indexed="81"/>
            <rFont val="Tahoma"/>
            <family val="2"/>
          </rPr>
          <t xml:space="preserve">
Not relevant data may be either out-of-scope (e.g. soil) or to be replaced by data from another source (e.g. hazardous wastes from Basel data).</t>
        </r>
      </text>
    </comment>
    <comment ref="C91" authorId="0" shapeId="0">
      <text>
        <r>
          <rPr>
            <b/>
            <sz val="9"/>
            <color indexed="81"/>
            <rFont val="Tahoma"/>
            <family val="2"/>
          </rPr>
          <t>Joe Pickin:</t>
        </r>
        <r>
          <rPr>
            <sz val="9"/>
            <color indexed="81"/>
            <rFont val="Tahoma"/>
            <family val="2"/>
          </rPr>
          <t xml:space="preserve">
Not relevant data may be either out-of-scope (e.g. soil) or to be replaced by data from another source (e.g. hazardous wastes from Basel data).</t>
        </r>
      </text>
    </comment>
    <comment ref="C92" authorId="0" shapeId="0">
      <text>
        <r>
          <rPr>
            <b/>
            <sz val="9"/>
            <color indexed="81"/>
            <rFont val="Tahoma"/>
            <family val="2"/>
          </rPr>
          <t>Joe Pickin:</t>
        </r>
        <r>
          <rPr>
            <sz val="9"/>
            <color indexed="81"/>
            <rFont val="Tahoma"/>
            <family val="2"/>
          </rPr>
          <t xml:space="preserve">
Where compositions are given in percentages, there is no effective difference between 'n/a' and 'exclude'.</t>
        </r>
      </text>
    </comment>
    <comment ref="C174" authorId="0" shapeId="0">
      <text>
        <r>
          <rPr>
            <b/>
            <sz val="9"/>
            <color indexed="81"/>
            <rFont val="Tahoma"/>
            <family val="2"/>
          </rPr>
          <t>Joe Pickin:</t>
        </r>
        <r>
          <rPr>
            <sz val="9"/>
            <color indexed="81"/>
            <rFont val="Tahoma"/>
            <family val="2"/>
          </rPr>
          <t xml:space="preserve">
Not relevant data may be either out-of-scope (e.g. soil) or to be replaced by data from another source (e.g. hazardous wastes from Basel data).</t>
        </r>
      </text>
    </comment>
    <comment ref="C184" authorId="0" shapeId="0">
      <text>
        <r>
          <rPr>
            <b/>
            <sz val="9"/>
            <color indexed="81"/>
            <rFont val="Tahoma"/>
            <family val="2"/>
          </rPr>
          <t>Joe Pickin:</t>
        </r>
        <r>
          <rPr>
            <sz val="9"/>
            <color indexed="81"/>
            <rFont val="Tahoma"/>
            <family val="2"/>
          </rPr>
          <t xml:space="preserve">
PACIA data to be used</t>
        </r>
      </text>
    </comment>
    <comment ref="C185" authorId="0" shapeId="0">
      <text>
        <r>
          <rPr>
            <b/>
            <sz val="9"/>
            <color indexed="81"/>
            <rFont val="Tahoma"/>
            <family val="2"/>
          </rPr>
          <t>Joe Pickin:</t>
        </r>
        <r>
          <rPr>
            <sz val="9"/>
            <color indexed="81"/>
            <rFont val="Tahoma"/>
            <family val="2"/>
          </rPr>
          <t xml:space="preserve">
PACIA data to be used</t>
        </r>
      </text>
    </comment>
    <comment ref="C196" authorId="0" shapeId="0">
      <text>
        <r>
          <rPr>
            <b/>
            <sz val="9"/>
            <color indexed="81"/>
            <rFont val="Tahoma"/>
            <family val="2"/>
          </rPr>
          <t>Joe Pickin:</t>
        </r>
        <r>
          <rPr>
            <sz val="9"/>
            <color indexed="81"/>
            <rFont val="Tahoma"/>
            <family val="2"/>
          </rPr>
          <t xml:space="preserve">
Should be already included in hazardous waste data</t>
        </r>
      </text>
    </comment>
    <comment ref="C198" authorId="0" shapeId="0">
      <text>
        <r>
          <rPr>
            <b/>
            <sz val="9"/>
            <color indexed="81"/>
            <rFont val="Tahoma"/>
            <family val="2"/>
          </rPr>
          <t>Joe Pickin:</t>
        </r>
        <r>
          <rPr>
            <sz val="9"/>
            <color indexed="81"/>
            <rFont val="Tahoma"/>
            <family val="2"/>
          </rPr>
          <t xml:space="preserve">
Reuse is not part of the scope</t>
        </r>
      </text>
    </comment>
    <comment ref="C199" authorId="0" shapeId="0">
      <text>
        <r>
          <rPr>
            <b/>
            <sz val="9"/>
            <color indexed="81"/>
            <rFont val="Tahoma"/>
            <family val="2"/>
          </rPr>
          <t>Joe Pickin:</t>
        </r>
        <r>
          <rPr>
            <sz val="9"/>
            <color indexed="81"/>
            <rFont val="Tahoma"/>
            <family val="2"/>
          </rPr>
          <t xml:space="preserve">
Should be already included in hazardous waste data</t>
        </r>
      </text>
    </comment>
    <comment ref="C201" authorId="0" shapeId="0">
      <text>
        <r>
          <rPr>
            <b/>
            <sz val="9"/>
            <color indexed="81"/>
            <rFont val="Tahoma"/>
            <family val="2"/>
          </rPr>
          <t>Joe Pickin:</t>
        </r>
        <r>
          <rPr>
            <sz val="9"/>
            <color indexed="81"/>
            <rFont val="Tahoma"/>
            <family val="2"/>
          </rPr>
          <t xml:space="preserve">
Should be already included in hazardous waste data</t>
        </r>
      </text>
    </comment>
    <comment ref="C202" authorId="0" shapeId="0">
      <text>
        <r>
          <rPr>
            <b/>
            <sz val="9"/>
            <color indexed="81"/>
            <rFont val="Tahoma"/>
            <family val="2"/>
          </rPr>
          <t>Joe Pickin:</t>
        </r>
        <r>
          <rPr>
            <sz val="9"/>
            <color indexed="81"/>
            <rFont val="Tahoma"/>
            <family val="2"/>
          </rPr>
          <t xml:space="preserve">
Materials from recycling of these products are counted elsewhere, so including them here would be double-counting.</t>
        </r>
      </text>
    </comment>
    <comment ref="C203" authorId="0" shapeId="0">
      <text>
        <r>
          <rPr>
            <b/>
            <sz val="9"/>
            <color indexed="81"/>
            <rFont val="Tahoma"/>
            <family val="2"/>
          </rPr>
          <t>Joe Pickin:</t>
        </r>
        <r>
          <rPr>
            <sz val="9"/>
            <color indexed="81"/>
            <rFont val="Tahoma"/>
            <family val="2"/>
          </rPr>
          <t xml:space="preserve">
Materials from recycling of these products are counted elsewhere, so including them here would be double-counting.</t>
        </r>
      </text>
    </comment>
    <comment ref="C204" authorId="0" shapeId="0">
      <text>
        <r>
          <rPr>
            <b/>
            <sz val="9"/>
            <color indexed="81"/>
            <rFont val="Tahoma"/>
            <family val="2"/>
          </rPr>
          <t>Joe Pickin:</t>
        </r>
        <r>
          <rPr>
            <sz val="9"/>
            <color indexed="81"/>
            <rFont val="Tahoma"/>
            <family val="2"/>
          </rPr>
          <t xml:space="preserve">
Materials from recycling of these products are counted elsewhere, so including them here would be double-counting.</t>
        </r>
      </text>
    </comment>
    <comment ref="C205" authorId="0" shapeId="0">
      <text>
        <r>
          <rPr>
            <b/>
            <sz val="9"/>
            <color indexed="81"/>
            <rFont val="Tahoma"/>
            <family val="2"/>
          </rPr>
          <t>Joe Pickin:</t>
        </r>
        <r>
          <rPr>
            <sz val="9"/>
            <color indexed="81"/>
            <rFont val="Tahoma"/>
            <family val="2"/>
          </rPr>
          <t xml:space="preserve">
Should be already included in hazardous waste data</t>
        </r>
      </text>
    </comment>
    <comment ref="C206" authorId="0" shapeId="0">
      <text>
        <r>
          <rPr>
            <b/>
            <sz val="9"/>
            <color indexed="81"/>
            <rFont val="Tahoma"/>
            <family val="2"/>
          </rPr>
          <t>Joe Pickin:</t>
        </r>
        <r>
          <rPr>
            <sz val="9"/>
            <color indexed="81"/>
            <rFont val="Tahoma"/>
            <family val="2"/>
          </rPr>
          <t xml:space="preserve">
Materials from recycling of these products are counted elsewhere, so including them here would be double-counting.</t>
        </r>
      </text>
    </comment>
    <comment ref="C207" authorId="0" shapeId="0">
      <text>
        <r>
          <rPr>
            <b/>
            <sz val="9"/>
            <color indexed="81"/>
            <rFont val="Tahoma"/>
            <family val="2"/>
          </rPr>
          <t>Joe Pickin:</t>
        </r>
        <r>
          <rPr>
            <sz val="9"/>
            <color indexed="81"/>
            <rFont val="Tahoma"/>
            <family val="2"/>
          </rPr>
          <t xml:space="preserve">
For national consistency, Biosolids Partnership figures are used</t>
        </r>
      </text>
    </comment>
    <comment ref="C208" authorId="0" shapeId="0">
      <text>
        <r>
          <rPr>
            <b/>
            <sz val="9"/>
            <color indexed="81"/>
            <rFont val="Tahoma"/>
            <family val="2"/>
          </rPr>
          <t>Joe Pickin:</t>
        </r>
        <r>
          <rPr>
            <sz val="9"/>
            <color indexed="81"/>
            <rFont val="Tahoma"/>
            <family val="2"/>
          </rPr>
          <t xml:space="preserve">
Materials from recycling of these products are counted elsewhere, so including them here would be double-counting.</t>
        </r>
      </text>
    </comment>
    <comment ref="C209" authorId="0" shapeId="0">
      <text>
        <r>
          <rPr>
            <b/>
            <sz val="9"/>
            <color indexed="81"/>
            <rFont val="Tahoma"/>
            <family val="2"/>
          </rPr>
          <t>Joe Pickin:</t>
        </r>
        <r>
          <rPr>
            <sz val="9"/>
            <color indexed="81"/>
            <rFont val="Tahoma"/>
            <family val="2"/>
          </rPr>
          <t xml:space="preserve">
Materials from recycling of these products are counted elsewhere, so including them here would be double-counting.</t>
        </r>
      </text>
    </comment>
    <comment ref="C210" authorId="0" shapeId="0">
      <text>
        <r>
          <rPr>
            <b/>
            <sz val="9"/>
            <color indexed="81"/>
            <rFont val="Tahoma"/>
            <family val="2"/>
          </rPr>
          <t>Joe Pickin:</t>
        </r>
        <r>
          <rPr>
            <sz val="9"/>
            <color indexed="81"/>
            <rFont val="Tahoma"/>
            <family val="2"/>
          </rPr>
          <t xml:space="preserve">
Should be already included in hazardous waste data</t>
        </r>
      </text>
    </comment>
    <comment ref="C211" authorId="0" shapeId="0">
      <text>
        <r>
          <rPr>
            <b/>
            <sz val="9"/>
            <color indexed="81"/>
            <rFont val="Tahoma"/>
            <family val="2"/>
          </rPr>
          <t>Joe Pickin:</t>
        </r>
        <r>
          <rPr>
            <sz val="9"/>
            <color indexed="81"/>
            <rFont val="Tahoma"/>
            <family val="2"/>
          </rPr>
          <t xml:space="preserve">
Reuse is not part of the scope</t>
        </r>
      </text>
    </comment>
  </commentList>
</comments>
</file>

<file path=xl/comments10.xml><?xml version="1.0" encoding="utf-8"?>
<comments xmlns="http://schemas.openxmlformats.org/spreadsheetml/2006/main">
  <authors>
    <author>Joe Pickin</author>
  </authors>
  <commentList>
    <comment ref="C20" authorId="0" shapeId="0">
      <text>
        <r>
          <rPr>
            <b/>
            <sz val="9"/>
            <color indexed="81"/>
            <rFont val="Tahoma"/>
            <family val="2"/>
          </rPr>
          <t>Joe Pickin:</t>
        </r>
        <r>
          <rPr>
            <sz val="9"/>
            <color indexed="81"/>
            <rFont val="Tahoma"/>
            <family val="2"/>
          </rPr>
          <t xml:space="preserve">
There is insufficent data to distinguish the tonnes of biosolids that are uncontaminated. All biosolids are therefore included in the hazardous waste type ‘Other soil/sludges’ consistent with Basel reporting.</t>
        </r>
      </text>
    </comment>
  </commentList>
</comments>
</file>

<file path=xl/comments11.xml><?xml version="1.0" encoding="utf-8"?>
<comments xmlns="http://schemas.openxmlformats.org/spreadsheetml/2006/main">
  <authors>
    <author>Joe Pickin</author>
  </authors>
  <commentList>
    <comment ref="C20" authorId="0" shapeId="0">
      <text>
        <r>
          <rPr>
            <b/>
            <sz val="9"/>
            <color indexed="81"/>
            <rFont val="Tahoma"/>
            <family val="2"/>
          </rPr>
          <t>Joe Pickin:</t>
        </r>
        <r>
          <rPr>
            <sz val="9"/>
            <color indexed="81"/>
            <rFont val="Tahoma"/>
            <family val="2"/>
          </rPr>
          <t xml:space="preserve">
There is insufficent data to distinguish the tonnes of biosolids that are uncontaminated. All biosolids are therefore included in the hazardous waste type ‘Other soil/sludges’ consistent with Basel reporting.</t>
        </r>
      </text>
    </comment>
  </commentList>
</comments>
</file>

<file path=xl/comments12.xml><?xml version="1.0" encoding="utf-8"?>
<comments xmlns="http://schemas.openxmlformats.org/spreadsheetml/2006/main">
  <authors>
    <author>Joe Pickin</author>
  </authors>
  <commentList>
    <comment ref="C20" authorId="0" shapeId="0">
      <text>
        <r>
          <rPr>
            <b/>
            <sz val="9"/>
            <color indexed="81"/>
            <rFont val="Tahoma"/>
            <family val="2"/>
          </rPr>
          <t>Joe Pickin:</t>
        </r>
        <r>
          <rPr>
            <sz val="9"/>
            <color indexed="81"/>
            <rFont val="Tahoma"/>
            <family val="2"/>
          </rPr>
          <t xml:space="preserve">
There is insufficent data to distinguish the tonnes of biosolids that are uncontaminated. All biosolids are therefore included in the hazardous waste type ‘Other soil/sludges’ consistent with Basel reporting.</t>
        </r>
      </text>
    </comment>
  </commentList>
</comments>
</file>

<file path=xl/comments13.xml><?xml version="1.0" encoding="utf-8"?>
<comments xmlns="http://schemas.openxmlformats.org/spreadsheetml/2006/main">
  <authors>
    <author>Joe Pickin</author>
  </authors>
  <commentList>
    <comment ref="C20" authorId="0" shapeId="0">
      <text>
        <r>
          <rPr>
            <b/>
            <sz val="9"/>
            <color indexed="81"/>
            <rFont val="Tahoma"/>
            <family val="2"/>
          </rPr>
          <t>Joe Pickin:</t>
        </r>
        <r>
          <rPr>
            <sz val="9"/>
            <color indexed="81"/>
            <rFont val="Tahoma"/>
            <family val="2"/>
          </rPr>
          <t xml:space="preserve">
There is insufficent data to distinguish the tonnes of biosolids that are uncontaminated. All biosolids are therefore included in the hazardous waste type ‘Other soil/sludges’ consistent with Basel reporting.</t>
        </r>
      </text>
    </comment>
  </commentList>
</comments>
</file>

<file path=xl/comments14.xml><?xml version="1.0" encoding="utf-8"?>
<comments xmlns="http://schemas.openxmlformats.org/spreadsheetml/2006/main">
  <authors>
    <author>Joe Pickin</author>
  </authors>
  <commentList>
    <comment ref="C20" authorId="0" shapeId="0">
      <text>
        <r>
          <rPr>
            <b/>
            <sz val="9"/>
            <color indexed="81"/>
            <rFont val="Tahoma"/>
            <family val="2"/>
          </rPr>
          <t>Joe Pickin:</t>
        </r>
        <r>
          <rPr>
            <sz val="9"/>
            <color indexed="81"/>
            <rFont val="Tahoma"/>
            <family val="2"/>
          </rPr>
          <t xml:space="preserve">
There is insufficent data to distinguish the tonnes of biosolids that are uncontaminated. All biosolids are therefore included in the hazardous waste type ‘Other soil/sludges’ consistent with Basel reporting.</t>
        </r>
      </text>
    </comment>
  </commentList>
</comments>
</file>

<file path=xl/comments15.xml><?xml version="1.0" encoding="utf-8"?>
<comments xmlns="http://schemas.openxmlformats.org/spreadsheetml/2006/main">
  <authors>
    <author>jenny trinh</author>
    <author>Joe Pickin</author>
  </authors>
  <commentList>
    <comment ref="C17" authorId="0" shapeId="0">
      <text>
        <r>
          <rPr>
            <b/>
            <sz val="9"/>
            <color indexed="81"/>
            <rFont val="Tahoma"/>
            <family val="2"/>
          </rPr>
          <t>jenny trinh:</t>
        </r>
        <r>
          <rPr>
            <sz val="9"/>
            <color indexed="81"/>
            <rFont val="Tahoma"/>
            <family val="2"/>
          </rPr>
          <t xml:space="preserve">
6% was landfilled</t>
        </r>
      </text>
    </comment>
    <comment ref="E17" authorId="0" shapeId="0">
      <text>
        <r>
          <rPr>
            <b/>
            <sz val="9"/>
            <color indexed="81"/>
            <rFont val="Tahoma"/>
            <family val="2"/>
          </rPr>
          <t>jenny trinh:</t>
        </r>
        <r>
          <rPr>
            <sz val="9"/>
            <color indexed="81"/>
            <rFont val="Tahoma"/>
            <family val="2"/>
          </rPr>
          <t xml:space="preserve">
from incineration</t>
        </r>
      </text>
    </comment>
    <comment ref="G17" authorId="0" shapeId="0">
      <text>
        <r>
          <rPr>
            <b/>
            <sz val="9"/>
            <color indexed="81"/>
            <rFont val="Tahoma"/>
            <family val="2"/>
          </rPr>
          <t>jenny trinh:</t>
        </r>
        <r>
          <rPr>
            <sz val="9"/>
            <color indexed="81"/>
            <rFont val="Tahoma"/>
            <family val="2"/>
          </rPr>
          <t xml:space="preserve">
sum of disposal, recycling and energy recovery does not add up to generation because temporary storage and special treatment was not included as stated by the source</t>
        </r>
      </text>
    </comment>
    <comment ref="C24" authorId="0" shapeId="0">
      <text>
        <r>
          <rPr>
            <b/>
            <sz val="9"/>
            <color indexed="81"/>
            <rFont val="Tahoma"/>
            <family val="2"/>
          </rPr>
          <t>jenny trinh:</t>
        </r>
        <r>
          <rPr>
            <sz val="9"/>
            <color indexed="81"/>
            <rFont val="Tahoma"/>
            <family val="2"/>
          </rPr>
          <t xml:space="preserve">
includes waste sent to landfill, filling- cover material and unknown
</t>
        </r>
      </text>
    </comment>
    <comment ref="F24" authorId="1" shapeId="0">
      <text>
        <r>
          <rPr>
            <b/>
            <sz val="9"/>
            <color indexed="81"/>
            <rFont val="Tahoma"/>
            <family val="2"/>
          </rPr>
          <t xml:space="preserve">jenny trinh:
</t>
        </r>
        <r>
          <rPr>
            <sz val="9"/>
            <color indexed="81"/>
            <rFont val="Tahoma"/>
            <family val="2"/>
          </rPr>
          <t xml:space="preserve">80% recovery includes recycling and energy recovery
</t>
        </r>
      </text>
    </comment>
    <comment ref="C31" authorId="0" shapeId="0">
      <text>
        <r>
          <rPr>
            <b/>
            <sz val="9"/>
            <color indexed="81"/>
            <rFont val="Tahoma"/>
            <family val="2"/>
          </rPr>
          <t>jenny trinh:</t>
        </r>
        <r>
          <rPr>
            <sz val="9"/>
            <color indexed="81"/>
            <rFont val="Tahoma"/>
            <family val="2"/>
          </rPr>
          <t xml:space="preserve">
includes waste sent to landfill and other pre-treatment (e.g mechanical biological treatment and RDF production)
</t>
        </r>
      </text>
    </comment>
    <comment ref="D35" authorId="0" shapeId="0">
      <text>
        <r>
          <rPr>
            <b/>
            <sz val="9"/>
            <color indexed="81"/>
            <rFont val="Tahoma"/>
            <family val="2"/>
          </rPr>
          <t>jenny trinh:</t>
        </r>
        <r>
          <rPr>
            <sz val="9"/>
            <color indexed="81"/>
            <rFont val="Tahoma"/>
            <family val="2"/>
          </rPr>
          <t xml:space="preserve">
includes recycling and composting</t>
        </r>
      </text>
    </comment>
    <comment ref="E36" authorId="0" shapeId="0">
      <text>
        <r>
          <rPr>
            <b/>
            <sz val="9"/>
            <color indexed="81"/>
            <rFont val="Tahoma"/>
            <family val="2"/>
          </rPr>
          <t>jenny trinh:</t>
        </r>
        <r>
          <rPr>
            <sz val="9"/>
            <color indexed="81"/>
            <rFont val="Tahoma"/>
            <family val="2"/>
          </rPr>
          <t xml:space="preserve">
not known</t>
        </r>
      </text>
    </comment>
  </commentList>
</comments>
</file>

<file path=xl/comments16.xml><?xml version="1.0" encoding="utf-8"?>
<comments xmlns="http://schemas.openxmlformats.org/spreadsheetml/2006/main">
  <authors>
    <author>Joe Pickin</author>
  </authors>
  <commentList>
    <comment ref="C134" authorId="0" shapeId="0">
      <text>
        <r>
          <rPr>
            <b/>
            <sz val="9"/>
            <color indexed="81"/>
            <rFont val="Tahoma"/>
            <family val="2"/>
          </rPr>
          <t>Joe Pickin:</t>
        </r>
        <r>
          <rPr>
            <sz val="9"/>
            <color indexed="81"/>
            <rFont val="Tahoma"/>
            <family val="2"/>
          </rPr>
          <t xml:space="preserve">
Note this category has changed from WGRRA, which included tyres here. Data on end-of-life tyres is now obtained through Basel data. </t>
        </r>
      </text>
    </comment>
    <comment ref="B336" authorId="0" shapeId="0">
      <text>
        <r>
          <rPr>
            <b/>
            <sz val="9"/>
            <color indexed="81"/>
            <rFont val="Tahoma"/>
            <family val="2"/>
          </rPr>
          <t>Joe Pickin:</t>
        </r>
        <r>
          <rPr>
            <sz val="9"/>
            <color indexed="81"/>
            <rFont val="Tahoma"/>
            <family val="2"/>
          </rPr>
          <t xml:space="preserve">
This category has been amended because tyre data is now collected via Basel reporting</t>
        </r>
      </text>
    </comment>
    <comment ref="D405" authorId="0" shapeId="0">
      <text>
        <r>
          <rPr>
            <b/>
            <sz val="9"/>
            <color indexed="81"/>
            <rFont val="Tahoma"/>
            <family val="2"/>
          </rPr>
          <t>Joe Pickin:</t>
        </r>
        <r>
          <rPr>
            <sz val="9"/>
            <color indexed="81"/>
            <rFont val="Tahoma"/>
            <family val="2"/>
          </rPr>
          <t xml:space="preserve">
Datum amended from 5.1% provided to 5.2% to make up 100%</t>
        </r>
      </text>
    </comment>
    <comment ref="B415" authorId="0" shapeId="0">
      <text>
        <r>
          <rPr>
            <b/>
            <sz val="9"/>
            <color indexed="81"/>
            <rFont val="Tahoma"/>
            <family val="2"/>
          </rPr>
          <t>Joe Pickin:</t>
        </r>
        <r>
          <rPr>
            <sz val="9"/>
            <color indexed="81"/>
            <rFont val="Tahoma"/>
            <family val="2"/>
          </rPr>
          <t xml:space="preserve">
SV reports this is from C&amp;D recovery operations. It is therefore in the NWDS scope.</t>
        </r>
      </text>
    </comment>
    <comment ref="B425" authorId="0" shapeId="0">
      <text>
        <r>
          <rPr>
            <b/>
            <sz val="9"/>
            <color indexed="81"/>
            <rFont val="Tahoma"/>
            <family val="2"/>
          </rPr>
          <t>Joe Pickin:</t>
        </r>
        <r>
          <rPr>
            <sz val="9"/>
            <color indexed="81"/>
            <rFont val="Tahoma"/>
            <family val="2"/>
          </rPr>
          <t xml:space="preserve">
SV report that this is from manufacturing processes &amp; is diverted from landfill. It is therefore in the NWDS scope</t>
        </r>
      </text>
    </comment>
    <comment ref="B433" authorId="0" shapeId="0">
      <text>
        <r>
          <rPr>
            <b/>
            <sz val="9"/>
            <color indexed="81"/>
            <rFont val="Tahoma"/>
            <family val="2"/>
          </rPr>
          <t>Joe Pickin:</t>
        </r>
        <r>
          <rPr>
            <sz val="9"/>
            <color indexed="81"/>
            <rFont val="Tahoma"/>
            <family val="2"/>
          </rPr>
          <t xml:space="preserve">
SV reports that this is unspecified mixed paper as reported by reprocessors.</t>
        </r>
      </text>
    </comment>
  </commentList>
</comments>
</file>

<file path=xl/comments17.xml><?xml version="1.0" encoding="utf-8"?>
<comments xmlns="http://schemas.openxmlformats.org/spreadsheetml/2006/main">
  <authors>
    <author>Joe Pickin</author>
  </authors>
  <commentList>
    <comment ref="B5" authorId="0" shapeId="0">
      <text>
        <r>
          <rPr>
            <b/>
            <sz val="9"/>
            <color indexed="81"/>
            <rFont val="Tahoma"/>
            <family val="2"/>
          </rPr>
          <t>Joe Pickin:</t>
        </r>
        <r>
          <rPr>
            <sz val="9"/>
            <color indexed="81"/>
            <rFont val="Tahoma"/>
            <family val="2"/>
          </rPr>
          <t xml:space="preserve">
 Excludes various categories that are out of scope</t>
        </r>
      </text>
    </comment>
    <comment ref="C33" authorId="0" shapeId="0">
      <text>
        <r>
          <rPr>
            <b/>
            <sz val="9"/>
            <color indexed="81"/>
            <rFont val="Tahoma"/>
            <family val="2"/>
          </rPr>
          <t>Joe Pickin:</t>
        </r>
        <r>
          <rPr>
            <sz val="9"/>
            <color indexed="81"/>
            <rFont val="Tahoma"/>
            <family val="2"/>
          </rPr>
          <t xml:space="preserve">
Assumes 25% pre-food waste trial; adds 5% assumed hard waste to kerbside audit</t>
        </r>
      </text>
    </comment>
  </commentList>
</comments>
</file>

<file path=xl/comments2.xml><?xml version="1.0" encoding="utf-8"?>
<comments xmlns="http://schemas.openxmlformats.org/spreadsheetml/2006/main">
  <authors>
    <author>Joe Pickin</author>
  </authors>
  <commentList>
    <comment ref="F29" authorId="0" shapeId="0">
      <text>
        <r>
          <rPr>
            <b/>
            <sz val="9"/>
            <color indexed="81"/>
            <rFont val="Tahoma"/>
            <family val="2"/>
          </rPr>
          <t>Joe Pickin:</t>
        </r>
        <r>
          <rPr>
            <sz val="9"/>
            <color indexed="81"/>
            <rFont val="Tahoma"/>
            <family val="2"/>
          </rPr>
          <t xml:space="preserve">
All Qld imported landfill waste is assumed to be generated in NSW</t>
        </r>
      </text>
    </comment>
    <comment ref="F45" authorId="0" shapeId="0">
      <text>
        <r>
          <rPr>
            <b/>
            <sz val="9"/>
            <color indexed="81"/>
            <rFont val="Tahoma"/>
            <family val="2"/>
          </rPr>
          <t>Joe Pickin:</t>
        </r>
        <r>
          <rPr>
            <sz val="9"/>
            <color indexed="81"/>
            <rFont val="Tahoma"/>
            <family val="2"/>
          </rPr>
          <t xml:space="preserve">
Note this category has changed from WGRRA, which included tyres here. Data on end-of-life tyres is now obtained through Basel data. </t>
        </r>
      </text>
    </comment>
    <comment ref="I57" authorId="0" shapeId="0">
      <text>
        <r>
          <rPr>
            <b/>
            <sz val="9"/>
            <color indexed="81"/>
            <rFont val="Tahoma"/>
            <family val="2"/>
          </rPr>
          <t>Joe Pickin:</t>
        </r>
        <r>
          <rPr>
            <sz val="9"/>
            <color indexed="81"/>
            <rFont val="Tahoma"/>
            <family val="2"/>
          </rPr>
          <t xml:space="preserve">
Calculated figure is a small minus number. Manually corrected to zero.</t>
        </r>
      </text>
    </comment>
    <comment ref="I59" authorId="0" shapeId="0">
      <text>
        <r>
          <rPr>
            <b/>
            <sz val="9"/>
            <color indexed="81"/>
            <rFont val="Tahoma"/>
            <family val="2"/>
          </rPr>
          <t>Joe Pickin:</t>
        </r>
        <r>
          <rPr>
            <sz val="9"/>
            <color indexed="81"/>
            <rFont val="Tahoma"/>
            <family val="2"/>
          </rPr>
          <t xml:space="preserve">
Explanation in cell I57</t>
        </r>
      </text>
    </comment>
    <comment ref="I72" authorId="0" shapeId="0">
      <text>
        <r>
          <rPr>
            <b/>
            <sz val="9"/>
            <color indexed="81"/>
            <rFont val="Tahoma"/>
            <family val="2"/>
          </rPr>
          <t>Joe Pickin:</t>
        </r>
        <r>
          <rPr>
            <sz val="9"/>
            <color indexed="81"/>
            <rFont val="Tahoma"/>
            <family val="2"/>
          </rPr>
          <t xml:space="preserve">
Explanation in cell I57</t>
        </r>
      </text>
    </comment>
    <comment ref="W197" authorId="0" shapeId="0">
      <text>
        <r>
          <rPr>
            <b/>
            <sz val="9"/>
            <color indexed="81"/>
            <rFont val="Tahoma"/>
            <family val="2"/>
          </rPr>
          <t>Joe Pickin:</t>
        </r>
        <r>
          <rPr>
            <sz val="9"/>
            <color indexed="81"/>
            <rFont val="Tahoma"/>
            <family val="2"/>
          </rPr>
          <t xml:space="preserve">
The source data has errors in the presentation of e-waste data, but this seems the most reasonable interpretation</t>
        </r>
      </text>
    </comment>
    <comment ref="X197" authorId="0" shapeId="0">
      <text>
        <r>
          <rPr>
            <b/>
            <sz val="9"/>
            <color indexed="81"/>
            <rFont val="Tahoma"/>
            <family val="2"/>
          </rPr>
          <t>Joe Pickin:</t>
        </r>
        <r>
          <rPr>
            <sz val="9"/>
            <color indexed="81"/>
            <rFont val="Tahoma"/>
            <family val="2"/>
          </rPr>
          <t xml:space="preserve">
The source data has errors in the presentation of e-waste data, but this seems the most reasonable interpretation</t>
        </r>
      </text>
    </comment>
    <comment ref="W199" authorId="0" shapeId="0">
      <text>
        <r>
          <rPr>
            <b/>
            <sz val="9"/>
            <color indexed="81"/>
            <rFont val="Tahoma"/>
            <family val="2"/>
          </rPr>
          <t>Joe Pickin:</t>
        </r>
        <r>
          <rPr>
            <sz val="9"/>
            <color indexed="81"/>
            <rFont val="Tahoma"/>
            <family val="2"/>
          </rPr>
          <t xml:space="preserve">
The source data has errors in the presentation of e-waste data, but this seems the most reasonable interpretation</t>
        </r>
      </text>
    </comment>
    <comment ref="X199" authorId="0" shapeId="0">
      <text>
        <r>
          <rPr>
            <b/>
            <sz val="9"/>
            <color indexed="81"/>
            <rFont val="Tahoma"/>
            <family val="2"/>
          </rPr>
          <t>Joe Pickin:</t>
        </r>
        <r>
          <rPr>
            <sz val="9"/>
            <color indexed="81"/>
            <rFont val="Tahoma"/>
            <family val="2"/>
          </rPr>
          <t xml:space="preserve">
The source data has errors in the presentation of e-waste data, but this seems the most reasonable interpretation</t>
        </r>
      </text>
    </comment>
    <comment ref="W200" authorId="0" shapeId="0">
      <text>
        <r>
          <rPr>
            <b/>
            <sz val="9"/>
            <color indexed="81"/>
            <rFont val="Tahoma"/>
            <family val="2"/>
          </rPr>
          <t>Joe Pickin:</t>
        </r>
        <r>
          <rPr>
            <sz val="9"/>
            <color indexed="81"/>
            <rFont val="Tahoma"/>
            <family val="2"/>
          </rPr>
          <t xml:space="preserve">
The source data has errors in the presentation of e-waste data, but this seems the most reasonable interpretation</t>
        </r>
      </text>
    </comment>
    <comment ref="X200" authorId="0" shapeId="0">
      <text>
        <r>
          <rPr>
            <b/>
            <sz val="9"/>
            <color indexed="81"/>
            <rFont val="Tahoma"/>
            <family val="2"/>
          </rPr>
          <t>Joe Pickin:</t>
        </r>
        <r>
          <rPr>
            <sz val="9"/>
            <color indexed="81"/>
            <rFont val="Tahoma"/>
            <family val="2"/>
          </rPr>
          <t xml:space="preserve">
The source data has errors in the presentation of e-waste data, but this seems the most reasonable interpretation</t>
        </r>
      </text>
    </comment>
  </commentList>
</comments>
</file>

<file path=xl/comments3.xml><?xml version="1.0" encoding="utf-8"?>
<comments xmlns="http://schemas.openxmlformats.org/spreadsheetml/2006/main">
  <authors>
    <author>Joe Pickin</author>
  </authors>
  <commentList>
    <comment ref="G18" authorId="0" shapeId="0">
      <text>
        <r>
          <rPr>
            <b/>
            <sz val="9"/>
            <color indexed="81"/>
            <rFont val="Tahoma"/>
            <family val="2"/>
          </rPr>
          <t>Joe Pickin:</t>
        </r>
        <r>
          <rPr>
            <sz val="9"/>
            <color indexed="81"/>
            <rFont val="Tahoma"/>
            <family val="2"/>
          </rPr>
          <t xml:space="preserve">
SA provided the figure 904,085 but in discussion with John Vanzo of SA on 6/12/16 it became apparent that this included 180,273 t of contaminated soil, a listed waste already covered in Basel data. This amount has been subtracted. </t>
        </r>
      </text>
    </comment>
    <comment ref="G34" authorId="0" shapeId="0">
      <text>
        <r>
          <rPr>
            <b/>
            <sz val="9"/>
            <color indexed="81"/>
            <rFont val="Tahoma"/>
            <family val="2"/>
          </rPr>
          <t>Joe Pickin:</t>
        </r>
        <r>
          <rPr>
            <sz val="9"/>
            <color indexed="81"/>
            <rFont val="Tahoma"/>
            <family val="2"/>
          </rPr>
          <t xml:space="preserve">
SA provided the figure 125,001 but in discussion with John Vanzo of SA on 6/12/16 it became apparent that this is included in the 180,273 t of soil now subtracted from waste to landfill figure. So value changed to zero.</t>
        </r>
      </text>
    </comment>
    <comment ref="C51" authorId="0" shapeId="0">
      <text>
        <r>
          <rPr>
            <b/>
            <sz val="9"/>
            <color indexed="81"/>
            <rFont val="Tahoma"/>
            <family val="2"/>
          </rPr>
          <t>Joe Pickin:</t>
        </r>
        <r>
          <rPr>
            <sz val="9"/>
            <color indexed="81"/>
            <rFont val="Tahoma"/>
            <family val="2"/>
          </rPr>
          <t xml:space="preserve">
Not relevant data may be either out-of-scope (e.g. soil) or to be replaced by data from another source (e.g. hazardous wastes from Basel data).</t>
        </r>
      </text>
    </comment>
    <comment ref="C68" authorId="0" shapeId="0">
      <text>
        <r>
          <rPr>
            <b/>
            <sz val="9"/>
            <color indexed="81"/>
            <rFont val="Tahoma"/>
            <family val="2"/>
          </rPr>
          <t>Joe Pickin:</t>
        </r>
        <r>
          <rPr>
            <sz val="9"/>
            <color indexed="81"/>
            <rFont val="Tahoma"/>
            <family val="2"/>
          </rPr>
          <t xml:space="preserve">
Not relevant data may be either out-of-scope (e.g. soil) or to be replaced by data from another source (e.g. hazardous wastes from Basel data).</t>
        </r>
      </text>
    </comment>
    <comment ref="C69" authorId="0" shapeId="0">
      <text>
        <r>
          <rPr>
            <b/>
            <sz val="9"/>
            <color indexed="81"/>
            <rFont val="Tahoma"/>
            <family val="2"/>
          </rPr>
          <t>Joe Pickin:</t>
        </r>
        <r>
          <rPr>
            <sz val="9"/>
            <color indexed="81"/>
            <rFont val="Tahoma"/>
            <family val="2"/>
          </rPr>
          <t xml:space="preserve">
Where compositions are given in percentages, there is no effective difference between 'n/a' and 'exclude'.</t>
        </r>
      </text>
    </comment>
    <comment ref="F170" authorId="0" shapeId="0">
      <text>
        <r>
          <rPr>
            <b/>
            <sz val="9"/>
            <color indexed="81"/>
            <rFont val="Tahoma"/>
            <family val="2"/>
          </rPr>
          <t>Joe Pickin:</t>
        </r>
        <r>
          <rPr>
            <sz val="9"/>
            <color indexed="81"/>
            <rFont val="Tahoma"/>
            <family val="2"/>
          </rPr>
          <t xml:space="preserve">
This category has been amended because tyre data is now collected via Basel reporting</t>
        </r>
      </text>
    </comment>
  </commentList>
</comments>
</file>

<file path=xl/comments4.xml><?xml version="1.0" encoding="utf-8"?>
<comments xmlns="http://schemas.openxmlformats.org/spreadsheetml/2006/main">
  <authors>
    <author>Joe Pickin</author>
  </authors>
  <commentList>
    <comment ref="C47" authorId="0" shapeId="0">
      <text>
        <r>
          <rPr>
            <b/>
            <sz val="9"/>
            <color indexed="81"/>
            <rFont val="Tahoma"/>
            <family val="2"/>
          </rPr>
          <t>Joe Pickin:</t>
        </r>
        <r>
          <rPr>
            <sz val="9"/>
            <color indexed="81"/>
            <rFont val="Tahoma"/>
            <family val="2"/>
          </rPr>
          <t xml:space="preserve">
Not relevant data may be either out-of-scope (e.g. soil) or to be replaced by data from another source (e.g. hazardous wastes from Basel data).</t>
        </r>
      </text>
    </comment>
    <comment ref="H55" authorId="0" shapeId="0">
      <text>
        <r>
          <rPr>
            <b/>
            <sz val="9"/>
            <color indexed="81"/>
            <rFont val="Tahoma"/>
            <family val="2"/>
          </rPr>
          <t>Joe Pickin:</t>
        </r>
        <r>
          <rPr>
            <sz val="9"/>
            <color indexed="81"/>
            <rFont val="Tahoma"/>
            <family val="2"/>
          </rPr>
          <t xml:space="preserve">
Datum amended from 5.1% provided to 5.2% to make up 100%</t>
        </r>
      </text>
    </comment>
    <comment ref="C108" authorId="0" shapeId="0">
      <text>
        <r>
          <rPr>
            <b/>
            <sz val="9"/>
            <color indexed="81"/>
            <rFont val="Tahoma"/>
            <family val="2"/>
          </rPr>
          <t>Joe Pickin:</t>
        </r>
        <r>
          <rPr>
            <sz val="9"/>
            <color indexed="81"/>
            <rFont val="Tahoma"/>
            <family val="2"/>
          </rPr>
          <t xml:space="preserve">
Not relevant data may be either out-of-scope (e.g. soil) or to be replaced by data from another source (e.g. hazardous wastes from Basel data).</t>
        </r>
      </text>
    </comment>
    <comment ref="F108" authorId="0" shapeId="0">
      <text>
        <r>
          <rPr>
            <b/>
            <sz val="9"/>
            <color indexed="81"/>
            <rFont val="Tahoma"/>
            <family val="2"/>
          </rPr>
          <t>Joe Pickin:</t>
        </r>
        <r>
          <rPr>
            <sz val="9"/>
            <color indexed="81"/>
            <rFont val="Tahoma"/>
            <family val="2"/>
          </rPr>
          <t xml:space="preserve">
SV reports this is from C&amp;D recovery operations. It is therefore in the NWDS scope.</t>
        </r>
      </text>
    </comment>
    <comment ref="F118" authorId="0" shapeId="0">
      <text>
        <r>
          <rPr>
            <b/>
            <sz val="9"/>
            <color indexed="81"/>
            <rFont val="Tahoma"/>
            <family val="2"/>
          </rPr>
          <t>Joe Pickin:</t>
        </r>
        <r>
          <rPr>
            <sz val="9"/>
            <color indexed="81"/>
            <rFont val="Tahoma"/>
            <family val="2"/>
          </rPr>
          <t xml:space="preserve">
SV report that this is from manufacturing processes &amp; is diverted from landfill. It is therefore in the NWDS scope</t>
        </r>
      </text>
    </comment>
    <comment ref="B121" authorId="0" shapeId="0">
      <text>
        <r>
          <rPr>
            <b/>
            <sz val="9"/>
            <color indexed="81"/>
            <rFont val="Tahoma"/>
            <family val="2"/>
          </rPr>
          <t>Joe Pickin:</t>
        </r>
        <r>
          <rPr>
            <sz val="9"/>
            <color indexed="81"/>
            <rFont val="Tahoma"/>
            <family val="2"/>
          </rPr>
          <t xml:space="preserve">
SV reports this is from C&amp;D recovery operations. It is therefore in the NWDS scope.</t>
        </r>
      </text>
    </comment>
    <comment ref="F126" authorId="0" shapeId="0">
      <text>
        <r>
          <rPr>
            <b/>
            <sz val="9"/>
            <color indexed="81"/>
            <rFont val="Tahoma"/>
            <family val="2"/>
          </rPr>
          <t>Joe Pickin:</t>
        </r>
        <r>
          <rPr>
            <sz val="9"/>
            <color indexed="81"/>
            <rFont val="Tahoma"/>
            <family val="2"/>
          </rPr>
          <t xml:space="preserve">
SV reports that this is unspecified mixed paper as reported by reprocessors.</t>
        </r>
      </text>
    </comment>
    <comment ref="C130" authorId="0" shapeId="0">
      <text>
        <r>
          <rPr>
            <b/>
            <sz val="9"/>
            <color indexed="81"/>
            <rFont val="Tahoma"/>
            <family val="2"/>
          </rPr>
          <t>Joe Pickin:</t>
        </r>
        <r>
          <rPr>
            <sz val="9"/>
            <color indexed="81"/>
            <rFont val="Tahoma"/>
            <family val="2"/>
          </rPr>
          <t xml:space="preserve">
Includes horse manure, which is out of scope (see 'Assumption(s)' above)
</t>
        </r>
      </text>
    </comment>
    <comment ref="B131" authorId="0" shapeId="0">
      <text>
        <r>
          <rPr>
            <b/>
            <sz val="9"/>
            <color indexed="81"/>
            <rFont val="Tahoma"/>
            <family val="2"/>
          </rPr>
          <t>Joe Pickin:</t>
        </r>
        <r>
          <rPr>
            <sz val="9"/>
            <color indexed="81"/>
            <rFont val="Tahoma"/>
            <family val="2"/>
          </rPr>
          <t xml:space="preserve">
SV report that this is from manufacturing processes &amp; is diverted from landfill. It is therefore in the NWDS scope</t>
        </r>
      </text>
    </comment>
    <comment ref="B139" authorId="0" shapeId="0">
      <text>
        <r>
          <rPr>
            <b/>
            <sz val="9"/>
            <color indexed="81"/>
            <rFont val="Tahoma"/>
            <family val="2"/>
          </rPr>
          <t>Joe Pickin:</t>
        </r>
        <r>
          <rPr>
            <sz val="9"/>
            <color indexed="81"/>
            <rFont val="Tahoma"/>
            <family val="2"/>
          </rPr>
          <t xml:space="preserve">
SV reports that this is unspecified mixed paper as reported by reprocessors.</t>
        </r>
      </text>
    </comment>
  </commentList>
</comments>
</file>

<file path=xl/comments5.xml><?xml version="1.0" encoding="utf-8"?>
<comments xmlns="http://schemas.openxmlformats.org/spreadsheetml/2006/main">
  <authors>
    <author>Joe Pickin</author>
  </authors>
  <commentList>
    <comment ref="C99" authorId="0" shapeId="0">
      <text>
        <r>
          <rPr>
            <b/>
            <sz val="9"/>
            <color indexed="81"/>
            <rFont val="Tahoma"/>
            <family val="2"/>
          </rPr>
          <t>Joe Pickin:</t>
        </r>
        <r>
          <rPr>
            <sz val="9"/>
            <color indexed="81"/>
            <rFont val="Tahoma"/>
            <family val="2"/>
          </rPr>
          <t xml:space="preserve">
WA rubber is understood to be tyres only. Waste tyres tonnages are captured via Basel data</t>
        </r>
      </text>
    </comment>
  </commentList>
</comments>
</file>

<file path=xl/comments6.xml><?xml version="1.0" encoding="utf-8"?>
<comments xmlns="http://schemas.openxmlformats.org/spreadsheetml/2006/main">
  <authors>
    <author>Joe Pickin</author>
  </authors>
  <commentList>
    <comment ref="C121" authorId="0" shapeId="0">
      <text>
        <r>
          <rPr>
            <b/>
            <sz val="9"/>
            <color indexed="81"/>
            <rFont val="Tahoma"/>
            <family val="2"/>
          </rPr>
          <t>Joe Pickin:</t>
        </r>
        <r>
          <rPr>
            <sz val="9"/>
            <color indexed="81"/>
            <rFont val="Tahoma"/>
            <family val="2"/>
          </rPr>
          <t xml:space="preserve">
Data not released by state due to commercial confidentiality reasons (Craig Heidrich, CEO of ADAA, phone call with Joe Pickin of the project team, 30/11/12)</t>
        </r>
      </text>
    </comment>
    <comment ref="H121" authorId="0" shapeId="0">
      <text>
        <r>
          <rPr>
            <b/>
            <sz val="9"/>
            <color indexed="81"/>
            <rFont val="Tahoma"/>
            <family val="2"/>
          </rPr>
          <t>Joe Pickin:</t>
        </r>
        <r>
          <rPr>
            <sz val="9"/>
            <color indexed="81"/>
            <rFont val="Tahoma"/>
            <family val="2"/>
          </rPr>
          <t xml:space="preserve">
These quantities include some material generated in previous years and removed from 'storage'.</t>
        </r>
      </text>
    </comment>
    <comment ref="F131" authorId="0" shapeId="0">
      <text>
        <r>
          <rPr>
            <b/>
            <sz val="9"/>
            <color indexed="81"/>
            <rFont val="Tahoma"/>
            <family val="2"/>
          </rPr>
          <t>Joe Pickin:</t>
        </r>
        <r>
          <rPr>
            <sz val="9"/>
            <color indexed="81"/>
            <rFont val="Tahoma"/>
            <family val="2"/>
          </rPr>
          <t xml:space="preserve">
'Storage' is counted as disposal</t>
        </r>
      </text>
    </comment>
    <comment ref="F169" authorId="0" shapeId="0">
      <text>
        <r>
          <rPr>
            <b/>
            <sz val="9"/>
            <color indexed="81"/>
            <rFont val="Tahoma"/>
            <family val="2"/>
          </rPr>
          <t>Joe Pickin:</t>
        </r>
        <r>
          <rPr>
            <sz val="9"/>
            <color indexed="81"/>
            <rFont val="Tahoma"/>
            <family val="2"/>
          </rPr>
          <t xml:space="preserve">
The correct value is the one used by DoE in calculating the values in Step 1</t>
        </r>
      </text>
    </comment>
    <comment ref="C206" authorId="0" shapeId="0">
      <text>
        <r>
          <rPr>
            <b/>
            <sz val="9"/>
            <color indexed="81"/>
            <rFont val="Tahoma"/>
            <family val="2"/>
          </rPr>
          <t>Joe Pickin:</t>
        </r>
        <r>
          <rPr>
            <sz val="9"/>
            <color indexed="81"/>
            <rFont val="Tahoma"/>
            <family val="2"/>
          </rPr>
          <t xml:space="preserve">
Class II MSW is from councils that include food waste in an organics collection system. The proportion of waste so collected is unknown and is ignored here, but may be 5-10%. Ignoring this fraction will slightly exaggerate food waste 'recovery' via landfill gas at the expense of other organic materials. An inquiry has been made with Mark Hunstone of the Department about potentially obtaining data on this matter in the future via NGERS. </t>
        </r>
      </text>
    </comment>
    <comment ref="R366" authorId="0" shapeId="0">
      <text>
        <r>
          <rPr>
            <b/>
            <sz val="9"/>
            <color indexed="81"/>
            <rFont val="Tahoma"/>
            <family val="2"/>
          </rPr>
          <t>Joe Pickin:</t>
        </r>
        <r>
          <rPr>
            <sz val="9"/>
            <color indexed="81"/>
            <rFont val="Tahoma"/>
            <family val="2"/>
          </rPr>
          <t xml:space="preserve">
A subsequent report does not contain the same level of site-by-site detail. See http://www.bioenergyaustralia.org/data/reports/BIOENERGY%20IN%20AUSTRALIA%20Rev%201.pdf</t>
        </r>
      </text>
    </comment>
    <comment ref="H421" authorId="0" shapeId="0">
      <text>
        <r>
          <rPr>
            <b/>
            <sz val="9"/>
            <color indexed="81"/>
            <rFont val="Tahoma"/>
            <family val="2"/>
          </rPr>
          <t>Joe Pickin:</t>
        </r>
        <r>
          <rPr>
            <sz val="9"/>
            <color indexed="81"/>
            <rFont val="Tahoma"/>
            <family val="2"/>
          </rPr>
          <t xml:space="preserve">
This is the proportion of the tracked tonnes sent to  'landfill' or 'thermal destruction' (other than those allocated to 'chemical/physical treatment', 'transfer or storage' or 'other')</t>
        </r>
      </text>
    </comment>
    <comment ref="M422" authorId="0" shapeId="0">
      <text>
        <r>
          <rPr>
            <b/>
            <sz val="9"/>
            <color indexed="81"/>
            <rFont val="Tahoma"/>
            <family val="2"/>
          </rPr>
          <t>Joe Pickin:</t>
        </r>
        <r>
          <rPr>
            <sz val="9"/>
            <color indexed="81"/>
            <rFont val="Tahoma"/>
            <family val="2"/>
          </rPr>
          <t xml:space="preserve">
As there is no energy recovery, this is 1 minus the proportion sent for disposal</t>
        </r>
      </text>
    </comment>
    <comment ref="H445" authorId="0" shapeId="0">
      <text>
        <r>
          <rPr>
            <b/>
            <sz val="9"/>
            <color indexed="81"/>
            <rFont val="Tahoma"/>
            <family val="2"/>
          </rPr>
          <t>Joe Pickin:</t>
        </r>
        <r>
          <rPr>
            <sz val="9"/>
            <color indexed="81"/>
            <rFont val="Tahoma"/>
            <family val="2"/>
          </rPr>
          <t xml:space="preserve">
At standard temperature &amp; pressure</t>
        </r>
      </text>
    </comment>
    <comment ref="R446" authorId="0" shapeId="0">
      <text>
        <r>
          <rPr>
            <b/>
            <sz val="9"/>
            <color indexed="81"/>
            <rFont val="Tahoma"/>
            <family val="2"/>
          </rPr>
          <t>Joe Pickin:</t>
        </r>
        <r>
          <rPr>
            <sz val="9"/>
            <color indexed="81"/>
            <rFont val="Tahoma"/>
            <family val="2"/>
          </rPr>
          <t xml:space="preserve">
NSW &amp; Qld don't track contaminated soil; WA does not record source sectors. 2012-13 data used in preference to 2014-15 data because Vic data for the latter year did not record source sector for most transport certificates. </t>
        </r>
      </text>
    </comment>
  </commentList>
</comments>
</file>

<file path=xl/comments7.xml><?xml version="1.0" encoding="utf-8"?>
<comments xmlns="http://schemas.openxmlformats.org/spreadsheetml/2006/main">
  <authors>
    <author>Joe Pickin</author>
  </authors>
  <commentList>
    <comment ref="C20" authorId="0" shapeId="0">
      <text>
        <r>
          <rPr>
            <b/>
            <sz val="9"/>
            <color indexed="81"/>
            <rFont val="Tahoma"/>
            <family val="2"/>
          </rPr>
          <t>Joe Pickin:</t>
        </r>
        <r>
          <rPr>
            <sz val="9"/>
            <color indexed="81"/>
            <rFont val="Tahoma"/>
            <family val="2"/>
          </rPr>
          <t xml:space="preserve">
There is insufficent data to distinguish the tonnes of biosolids that are uncontaminated. All biosolids are therefore included in the hazardous waste type ‘Other soil/sludges’ consistent with Basel reporting.</t>
        </r>
      </text>
    </comment>
  </commentList>
</comments>
</file>

<file path=xl/comments8.xml><?xml version="1.0" encoding="utf-8"?>
<comments xmlns="http://schemas.openxmlformats.org/spreadsheetml/2006/main">
  <authors>
    <author>Joe Pickin</author>
  </authors>
  <commentList>
    <comment ref="C20" authorId="0" shapeId="0">
      <text>
        <r>
          <rPr>
            <b/>
            <sz val="9"/>
            <color indexed="81"/>
            <rFont val="Tahoma"/>
            <family val="2"/>
          </rPr>
          <t>Joe Pickin:</t>
        </r>
        <r>
          <rPr>
            <sz val="9"/>
            <color indexed="81"/>
            <rFont val="Tahoma"/>
            <family val="2"/>
          </rPr>
          <t xml:space="preserve">
There is insufficent data to distinguish the tonnes of biosolids that are uncontaminated. All biosolids are therefore included in the hazardous waste type ‘Other soil/sludges’ consistent with Basel reporting.</t>
        </r>
      </text>
    </comment>
  </commentList>
</comments>
</file>

<file path=xl/comments9.xml><?xml version="1.0" encoding="utf-8"?>
<comments xmlns="http://schemas.openxmlformats.org/spreadsheetml/2006/main">
  <authors>
    <author>Joe Pickin</author>
  </authors>
  <commentList>
    <comment ref="C20" authorId="0" shapeId="0">
      <text>
        <r>
          <rPr>
            <b/>
            <sz val="9"/>
            <color indexed="81"/>
            <rFont val="Tahoma"/>
            <family val="2"/>
          </rPr>
          <t>Joe Pickin:</t>
        </r>
        <r>
          <rPr>
            <sz val="9"/>
            <color indexed="81"/>
            <rFont val="Tahoma"/>
            <family val="2"/>
          </rPr>
          <t xml:space="preserve">
There is insufficent data to distinguish the tonnes of biosolids that are uncontaminated. All biosolids are therefore included in the hazardous waste type ‘Other soil/sludges’ consistent with Basel reporting.</t>
        </r>
      </text>
    </comment>
  </commentList>
</comments>
</file>

<file path=xl/sharedStrings.xml><?xml version="1.0" encoding="utf-8"?>
<sst xmlns="http://schemas.openxmlformats.org/spreadsheetml/2006/main" count="9276" uniqueCount="1456">
  <si>
    <t>Intro</t>
  </si>
  <si>
    <t>Biosolids</t>
  </si>
  <si>
    <t>Fly ash</t>
  </si>
  <si>
    <t>ACT</t>
  </si>
  <si>
    <t>NSW</t>
  </si>
  <si>
    <t>NT</t>
  </si>
  <si>
    <t>Qld</t>
  </si>
  <si>
    <t>SA</t>
  </si>
  <si>
    <t>Tas</t>
  </si>
  <si>
    <t>Vic</t>
  </si>
  <si>
    <t>Source</t>
  </si>
  <si>
    <t>Victoria</t>
  </si>
  <si>
    <t>Key:</t>
  </si>
  <si>
    <t>Green font</t>
  </si>
  <si>
    <t>Red font</t>
  </si>
  <si>
    <t>Grey font</t>
  </si>
  <si>
    <t>MSW</t>
  </si>
  <si>
    <t>C&amp;I</t>
  </si>
  <si>
    <t>C&amp;D</t>
  </si>
  <si>
    <t>Paper/cardboard</t>
  </si>
  <si>
    <t>Paper &amp; cardboard</t>
  </si>
  <si>
    <t>Food waste</t>
  </si>
  <si>
    <t>Organics</t>
  </si>
  <si>
    <t>Garden waste</t>
  </si>
  <si>
    <t>Wood/timber</t>
  </si>
  <si>
    <t>Masonry materials</t>
  </si>
  <si>
    <t>Textiles</t>
  </si>
  <si>
    <t>Other</t>
  </si>
  <si>
    <t>Metals</t>
  </si>
  <si>
    <t>Other organic</t>
  </si>
  <si>
    <t>Glass</t>
  </si>
  <si>
    <t>Plastic (codes 1-3)</t>
  </si>
  <si>
    <t>Plastics</t>
  </si>
  <si>
    <t>Other plastic</t>
  </si>
  <si>
    <t>Clean excavated materials</t>
  </si>
  <si>
    <t>Hazardous</t>
  </si>
  <si>
    <t>Concrete/bricks/asphalt</t>
  </si>
  <si>
    <t>Total (check)</t>
  </si>
  <si>
    <t>Energy recovery</t>
  </si>
  <si>
    <t>Tyres</t>
  </si>
  <si>
    <t>Industrial</t>
  </si>
  <si>
    <t xml:space="preserve"> Asphalt </t>
  </si>
  <si>
    <t>Asphalt</t>
  </si>
  <si>
    <t xml:space="preserve"> Brick / brick rubble </t>
  </si>
  <si>
    <t>Bricks</t>
  </si>
  <si>
    <t xml:space="preserve"> Concrete </t>
  </si>
  <si>
    <t>Concrete</t>
  </si>
  <si>
    <t>Rubble (incl. non-haz. foundry sands)</t>
  </si>
  <si>
    <t xml:space="preserve"> Plasterboard </t>
  </si>
  <si>
    <t>Plasterboard &amp; cement sheeting</t>
  </si>
  <si>
    <t xml:space="preserve"> Rock / excavation stone </t>
  </si>
  <si>
    <t xml:space="preserve"> Aluminium (incl. cans) </t>
  </si>
  <si>
    <t>Aluminium</t>
  </si>
  <si>
    <t xml:space="preserve"> Batteries </t>
  </si>
  <si>
    <t>Non-ferrous metals (ex. aluminium)</t>
  </si>
  <si>
    <t xml:space="preserve"> Car bodies </t>
  </si>
  <si>
    <t>Steel</t>
  </si>
  <si>
    <t xml:space="preserve"> Non-ferrous </t>
  </si>
  <si>
    <t xml:space="preserve"> Other &amp; mixed metals </t>
  </si>
  <si>
    <t xml:space="preserve"> Steel (incl. packaging steel) </t>
  </si>
  <si>
    <t xml:space="preserve"> Food organics </t>
  </si>
  <si>
    <t>Food organics</t>
  </si>
  <si>
    <t xml:space="preserve"> Garden organics </t>
  </si>
  <si>
    <t>Garden organics</t>
  </si>
  <si>
    <t xml:space="preserve"> Other &amp; mixed organic waste </t>
  </si>
  <si>
    <t>Other organics</t>
  </si>
  <si>
    <t xml:space="preserve"> Sawdust &amp; other forestry residuals </t>
  </si>
  <si>
    <t>Timber</t>
  </si>
  <si>
    <t xml:space="preserve"> Wood &amp; timber (other than packaging) </t>
  </si>
  <si>
    <t xml:space="preserve"> Wood &amp; timber pallets / packaging </t>
  </si>
  <si>
    <t>Glass containers</t>
  </si>
  <si>
    <t>Mixed glass waste</t>
  </si>
  <si>
    <t>Sheet glass</t>
  </si>
  <si>
    <t xml:space="preserve"> Cardboard / packaging paper </t>
  </si>
  <si>
    <t>Cardboard</t>
  </si>
  <si>
    <t xml:space="preserve"> Newsprint / magazines </t>
  </si>
  <si>
    <t>Newsprint and magazines</t>
  </si>
  <si>
    <t xml:space="preserve"> Other (mixed paper) </t>
  </si>
  <si>
    <t xml:space="preserve"> Printing &amp; writing paper </t>
  </si>
  <si>
    <t>Office paper</t>
  </si>
  <si>
    <t>Tyres &amp; other rubber</t>
  </si>
  <si>
    <t>Other rubber waste</t>
  </si>
  <si>
    <t>Rubber tyres</t>
  </si>
  <si>
    <t>Leather &amp; textiles</t>
  </si>
  <si>
    <t>Industrial textiles</t>
  </si>
  <si>
    <t>Clothing (rags)</t>
  </si>
  <si>
    <t xml:space="preserve"> Plastics </t>
  </si>
  <si>
    <t>Mattresses</t>
  </si>
  <si>
    <t>Total</t>
  </si>
  <si>
    <t>Liquid paperboard (LPB)</t>
  </si>
  <si>
    <t>Polyethylene terephthalate (PET)</t>
  </si>
  <si>
    <t>High density polyethylene (HDPE)</t>
  </si>
  <si>
    <t>Polyvinyl chloride (PVC)</t>
  </si>
  <si>
    <t>Low density polyethylene (LDPE)</t>
  </si>
  <si>
    <t>Polypropylene (PP)</t>
  </si>
  <si>
    <t>Polystyrene (PS)</t>
  </si>
  <si>
    <t>Other plastics</t>
  </si>
  <si>
    <t>Asbestos</t>
  </si>
  <si>
    <t xml:space="preserve">Other materials reported by jurisdiction </t>
  </si>
  <si>
    <t>Date of entry</t>
  </si>
  <si>
    <t>Units</t>
  </si>
  <si>
    <t>Percentage by weight</t>
  </si>
  <si>
    <t>Tonnes</t>
  </si>
  <si>
    <t>Adjusted data</t>
  </si>
  <si>
    <t>Description of data input</t>
  </si>
  <si>
    <t>Material type</t>
  </si>
  <si>
    <t xml:space="preserve"> Mixed C&amp;D waste </t>
  </si>
  <si>
    <t>n/a</t>
  </si>
  <si>
    <t xml:space="preserve"> Soil / sand</t>
  </si>
  <si>
    <t>SV 'other organics' category includes horse manure, which is out of the NWDS scope</t>
  </si>
  <si>
    <t xml:space="preserve">kg per capita </t>
  </si>
  <si>
    <t>Recycling (tonnes)</t>
  </si>
  <si>
    <t>All</t>
  </si>
  <si>
    <t>Disposal</t>
  </si>
  <si>
    <t>Recycling</t>
  </si>
  <si>
    <t>Sub-total</t>
  </si>
  <si>
    <t>Recovery rate</t>
  </si>
  <si>
    <t>Generation</t>
  </si>
  <si>
    <t>Plastics codes 1-3</t>
  </si>
  <si>
    <t>Plastics codes 4-7</t>
  </si>
  <si>
    <t>Quantity of horse manure in 'other organics'</t>
  </si>
  <si>
    <t>Horse manure recycled</t>
  </si>
  <si>
    <t>NWDS material type or category</t>
  </si>
  <si>
    <t>Plastics (codes 1-3)</t>
  </si>
  <si>
    <t>Plastics (codes 4-7)</t>
  </si>
  <si>
    <t>Step 1</t>
  </si>
  <si>
    <t>Step 2</t>
  </si>
  <si>
    <t>Step 3</t>
  </si>
  <si>
    <t>Step 4</t>
  </si>
  <si>
    <t>Average percentage split</t>
  </si>
  <si>
    <t>Step 5</t>
  </si>
  <si>
    <t>Sustainability Victoria</t>
  </si>
  <si>
    <t>Step 6</t>
  </si>
  <si>
    <t>Convert composition proportions to NWDS types or categories</t>
  </si>
  <si>
    <t>Recategorise wastes as mapped; subtract horse manure from 'other organics'; share out 'Other (mixed paper)' and 'Other and mixed metals'.</t>
  </si>
  <si>
    <t>National Environment Protection (Movement of Controlled Waste between States and Territories) Measure</t>
  </si>
  <si>
    <t>Tonnes generated</t>
  </si>
  <si>
    <t>"15" code</t>
  </si>
  <si>
    <t>NEPM 15 waste description</t>
  </si>
  <si>
    <t>"75" code</t>
  </si>
  <si>
    <t>Waste description (NEPM Schedule A, List 1)</t>
  </si>
  <si>
    <t>Adjusted ACT data</t>
  </si>
  <si>
    <t>A</t>
  </si>
  <si>
    <t xml:space="preserve">Plating and heat treatment </t>
  </si>
  <si>
    <t>A100</t>
  </si>
  <si>
    <t>Waste resulting from surface treatment of metals and plastics</t>
  </si>
  <si>
    <t>A110</t>
  </si>
  <si>
    <t>Waste from heat treatment and tempering operations containing cyanides</t>
  </si>
  <si>
    <t>A130</t>
  </si>
  <si>
    <t>Cyanides (inorganic)</t>
  </si>
  <si>
    <t>Waste pharmaceuticals, drugs and medicines</t>
  </si>
  <si>
    <t>B</t>
  </si>
  <si>
    <t>Acids</t>
  </si>
  <si>
    <t>B100</t>
  </si>
  <si>
    <t>Acidic solutions or acids in solid form</t>
  </si>
  <si>
    <t>C</t>
  </si>
  <si>
    <t>Alkalis</t>
  </si>
  <si>
    <t>C100</t>
  </si>
  <si>
    <t>Basic solutions or bases in solid form</t>
  </si>
  <si>
    <t>D</t>
  </si>
  <si>
    <t>Inorganic chemicals</t>
  </si>
  <si>
    <t>D100</t>
  </si>
  <si>
    <t>Metal carbonyls</t>
  </si>
  <si>
    <t>D110</t>
  </si>
  <si>
    <t>Inorganic fluorine compounds excluding calcium fluoride</t>
  </si>
  <si>
    <t>D120</t>
  </si>
  <si>
    <t>Mercury; mercury compounds</t>
  </si>
  <si>
    <t>D130</t>
  </si>
  <si>
    <t>Arsenic; arsenic compounds</t>
  </si>
  <si>
    <t>D140</t>
  </si>
  <si>
    <t>Chromium compounds (hexavalent and trivalent)</t>
  </si>
  <si>
    <t>D150</t>
  </si>
  <si>
    <t>Cadmium; cadmium compounds</t>
  </si>
  <si>
    <t>D160</t>
  </si>
  <si>
    <t>Beryllium; beryllium compounds</t>
  </si>
  <si>
    <t>D170</t>
  </si>
  <si>
    <t>Antimony; antimony compounds</t>
  </si>
  <si>
    <t>D180</t>
  </si>
  <si>
    <t>Thallium; thallium compounds</t>
  </si>
  <si>
    <t>D190</t>
  </si>
  <si>
    <t>Copper compounds</t>
  </si>
  <si>
    <t>D200</t>
  </si>
  <si>
    <t>Cobalt compounds</t>
  </si>
  <si>
    <t>D210</t>
  </si>
  <si>
    <t>Nickel compounds</t>
  </si>
  <si>
    <t>D220</t>
  </si>
  <si>
    <t>Lead; lead compounds</t>
  </si>
  <si>
    <t>D230</t>
  </si>
  <si>
    <t>Zinc compounds</t>
  </si>
  <si>
    <t>D240</t>
  </si>
  <si>
    <t>Selenium; selenium compounds</t>
  </si>
  <si>
    <t>D250</t>
  </si>
  <si>
    <t>Tellurium; tellurium compounds</t>
  </si>
  <si>
    <t>D270</t>
  </si>
  <si>
    <t>Vanadium compounds</t>
  </si>
  <si>
    <t>D290</t>
  </si>
  <si>
    <t>Barium compounds (excluding barium sulphate)</t>
  </si>
  <si>
    <t>D300</t>
  </si>
  <si>
    <t>Non-toxic salts</t>
  </si>
  <si>
    <t>D310</t>
  </si>
  <si>
    <t>Boron compounds</t>
  </si>
  <si>
    <t>D330</t>
  </si>
  <si>
    <t>Inorganic sulfides</t>
  </si>
  <si>
    <t>D340</t>
  </si>
  <si>
    <t>Perchlorates</t>
  </si>
  <si>
    <t>D350</t>
  </si>
  <si>
    <t>Chlorates</t>
  </si>
  <si>
    <t>D360</t>
  </si>
  <si>
    <t>Phosphorus compounds excluding mineral phosphates</t>
  </si>
  <si>
    <t>E</t>
  </si>
  <si>
    <t>Reactive chemicals</t>
  </si>
  <si>
    <t>E100</t>
  </si>
  <si>
    <t>Waste containing peroxides other than hydrogen peroxide</t>
  </si>
  <si>
    <t>F</t>
  </si>
  <si>
    <t>Paints, resins, inks, organic sludges</t>
  </si>
  <si>
    <t>F100</t>
  </si>
  <si>
    <t>Waste from the production, formulation and use of inks, dyes, pigments, paints, lacquers and varnish</t>
  </si>
  <si>
    <t>F110</t>
  </si>
  <si>
    <t>Waste from the production, formulation and use of resins, latex, plasticisers, glues and adhesives</t>
  </si>
  <si>
    <t>G</t>
  </si>
  <si>
    <t>Organic solvents</t>
  </si>
  <si>
    <t>G100</t>
  </si>
  <si>
    <t>Ethers</t>
  </si>
  <si>
    <t>G110</t>
  </si>
  <si>
    <t>Organic solvents excluding halogenated solvents</t>
  </si>
  <si>
    <t>G150</t>
  </si>
  <si>
    <t>Halogenated organic solvents</t>
  </si>
  <si>
    <t>G160</t>
  </si>
  <si>
    <t>Waste from the production, formulation and use of organic solvents</t>
  </si>
  <si>
    <t>H</t>
  </si>
  <si>
    <t>Pesticides</t>
  </si>
  <si>
    <t>H100</t>
  </si>
  <si>
    <t>Waste from the production, formulation and use of biocides and phytopharmaceuticals</t>
  </si>
  <si>
    <t>H110</t>
  </si>
  <si>
    <t>Organic phosphorous compounds</t>
  </si>
  <si>
    <t>H170</t>
  </si>
  <si>
    <t>Waste from manufacture, formulation and use of wood-preserving chemicals</t>
  </si>
  <si>
    <t>J</t>
  </si>
  <si>
    <t>Oils</t>
  </si>
  <si>
    <t>J100</t>
  </si>
  <si>
    <t>Waste mineral oils unfit for their original intended use</t>
  </si>
  <si>
    <t>J120</t>
  </si>
  <si>
    <t>Waste oil/water, hydrocarbons/water mixtures or emulsions</t>
  </si>
  <si>
    <t>J160</t>
  </si>
  <si>
    <t>Waste tarry residues arising from refining, distillation, and any pyrolytic treatment</t>
  </si>
  <si>
    <t>K</t>
  </si>
  <si>
    <t>Putrescible/ organic waste</t>
  </si>
  <si>
    <t>K100</t>
  </si>
  <si>
    <t>Animal effluent and residues (abattoir effluent, poultry and fish processing wastes)</t>
  </si>
  <si>
    <t>K110</t>
  </si>
  <si>
    <t>Grease trap waste</t>
  </si>
  <si>
    <t>K140</t>
  </si>
  <si>
    <t>Tannery wastes (including leather dust, ash, sludges and flours)</t>
  </si>
  <si>
    <t>K190</t>
  </si>
  <si>
    <t>Wool scouring wastes</t>
  </si>
  <si>
    <t>M</t>
  </si>
  <si>
    <t>Organic chemicals</t>
  </si>
  <si>
    <t>M100</t>
  </si>
  <si>
    <t>Waste substances and articles containing or contaminated with polychlorinated biphenyls, polychlorinated napthalenes, polychlorinated terphenyls and/or polybrominated biphenyls</t>
  </si>
  <si>
    <t>M150</t>
  </si>
  <si>
    <t>Phenols, phenol compounds including chlorophenols</t>
  </si>
  <si>
    <t>M160</t>
  </si>
  <si>
    <t>Organo halogen compounds—other than substances referred to in this Table or Table 2</t>
  </si>
  <si>
    <t>M170</t>
  </si>
  <si>
    <t>Polychlorinated dibenzo-furan (any congener)</t>
  </si>
  <si>
    <t>M180</t>
  </si>
  <si>
    <t>Polychlorinated dibenzo-p-dioxin (any congener)</t>
  </si>
  <si>
    <t>M210</t>
  </si>
  <si>
    <t>Cyanides (organic)</t>
  </si>
  <si>
    <t>M220</t>
  </si>
  <si>
    <t>Isocyanate compounds</t>
  </si>
  <si>
    <t>M230</t>
  </si>
  <si>
    <t>Triethylamine catalysts for setting foundry sands</t>
  </si>
  <si>
    <t>M250</t>
  </si>
  <si>
    <t>Surface active agents (surfactants), containing principally organic constituents and which may contain metals and inorganic materials</t>
  </si>
  <si>
    <t>M260</t>
  </si>
  <si>
    <t>Highly odorous organic chemicals (including mercaptans and acrylates)</t>
  </si>
  <si>
    <t>N</t>
  </si>
  <si>
    <t>Soil/ sludge</t>
  </si>
  <si>
    <t>N100</t>
  </si>
  <si>
    <t>Containers and drums that are contaminated with residues of substances referred to in this list</t>
  </si>
  <si>
    <t>N120</t>
  </si>
  <si>
    <t>Soils contaminated with a controlled waste</t>
  </si>
  <si>
    <t>N140</t>
  </si>
  <si>
    <t>Fire debris and fire wash waters</t>
  </si>
  <si>
    <t>N150</t>
  </si>
  <si>
    <t>Fly ash, excluding fly ash generated from Australian coal fired power stations</t>
  </si>
  <si>
    <t>N160</t>
  </si>
  <si>
    <t>Encapsulated, chemically-fixed, solidified or polymerised wastes referred to in this list</t>
  </si>
  <si>
    <t>N190</t>
  </si>
  <si>
    <t>Filter cake contaminated with residues of substances referred to in this list</t>
  </si>
  <si>
    <t>N205</t>
  </si>
  <si>
    <t>Residues from industrial waste treatment/disposal operations</t>
  </si>
  <si>
    <t>N220</t>
  </si>
  <si>
    <t>N230</t>
  </si>
  <si>
    <t>Ceramic-based fibres with physico-chemical characteristics similar to those of asbestos</t>
  </si>
  <si>
    <t>R</t>
  </si>
  <si>
    <t>Clinical and pharmaceutical</t>
  </si>
  <si>
    <t>R100</t>
  </si>
  <si>
    <t>Clinical and related wastes</t>
  </si>
  <si>
    <t>R120</t>
  </si>
  <si>
    <t>R140</t>
  </si>
  <si>
    <t>Waste from the production and preparation of pharmaceutical products</t>
  </si>
  <si>
    <t>T</t>
  </si>
  <si>
    <t>Miscellaneous</t>
  </si>
  <si>
    <t>T100</t>
  </si>
  <si>
    <t>Waste chemical substances arising from research and development or teaching activities, including those which are not identified and/or are new and whose effects on human health and/or the environment are not known</t>
  </si>
  <si>
    <t>T120</t>
  </si>
  <si>
    <t>Waste from the production, formulation and use of photographic chemicals and processing materials</t>
  </si>
  <si>
    <t>T140</t>
  </si>
  <si>
    <t>T200</t>
  </si>
  <si>
    <t>Waste of an explosive nature not subject to other legislation</t>
  </si>
  <si>
    <t>Adjusted NSW data</t>
  </si>
  <si>
    <t>Adjusted NT data</t>
  </si>
  <si>
    <t>Adjusted Qld data</t>
  </si>
  <si>
    <t>Adjusted SA data</t>
  </si>
  <si>
    <t>Adjusted Tas data</t>
  </si>
  <si>
    <t>Adjusted Vic data</t>
  </si>
  <si>
    <t>Adjusted WA data</t>
  </si>
  <si>
    <t/>
  </si>
  <si>
    <t>Comments or rationale</t>
  </si>
  <si>
    <t>Metadata</t>
  </si>
  <si>
    <t>Calculation steps, assumptions and classifications</t>
  </si>
  <si>
    <t>Assumption(s)</t>
  </si>
  <si>
    <t>Classifications</t>
  </si>
  <si>
    <t>Victorian material categories map to NWDS categories as shown below</t>
  </si>
  <si>
    <t>Victorian material categories</t>
  </si>
  <si>
    <t>The waste compositional breakdowns are applicable to EPA waste data net of cover materials from offsite sources</t>
  </si>
  <si>
    <t>Data inputs &amp; calculations</t>
  </si>
  <si>
    <t>`</t>
  </si>
  <si>
    <t>Authorship and inquiries</t>
  </si>
  <si>
    <t>Hazardous waste data as included in Australia's report to the Basel Convention</t>
  </si>
  <si>
    <t>Basel data</t>
  </si>
  <si>
    <t>Western Australia</t>
  </si>
  <si>
    <t>Tasmania</t>
  </si>
  <si>
    <t>South Australia</t>
  </si>
  <si>
    <t>Queensland</t>
  </si>
  <si>
    <t>Northern Territory</t>
  </si>
  <si>
    <t>New South Wales</t>
  </si>
  <si>
    <t>Australian Capital Territory</t>
  </si>
  <si>
    <t>National waste data</t>
  </si>
  <si>
    <t>Assumption</t>
  </si>
  <si>
    <t>Waste to landfill</t>
  </si>
  <si>
    <t>Contaminated soils</t>
  </si>
  <si>
    <t>Other N</t>
  </si>
  <si>
    <t>Other soil/sludges</t>
  </si>
  <si>
    <t>Fate proportions (%)</t>
  </si>
  <si>
    <t>SV's 'other &amp; mixed metals' and 'other (mixed paper)' categories comprise the individually reported metal &amp; paper categories in proportion to the quantities individually reported.</t>
  </si>
  <si>
    <t>See 'Assumption(s)' above</t>
  </si>
  <si>
    <t>Liquid</t>
  </si>
  <si>
    <t>Solid</t>
  </si>
  <si>
    <t>Name, position &amp; organisation</t>
  </si>
  <si>
    <t>Person entering data</t>
  </si>
  <si>
    <t>Assumptions</t>
  </si>
  <si>
    <t>The ultimate fate of hazardous waste sent for chemical or physical treatment is proportionally identical to that of hazardous waste that is not so treated.</t>
  </si>
  <si>
    <t>The quantity of hazardous waste sent for storage and transfer should be subtracted from the total to avoid double-counting.</t>
  </si>
  <si>
    <t>Joe Pickin</t>
  </si>
  <si>
    <t>How many organisations or sections of government need to separately validate part of the calculation steps and data?</t>
  </si>
  <si>
    <t>Yes, I believe the calculation steps, assumptions &amp; classifications below reasonably convert our waste data for this year to the form required for the national waste data set.</t>
  </si>
  <si>
    <t>No, I don't believe the calculation steps, assumptions &amp; classifications below reasonably convert our waste data for this year to the form required for the national waste data set.</t>
  </si>
  <si>
    <t xml:space="preserve">When you have updated the data in the white cells, please confirm below </t>
  </si>
  <si>
    <t>(Note: For hazardous waste, validation of the calculation steps, assumptions &amp; classifications is not required)</t>
  </si>
  <si>
    <t>: data input</t>
  </si>
  <si>
    <t>: assumption</t>
  </si>
  <si>
    <t>: used in the relevant output worksheet</t>
  </si>
  <si>
    <t>: data check or interim calculation (ignore)</t>
  </si>
  <si>
    <t>White cell</t>
  </si>
  <si>
    <t>: Enter jurisdictional data or information</t>
  </si>
  <si>
    <t>NEPM code</t>
  </si>
  <si>
    <t>DOC</t>
  </si>
  <si>
    <t>DOCf</t>
  </si>
  <si>
    <t>Food</t>
  </si>
  <si>
    <t>Sludge</t>
  </si>
  <si>
    <t>Nappies</t>
  </si>
  <si>
    <t>WA</t>
  </si>
  <si>
    <t>Fraction of methane in LFG</t>
  </si>
  <si>
    <t>GWP methane</t>
  </si>
  <si>
    <t>NT </t>
  </si>
  <si>
    <t>QLD</t>
  </si>
  <si>
    <t>TAS</t>
  </si>
  <si>
    <t>VIC</t>
  </si>
  <si>
    <t>Paper and paper board</t>
  </si>
  <si>
    <t>Garden and park</t>
  </si>
  <si>
    <t>Wood and wood waste</t>
  </si>
  <si>
    <t>Rubber and Leather</t>
  </si>
  <si>
    <t>Inert waste</t>
  </si>
  <si>
    <t>Check</t>
  </si>
  <si>
    <t>None</t>
  </si>
  <si>
    <t>Joe Pickin, Blue Environment</t>
  </si>
  <si>
    <t>DOC = degradable organic carbon; DOCf = proportion of DOC that degrades in landfill</t>
  </si>
  <si>
    <t>t CO2-e</t>
  </si>
  <si>
    <t>Factors for converting methane to carbon</t>
  </si>
  <si>
    <t>Tonnes of carbon</t>
  </si>
  <si>
    <t>Description of data output</t>
  </si>
  <si>
    <t>Carbon that may form methane</t>
  </si>
  <si>
    <t>Waste composition by jurisdiction</t>
  </si>
  <si>
    <t>Insert most recent data on landfill gas energy recovery</t>
  </si>
  <si>
    <t xml:space="preserve">Check: </t>
  </si>
  <si>
    <t>Kilograms of dissimilable carbon per tonne of waste</t>
  </si>
  <si>
    <t>Emissions are instantaneous. Gas collected in a given year is recovered from waste deposited in that year.</t>
  </si>
  <si>
    <t>All waste that generates methane subsequently burned for energy generation is recovered</t>
  </si>
  <si>
    <t>NGER waste mix &amp; composition data provide an adequate basis for this calculation</t>
  </si>
  <si>
    <t>Non-ferrous metals (ex. Al)</t>
  </si>
  <si>
    <t>Other paper</t>
  </si>
  <si>
    <t>Plastic packaging</t>
  </si>
  <si>
    <t>Packaging glass</t>
  </si>
  <si>
    <t>Other glass</t>
  </si>
  <si>
    <t>Unknown</t>
  </si>
  <si>
    <t>&lt;1</t>
  </si>
  <si>
    <t>C&amp;I landfill stream</t>
  </si>
  <si>
    <t>Kilotonnes</t>
  </si>
  <si>
    <t>Encycle/SRU categories</t>
  </si>
  <si>
    <t>The material categories in the report are identical to NWDS categories except where mapped below</t>
  </si>
  <si>
    <t>n/a - assumed to have the same composition as average waste</t>
  </si>
  <si>
    <r>
      <t xml:space="preserve">p.28 of Encycle Consulting &amp; SRU Consulting (2013) </t>
    </r>
    <r>
      <rPr>
        <i/>
        <sz val="10"/>
        <rFont val="Calibri"/>
        <family val="2"/>
        <scheme val="minor"/>
      </rPr>
      <t>A Study into Commercial and Industrial Waste and Recycling in Australia by Industry Division</t>
    </r>
    <r>
      <rPr>
        <sz val="10"/>
        <rFont val="Calibri"/>
        <family val="2"/>
        <scheme val="minor"/>
      </rPr>
      <t xml:space="preserve">, prepared for the DSEWPaC (now DoE), January, available at: www.environment.gov.au/system/files/resources/91b2180c-b805-44c5-adf7-adbf27a2847e/files/commercial-industrial-waste.pdf </t>
    </r>
  </si>
  <si>
    <t>Contents:</t>
  </si>
  <si>
    <t>Recovery</t>
  </si>
  <si>
    <t>Agriculture</t>
  </si>
  <si>
    <t>Composting</t>
  </si>
  <si>
    <t>Landfill</t>
  </si>
  <si>
    <t>Stockpile</t>
  </si>
  <si>
    <t>Unspecified</t>
  </si>
  <si>
    <t>Wet tonnes</t>
  </si>
  <si>
    <t>Biosolids partnership fate categories map to NWDS categories as shown below</t>
  </si>
  <si>
    <t>Biosolids Partnership</t>
  </si>
  <si>
    <t>NGER category</t>
  </si>
  <si>
    <t>NGER categories map to NWDS categories as below</t>
  </si>
  <si>
    <t>Quantity of waste landfilled in the reference year in NWDS categories, prior to subtraction of waste associated with energy recovery from landfill gas</t>
  </si>
  <si>
    <t>Step 4a</t>
  </si>
  <si>
    <t>Step 4b</t>
  </si>
  <si>
    <t>Calculate dissimilable carbon per tonne of waste (Vic)</t>
  </si>
  <si>
    <t>Calculate dissimilable carbon per tonne of waste for jurisdictions that do not have their own landfill composition breakdown, then convert to NWDS categories</t>
  </si>
  <si>
    <t>Calculate dissimilable carbon per tonne of material, then convert to NWDS categories</t>
  </si>
  <si>
    <t>Australia</t>
  </si>
  <si>
    <t>Victorian waste data - national display</t>
  </si>
  <si>
    <t>Estimated Resident Population (persons, original, stock_close)</t>
  </si>
  <si>
    <t>No. of persons</t>
  </si>
  <si>
    <t>Population data</t>
  </si>
  <si>
    <t>Disposal data</t>
  </si>
  <si>
    <t>Checks</t>
  </si>
  <si>
    <t>Despite the data, no recycling of C&amp;D plastic occurs in Tasmania. The relevant tonnes are from C&amp;I sources.</t>
  </si>
  <si>
    <t>Insert recent data on plastics recycling</t>
  </si>
  <si>
    <t>Calculate tonnages and correct Tasmanian data</t>
  </si>
  <si>
    <t>Generated</t>
  </si>
  <si>
    <t>Storage or disposal</t>
  </si>
  <si>
    <t>Fly ash generation and recycling</t>
  </si>
  <si>
    <t>Sources</t>
  </si>
  <si>
    <t>Recycled</t>
  </si>
  <si>
    <t>Insert recent national fly ash quantities by calendar year &amp; convert to financial year</t>
  </si>
  <si>
    <t>Insert recent data on fly ash recycling by jurisdiction where known</t>
  </si>
  <si>
    <t>Data supplied by SA and Qld Governments</t>
  </si>
  <si>
    <t>Insert recent data on power generation capacity</t>
  </si>
  <si>
    <t>Calculate recycling and disposal</t>
  </si>
  <si>
    <t>Disposal (tonnes)</t>
  </si>
  <si>
    <t>Excl. fly ash</t>
  </si>
  <si>
    <t>Incl. fly ash</t>
  </si>
  <si>
    <t>Landfill energy recovery (tonnes)</t>
  </si>
  <si>
    <t>All energy recovery (tonnes)</t>
  </si>
  <si>
    <t>Lookup references</t>
  </si>
  <si>
    <t>Liquid hazardous wastes</t>
  </si>
  <si>
    <t>Organic waste energy recovery in landfills</t>
  </si>
  <si>
    <t>Recycling data</t>
  </si>
  <si>
    <t>Energy recovery data</t>
  </si>
  <si>
    <t>Fly ash disposal and recycling (ADAA)</t>
  </si>
  <si>
    <t>Biosolids disposal and recycling (Biosolids Partnership)</t>
  </si>
  <si>
    <t>Total recycling; total organics processing</t>
  </si>
  <si>
    <t>Recycling by material (plastics, paper, glass, metals)</t>
  </si>
  <si>
    <t>APC materials are wholly from municipal sources</t>
  </si>
  <si>
    <t>No C&amp;D recycling occurred during the reference year</t>
  </si>
  <si>
    <t>Quantity of materials recycled in the reference year in NWDS categories</t>
  </si>
  <si>
    <t>Insert data on composting and other recycling</t>
  </si>
  <si>
    <t>Non Packaging Paper</t>
  </si>
  <si>
    <t>Packaging Paper</t>
  </si>
  <si>
    <t>Newspapers &amp; Magazines</t>
  </si>
  <si>
    <t>Other Paper</t>
  </si>
  <si>
    <t>Disposable contaminated paper</t>
  </si>
  <si>
    <t>Corrugated cardboard</t>
  </si>
  <si>
    <t>Food/Kitchen</t>
  </si>
  <si>
    <t>Vegetation/Garden</t>
  </si>
  <si>
    <t>Other organic wood timber</t>
  </si>
  <si>
    <t>Textiles clothing carpet</t>
  </si>
  <si>
    <t>Rubber Other</t>
  </si>
  <si>
    <t>Glass Misc / Other</t>
  </si>
  <si>
    <t>Plastic containers</t>
  </si>
  <si>
    <t>Film / Plastic Bags</t>
  </si>
  <si>
    <t>Polystyrene</t>
  </si>
  <si>
    <t>Plastic other</t>
  </si>
  <si>
    <t>Steel Cans / Packaging</t>
  </si>
  <si>
    <t>Ferrous</t>
  </si>
  <si>
    <t>Metals non-ferrous</t>
  </si>
  <si>
    <t>Concrete / cement</t>
  </si>
  <si>
    <t>Bricks /Tiles</t>
  </si>
  <si>
    <t>Plasterboard</t>
  </si>
  <si>
    <t>Soil</t>
  </si>
  <si>
    <t>E-waste</t>
  </si>
  <si>
    <t>Household appliances big and small</t>
  </si>
  <si>
    <t>Ceramics</t>
  </si>
  <si>
    <t>Fibreglass / fibreglass batts</t>
  </si>
  <si>
    <t>Residual / other miscellaneous</t>
  </si>
  <si>
    <t>Newspaper and magazines</t>
  </si>
  <si>
    <t>Disposable/contaminated  paper</t>
  </si>
  <si>
    <t>Garden/organics</t>
  </si>
  <si>
    <t>Other organic wood/timber</t>
  </si>
  <si>
    <t>Textiles/clothing/footwear/carpet</t>
  </si>
  <si>
    <t>Glass packaging/Glass containers</t>
  </si>
  <si>
    <t>Glass  Miscellaneous/Other</t>
  </si>
  <si>
    <t>PET other 1</t>
  </si>
  <si>
    <t>HDPE</t>
  </si>
  <si>
    <t>PVC packaging 3</t>
  </si>
  <si>
    <t>LDPE 4</t>
  </si>
  <si>
    <t>Polypropylene 5</t>
  </si>
  <si>
    <t>Polystyrene 6</t>
  </si>
  <si>
    <t>Film, plastic bags, soft plastic</t>
  </si>
  <si>
    <t>Liquidpaperboard</t>
  </si>
  <si>
    <t>Steel packaging</t>
  </si>
  <si>
    <t>Ferrous other</t>
  </si>
  <si>
    <t>Fibreglass</t>
  </si>
  <si>
    <t>Medical/sharps</t>
  </si>
  <si>
    <t>Chemicals</t>
  </si>
  <si>
    <t>Naturally excavated soil</t>
  </si>
  <si>
    <t>Soil/rubble/inert</t>
  </si>
  <si>
    <t>Cobbles/boulders</t>
  </si>
  <si>
    <t>Asphalt/road  construction</t>
  </si>
  <si>
    <t>Fibrous cement sheeting</t>
  </si>
  <si>
    <t>Fixtures/fittings</t>
  </si>
  <si>
    <t>Residual/Other Miscellaneous</t>
  </si>
  <si>
    <t>The average of the proportions identified in the ACT MSW composition audits of 2007 &amp; 2009 are representative of 2014-15 composition.</t>
  </si>
  <si>
    <t>Average</t>
  </si>
  <si>
    <t>ACT MSW audit types map to NWDS categories as shown below</t>
  </si>
  <si>
    <t>2010 C&amp;I and C&amp;D landfill audit categories</t>
  </si>
  <si>
    <t>2007 &amp; 2009 MSW landfill audit categories</t>
  </si>
  <si>
    <t>50% metals; 50% plastics</t>
  </si>
  <si>
    <t>Exclude</t>
  </si>
  <si>
    <t>Categories classified 'n/a' have the same composition as average in-scope waste</t>
  </si>
  <si>
    <t xml:space="preserve">Categories classified 'exclude' are not relevant and need to be subtracted </t>
  </si>
  <si>
    <t>Apply adjusted composition to adjusted landfill data</t>
  </si>
  <si>
    <t>Insert recycling data</t>
  </si>
  <si>
    <t>ACT material categories map to NWDS categories as shown below</t>
  </si>
  <si>
    <t>PET</t>
  </si>
  <si>
    <t>Steel cans</t>
  </si>
  <si>
    <t>Metals (ferrous)</t>
  </si>
  <si>
    <t>Demolition waste - asphalt</t>
  </si>
  <si>
    <t>Demolition waste - bricks</t>
  </si>
  <si>
    <t>Demolition waste - concrete</t>
  </si>
  <si>
    <t>OTHER-Gypsum</t>
  </si>
  <si>
    <t>Cooking oil &amp; fat</t>
  </si>
  <si>
    <t>Clothing</t>
  </si>
  <si>
    <t>Salvage &amp; reuse</t>
  </si>
  <si>
    <t>Motor oil</t>
  </si>
  <si>
    <t>Batteries</t>
  </si>
  <si>
    <t>Mobile phones</t>
  </si>
  <si>
    <t>Other electronics</t>
  </si>
  <si>
    <t>Paint</t>
  </si>
  <si>
    <t>Sullage</t>
  </si>
  <si>
    <t>Televisions</t>
  </si>
  <si>
    <t>Other e-waste</t>
  </si>
  <si>
    <t>Other - used oil filters</t>
  </si>
  <si>
    <t>Other - reuse outbound</t>
  </si>
  <si>
    <t>Population-weighted average</t>
  </si>
  <si>
    <t>NGER categories map to NWDS categories as shown in:</t>
  </si>
  <si>
    <t>Population (millions)</t>
  </si>
  <si>
    <t>Please enter data into the white cells below. You can overwrite pre-existing data or, if still correct, leave at the current value</t>
  </si>
  <si>
    <t>Yes, I have updated all relevant data in the white cells below</t>
  </si>
  <si>
    <t>Split 'industrial waste' to landfill by source stream</t>
  </si>
  <si>
    <t>Plastics recovered in 2010-11 by source stream</t>
  </si>
  <si>
    <t>Waste mix by source stream</t>
  </si>
  <si>
    <t>Allocate the recovered waste to source streams</t>
  </si>
  <si>
    <t>Solid hazardous wastes excl. fly ash</t>
  </si>
  <si>
    <t>Rubber, excluding tyres</t>
  </si>
  <si>
    <t>Excludes prescribed waste and waste associated with energy recovery from landfill gas</t>
  </si>
  <si>
    <t>Excludes prescribed waste</t>
  </si>
  <si>
    <t>The Waurn Ponds kiln is the only facility processing non-prescribed Victorian waste materials for energy recovery</t>
  </si>
  <si>
    <t>State and territory validation of non-prescribed waste calculation steps and data</t>
  </si>
  <si>
    <t>State and territory validation of non-controlled waste calculation steps and data</t>
  </si>
  <si>
    <t>Excludes controlled waste and waste associated with energy recovery from landfill gas</t>
  </si>
  <si>
    <t>Excludes controlled waste</t>
  </si>
  <si>
    <t>No data. Assumed no energy recovery from non-controlled waste occurs</t>
  </si>
  <si>
    <t>Hazardous (controlled) waste data</t>
  </si>
  <si>
    <t>Hazardous (prescribed) waste data</t>
  </si>
  <si>
    <t>Hazardous (controlled waste data)</t>
  </si>
  <si>
    <t>State and territory validation of non-regulated waste calculation steps and data</t>
  </si>
  <si>
    <t>Excludes regulated waste and waste associated with energy recovery from landfill gas</t>
  </si>
  <si>
    <t>Excludes regulated waste</t>
  </si>
  <si>
    <t>Hazardous (regulated) waste data</t>
  </si>
  <si>
    <t>Link to the areas for providing general comments or footnotes</t>
  </si>
  <si>
    <t>General comments to the national waste data team</t>
  </si>
  <si>
    <r>
      <t>Proposed footnotes to be included in reporting the national waste data set</t>
    </r>
    <r>
      <rPr>
        <sz val="12"/>
        <color theme="1"/>
        <rFont val="Calibri"/>
        <family val="2"/>
        <scheme val="minor"/>
      </rPr>
      <t xml:space="preserve"> (incl. comments on data quality)</t>
    </r>
  </si>
  <si>
    <t>Municipal</t>
  </si>
  <si>
    <t>Quantity of materials recycled in the reference year</t>
  </si>
  <si>
    <t>Total waste to landfill</t>
  </si>
  <si>
    <t>Subtract clean soil (out of scope)</t>
  </si>
  <si>
    <t>Uncontaminated soil sent to landfill</t>
  </si>
  <si>
    <t>Clean soil to landfill</t>
  </si>
  <si>
    <t>Pre-food trial</t>
  </si>
  <si>
    <t>Post food trial</t>
  </si>
  <si>
    <t>Food (incl. cornstarch bags)</t>
  </si>
  <si>
    <t>Other organics (sweepings, nappies)</t>
  </si>
  <si>
    <t>Plastic</t>
  </si>
  <si>
    <t>Other (miscellaneous, plant pots)</t>
  </si>
  <si>
    <t>ZWSA (Dec 2009) ZWSA Food Waste Pilot Kerbside Audit 2008 - 2009 Master Report, prepared by EC Sustainable</t>
  </si>
  <si>
    <t>The remainder (hard waste, self-haul, council waste) comprises equal parts masonry materials, metals, garden waste and timber</t>
  </si>
  <si>
    <t xml:space="preserve">The proportion of households with 'pre-food trial' composition = </t>
  </si>
  <si>
    <t>The kerbside audit data presented are representative of the following proportion of SA's MSW to landfill in the reference year</t>
  </si>
  <si>
    <t>Kerbside average</t>
  </si>
  <si>
    <t>Overall composition</t>
  </si>
  <si>
    <t>Kg/household/week</t>
  </si>
  <si>
    <t>The net composition of 'hazardous' and 'other' waste streams are equal to the average of all other waste, and can therefore be ignored</t>
  </si>
  <si>
    <t>Calculate MSW composition proportions</t>
  </si>
  <si>
    <t>The proportions identified in the ZWSA C&amp;I and C&amp;D composition audit of 2007 are representative of 2014-15 composition.</t>
  </si>
  <si>
    <t>The proportions identified in the ACT C&amp;I and C&amp;D composition audit of 2010 are representative of 2014-15 composition.</t>
  </si>
  <si>
    <t>The audit categories map to NWDS categories as shown below</t>
  </si>
  <si>
    <t>Food/kitchen</t>
  </si>
  <si>
    <t>Paper</t>
  </si>
  <si>
    <t>Wood / timber</t>
  </si>
  <si>
    <t>Plastic - bags &amp; film</t>
  </si>
  <si>
    <t>Vegetation / garden</t>
  </si>
  <si>
    <t>Textile (all)</t>
  </si>
  <si>
    <t>Plastic - hard</t>
  </si>
  <si>
    <t>Foundry sand</t>
  </si>
  <si>
    <t>Rubble</t>
  </si>
  <si>
    <t>Sawdust</t>
  </si>
  <si>
    <t>Tyres / rubber</t>
  </si>
  <si>
    <t>Metal - ferrous</t>
  </si>
  <si>
    <t>Metal - non ferrous</t>
  </si>
  <si>
    <t>Insulation / fibreglass</t>
  </si>
  <si>
    <t>Cement sheets</t>
  </si>
  <si>
    <t>Foam</t>
  </si>
  <si>
    <t>Cardboard - waxed</t>
  </si>
  <si>
    <t>Mattress</t>
  </si>
  <si>
    <t>Electronics</t>
  </si>
  <si>
    <t>Clay</t>
  </si>
  <si>
    <t>Whitegoods</t>
  </si>
  <si>
    <t>Linoleum</t>
  </si>
  <si>
    <t>Garbage bags</t>
  </si>
  <si>
    <t>Tiles</t>
  </si>
  <si>
    <t>Low level contaminated soil</t>
  </si>
  <si>
    <t>SA audit category</t>
  </si>
  <si>
    <t>ACT material category</t>
  </si>
  <si>
    <t>Zero Waste SA (2007) Disposal Based Survey Zero Waste SA October/November, available from: www.zerowaste.sa.gov.au/upload/resources/publications/landfill/Landfill_Audit_2007_1.pdf</t>
  </si>
  <si>
    <t>Apply composition percentages to the landfill data</t>
  </si>
  <si>
    <t>Validation of calculation &amp; classification steps (select from the drop-down list)</t>
  </si>
  <si>
    <t>State and territory validation of non-listed waste calculation steps and data</t>
  </si>
  <si>
    <t>Excludes listed waste and waste associated with energy recovery from landfill gas</t>
  </si>
  <si>
    <t>Excludes listed waste</t>
  </si>
  <si>
    <t>Hazardous (listed) waste data</t>
  </si>
  <si>
    <t>WA material categories map to NWDS categories as shown below</t>
  </si>
  <si>
    <t>WA material category</t>
  </si>
  <si>
    <t>ZWSA recycling activity report; emails from ZWSA on 'other organics' and 'biosolids' tonnages</t>
  </si>
  <si>
    <t>Description of data</t>
  </si>
  <si>
    <t>(1) NSW EPA - Waste Contributions Monthly Report (Section 88)</t>
  </si>
  <si>
    <t>(2) NSW EPA - Annual Facilities report for Non-Licenced Landfills,</t>
  </si>
  <si>
    <t>(3) Domestic Kerbside Waste and Recycling in NSW 2011. NSW EPA 2013</t>
  </si>
  <si>
    <t>(4) Disposal based survey of the commercial and industrial waste stream in Sydney. DECCW (NSW) 2010</t>
  </si>
  <si>
    <t>(5) Report into the Construction and Demolition Waste Stream Audit 2000-2005, DECC (NSW) 2007</t>
  </si>
  <si>
    <t>(7) NSW Annual Survey of Councils</t>
  </si>
  <si>
    <t>State and territory validation of non-trackable waste calculation steps and data</t>
  </si>
  <si>
    <t>Excludes trackable waste and waste associated with energy recovery from landfill gas</t>
  </si>
  <si>
    <t>Hazardous (trackable) waste data</t>
  </si>
  <si>
    <t>Any confidentiality issues?</t>
  </si>
  <si>
    <t>Check:</t>
  </si>
  <si>
    <t>Converted to NWDS-based categories excluding 'other'</t>
  </si>
  <si>
    <t>MSW, recategorised</t>
  </si>
  <si>
    <t>Recategorised waste types</t>
  </si>
  <si>
    <t>Insert recent data on the composition of C&amp;I waste recovered. Convert to percentages.</t>
  </si>
  <si>
    <t>NGER inert fraction</t>
  </si>
  <si>
    <t>The proportional break-up of the NGER 'inert' fraction is equal to the population-weighted average composition proportions applied by jurisdictions that have their own audit-derived composition values in the previous national collation.</t>
  </si>
  <si>
    <r>
      <t xml:space="preserve">Material </t>
    </r>
    <r>
      <rPr>
        <i/>
        <sz val="10"/>
        <color theme="1"/>
        <rFont val="Calibri"/>
        <family val="2"/>
        <scheme val="minor"/>
      </rPr>
      <t>(% by weight)</t>
    </r>
  </si>
  <si>
    <t>% of inert fraction</t>
  </si>
  <si>
    <t>Inert waste categories</t>
  </si>
  <si>
    <t>Energy derived from an industrial operation's own waste that is used on-site is out of scope</t>
  </si>
  <si>
    <t>Operations using biofuels associated with their industry source this material from on-site sources except where there is evidence to the contrary</t>
  </si>
  <si>
    <t>Plant</t>
  </si>
  <si>
    <t>State</t>
  </si>
  <si>
    <t>Type</t>
  </si>
  <si>
    <t>MW capacity</t>
  </si>
  <si>
    <t>Wastes sources</t>
  </si>
  <si>
    <t>Assumed material</t>
  </si>
  <si>
    <t>Assumed stream</t>
  </si>
  <si>
    <t>Off-site</t>
  </si>
  <si>
    <t>Electricity from food and agricultural wet waste</t>
  </si>
  <si>
    <t>Camellia, Parramatta</t>
  </si>
  <si>
    <t>No</t>
  </si>
  <si>
    <t>Fraction exported</t>
  </si>
  <si>
    <t>Waste used (tonnes)</t>
  </si>
  <si>
    <t>Incl. in state data?</t>
  </si>
  <si>
    <t>Bioenergy generation in Australia</t>
  </si>
  <si>
    <t>Various</t>
  </si>
  <si>
    <t>Company websites</t>
  </si>
  <si>
    <t>Personal communications with site staff &amp; jurisdictions</t>
  </si>
  <si>
    <t>Organic waste energy recovery (excl. landfills) (CEC &amp; others)</t>
  </si>
  <si>
    <t>C&amp;I recycling - average composition</t>
  </si>
  <si>
    <t>Waste to landfill - average composition</t>
  </si>
  <si>
    <t>Insert jurisdictional audit-derived landfill compositions from the last national data collation for non-organic (inert) NWDS categories. Derive a population-weighted average.</t>
  </si>
  <si>
    <t>PC terminals /monitors</t>
  </si>
  <si>
    <t>Queanbeyan</t>
  </si>
  <si>
    <t>Queanbeyan landfill waste goes to the ACT. No landfill waste leaves the ACT.</t>
  </si>
  <si>
    <t>The quantity per capita and the composition of Queanbeyan landfill waste is identical to that of the ACT</t>
  </si>
  <si>
    <t>Calculate dissimilable carbon per tonne of waste (NSW)</t>
  </si>
  <si>
    <t>Step 4c</t>
  </si>
  <si>
    <t>Step 4d</t>
  </si>
  <si>
    <t>Calculate dissimilable carbon per tonne of waste (SA)</t>
  </si>
  <si>
    <t>Step 4e</t>
  </si>
  <si>
    <t>Step 4f</t>
  </si>
  <si>
    <t>Calculate dissimilable carbon per tonne of waste (WA)</t>
  </si>
  <si>
    <t>Adjusted</t>
  </si>
  <si>
    <t>Assumption:</t>
  </si>
  <si>
    <t>Where an organic fraction is not broken down in the jurisdictional data set, its break down is equal to that in the NGERS (Measurement) Determination</t>
  </si>
  <si>
    <t>Subtract waste associated with energy recovery from landfill gas</t>
  </si>
  <si>
    <t>Blue font</t>
  </si>
  <si>
    <t>: guidance note</t>
  </si>
  <si>
    <t>If you believe this assumption is incorrect, please explain in the general comments box at the foot of this worksheet</t>
  </si>
  <si>
    <t>Insert MSW composition proportions (automatically converted to NWDS types or categories)</t>
  </si>
  <si>
    <t>Insert C&amp;I and C&amp;D composition proportions (automatically converted to NWDS types or categories)</t>
  </si>
  <si>
    <t>Quantity of waste landfilled in the reference year in NWDS categories, subsequent to subtraction of waste associated with energy recovery from landfill gas</t>
  </si>
  <si>
    <t>Guidance note</t>
  </si>
  <si>
    <t>For NWDS purposes, nappies are best in the 'other organic' category</t>
  </si>
  <si>
    <t>If possible, please estimate the tonnages of each material by source stream. Otherwise, data for all combined streams will suffice.</t>
  </si>
  <si>
    <t>Guidance note(s)</t>
  </si>
  <si>
    <t>Quantity of waste sent for energy recovery in the reference year in NWDS categories</t>
  </si>
  <si>
    <t>If you know tonnages of imported materials recycled in your jurisdiction please provide these separately</t>
  </si>
  <si>
    <t>Guidance notes</t>
  </si>
  <si>
    <t>'Hi cal', tallow &amp; oil used by Boral are liquid and therefore not relevant</t>
  </si>
  <si>
    <t>Step 7</t>
  </si>
  <si>
    <t>Step 8</t>
  </si>
  <si>
    <t>Non-ferrous metals</t>
  </si>
  <si>
    <t>Food Organics</t>
  </si>
  <si>
    <t>Garden Organics</t>
  </si>
  <si>
    <t>Organics, other</t>
  </si>
  <si>
    <t>Cardboard &amp; waxed cardboard</t>
  </si>
  <si>
    <t>Liquid Paperboard</t>
  </si>
  <si>
    <t>Newsprint &amp; magazines</t>
  </si>
  <si>
    <t>Printing &amp; Writing Paper</t>
  </si>
  <si>
    <t>Polyethylene terephthalate</t>
  </si>
  <si>
    <t>High density polyethylene</t>
  </si>
  <si>
    <t>Polyvinyl chloride</t>
  </si>
  <si>
    <t>Low density polyethylene</t>
  </si>
  <si>
    <t>Polypropylene</t>
  </si>
  <si>
    <t>Mixed &amp;/or Other plastics</t>
  </si>
  <si>
    <t>Materials generated in Victoria that are recycled by source stream</t>
  </si>
  <si>
    <t>Materials generated in Queensland that are recycled, by source stream, in NWDS types or categories (excl. liquids; net of residuals incl. from Cairns Bedminster)</t>
  </si>
  <si>
    <t>If possible, please exclude primary production wastes such as sawdust (from forestry residuals), oils, grease trap, sludges and paunch</t>
  </si>
  <si>
    <t>Insert recycling data on other materials</t>
  </si>
  <si>
    <t>Materials generated in SA that are recycled, in NWDS types or categories</t>
  </si>
  <si>
    <t>Quantity of waste to energy recovery in the reference year in NWDS categories</t>
  </si>
  <si>
    <t>Subtract imported landfill waste. Add exported landfill waste.</t>
  </si>
  <si>
    <t>Landfill waste imports &amp; exports</t>
  </si>
  <si>
    <t>Total imported</t>
  </si>
  <si>
    <t>Total exported</t>
  </si>
  <si>
    <t>Extrapolate to estimate landfill for the whole territory</t>
  </si>
  <si>
    <t>Insert landfill composition proportions by source stream in NWDS types or categories (excluding trackable waste)</t>
  </si>
  <si>
    <t>Apply the NGER default stream splits</t>
  </si>
  <si>
    <t>Apply national average composition proportions to the stream data</t>
  </si>
  <si>
    <t>Insert composition proportions (automatically converted to NWDS types or categories)</t>
  </si>
  <si>
    <t>Landfill receipts by source stream</t>
  </si>
  <si>
    <t>Landfill receipts</t>
  </si>
  <si>
    <t>Licensed landfill receipts by source stream</t>
  </si>
  <si>
    <t>Proportional composition of MSW</t>
  </si>
  <si>
    <t>Proportional composition of waste to landfill</t>
  </si>
  <si>
    <t>Proportional composition of C&amp;I and C&amp;D waste</t>
  </si>
  <si>
    <t>Proportional composition of waste to landfill by source stream</t>
  </si>
  <si>
    <t>Plastics recycled in the ACT by source stream</t>
  </si>
  <si>
    <t>Plastics recycled in Qld by source stream</t>
  </si>
  <si>
    <t>Insert recycling data on other materials (automatically converted to NWDS types or categories)</t>
  </si>
  <si>
    <t>Materials generated in NSW that are recycled, by source stream, in NWDS types or categories</t>
  </si>
  <si>
    <t>Materials generated in WA that are recycled, by source stream</t>
  </si>
  <si>
    <t>Insert data on MSW recycling by material</t>
  </si>
  <si>
    <t>Plastics recycled in Tas by source stream</t>
  </si>
  <si>
    <t>Plastics recycled by source stream</t>
  </si>
  <si>
    <t>Split organics recovery by stream</t>
  </si>
  <si>
    <t>Organics recycled in Tasmania are derived from the three source streams in the same proportions as Victoria in 2010-11</t>
  </si>
  <si>
    <t>Victorian 2010-11 proportions</t>
  </si>
  <si>
    <t>Proportional source-stream split for Victorian organics recycled, 2010-11</t>
  </si>
  <si>
    <t>No C&amp;D recovery occurs in Tasmania</t>
  </si>
  <si>
    <t>Material tonnages itemised in Step 1 that are not accounted for in Steps 2-4 are from C&amp;I sources</t>
  </si>
  <si>
    <t>Split C&amp;I recycling based on the national average composition, &amp; convert MSW tonnages to NWDS types and categories</t>
  </si>
  <si>
    <t>Total paper &amp; cardboard</t>
  </si>
  <si>
    <t>Excluding organics and plastics</t>
  </si>
  <si>
    <t>Sand, soil, clean fill, rubble</t>
  </si>
  <si>
    <t>Aluminium (non-packaging)</t>
  </si>
  <si>
    <t>Aluminium (packaging)</t>
  </si>
  <si>
    <t>Steel (non-packaging)</t>
  </si>
  <si>
    <t>Steel (packaging)</t>
  </si>
  <si>
    <t>Cardboard / paper packaging</t>
  </si>
  <si>
    <t>Old newsprint (incl. directories)</t>
  </si>
  <si>
    <t>White office paper</t>
  </si>
  <si>
    <t>ABS/SAN</t>
  </si>
  <si>
    <t>EPS</t>
  </si>
  <si>
    <t>L/LDPE</t>
  </si>
  <si>
    <t>Nylon</t>
  </si>
  <si>
    <t>PP</t>
  </si>
  <si>
    <t>PS</t>
  </si>
  <si>
    <t>PU</t>
  </si>
  <si>
    <t>PVC</t>
  </si>
  <si>
    <t>Rubber</t>
  </si>
  <si>
    <t>WA tonnages</t>
  </si>
  <si>
    <t>NWDS tonnages</t>
  </si>
  <si>
    <t>Materials generated in SA that are recycled, by source stream</t>
  </si>
  <si>
    <t>(from WGRRA 2010-11)</t>
  </si>
  <si>
    <t>Total for WA</t>
  </si>
  <si>
    <t>Insert estimated landfill data for the regional and rural WA</t>
  </si>
  <si>
    <t>Mixed MSW</t>
  </si>
  <si>
    <t>Waste materials generated in Qld from which energy is recovered (excluding by landfills), by source stream</t>
  </si>
  <si>
    <t>The national average composition is mostly derived in 'Other nat. waste data'</t>
  </si>
  <si>
    <t>Insert recycling data by material (automatically converted to NWDS types of categories)</t>
  </si>
  <si>
    <t>Insert energy recovery data</t>
  </si>
  <si>
    <t>50% metal; 50% plastic</t>
  </si>
  <si>
    <t>Sum</t>
  </si>
  <si>
    <t>Please return this NWDS data tool to the Commonwealth and advise how you think the calculation steps, assumptions &amp; classifications need to be improved</t>
  </si>
  <si>
    <t>Landfill receipts at the five major NT landfills</t>
  </si>
  <si>
    <t>Alice Springs</t>
  </si>
  <si>
    <t>Katherine</t>
  </si>
  <si>
    <t>Estimated Resident Population</t>
  </si>
  <si>
    <t>All NT</t>
  </si>
  <si>
    <t>The landfill data represents all and only the waste from the relevant local government areas</t>
  </si>
  <si>
    <t>Insert CDS recycling data</t>
  </si>
  <si>
    <t>CDS and waste management facility recyclables are discrete - no double counting occurs</t>
  </si>
  <si>
    <t>Materials recycled at the five major NT landfills</t>
  </si>
  <si>
    <t>Materials generated in the NT recycled via CDS</t>
  </si>
  <si>
    <t>Liquid paperboard</t>
  </si>
  <si>
    <t>Waste is generated at the same per capita rate across the NT</t>
  </si>
  <si>
    <t>Recycling outside the areas serviced by the above waste management facilities is negligible.</t>
  </si>
  <si>
    <t>Insert input tonnages from ResourceCo &amp; other energy from waste sites</t>
  </si>
  <si>
    <t>Apply an assumed material split of this waste</t>
  </si>
  <si>
    <t>Estimated proportions of organic wastes to the relevant facilities in the reference year</t>
  </si>
  <si>
    <t>Waste inputs energy recovery facilities</t>
  </si>
  <si>
    <t>Please include only non-primary production waste used for generating energy where the waste is (a) from offsite or (b) from onsite and the energy is exported from the site</t>
  </si>
  <si>
    <t>Use the cell for 'organics' only if the tonnes by material type cannot be individually identified</t>
  </si>
  <si>
    <t>MOBILE PHONES</t>
  </si>
  <si>
    <t>OTHER</t>
  </si>
  <si>
    <t>OTHER ELECTRONICS</t>
  </si>
  <si>
    <t>PAINT</t>
  </si>
  <si>
    <t>PC TERMINALS / MONITORS</t>
  </si>
  <si>
    <t>SULLAGE</t>
  </si>
  <si>
    <t>TELEVISIONS</t>
  </si>
  <si>
    <t>OTHER-E Waste</t>
  </si>
  <si>
    <t>OTHER-Used Oil filters</t>
  </si>
  <si>
    <t>OTHER- reuse outbound</t>
  </si>
  <si>
    <t>The quantity per capita and the composition of Queanbeyan reycled waste is identical to that of the ACT</t>
  </si>
  <si>
    <t>Queanbeyan recycled waste is imported into the ACT. No recycled waste not counted above leaves the ACT.</t>
  </si>
  <si>
    <t>Please list any known tonnages separately, itemising source &amp; destination</t>
  </si>
  <si>
    <t>Landfill waste generated in the ACT</t>
  </si>
  <si>
    <t>Non-plastic materials recycled in the ACT</t>
  </si>
  <si>
    <t>Western Australian waste data - national display</t>
  </si>
  <si>
    <t>CATEGORIES</t>
  </si>
  <si>
    <t>TYPES</t>
  </si>
  <si>
    <t xml:space="preserve">DATA RELATING TO: </t>
  </si>
  <si>
    <t>Tasmanian waste data - national display</t>
  </si>
  <si>
    <t>Hazwaste check:</t>
  </si>
  <si>
    <t>South Australian waste data - national display</t>
  </si>
  <si>
    <t>Northern Territory waste data - national display</t>
  </si>
  <si>
    <t>Australian Capital Territory waste data - national display</t>
  </si>
  <si>
    <t>New South Wales waste data - national display</t>
  </si>
  <si>
    <t>This worksheet.</t>
  </si>
  <si>
    <t>The diagram below illustrates the data flows between the different worksheets.</t>
  </si>
  <si>
    <t>Previous data set, for validation checks</t>
  </si>
  <si>
    <t>Blue outline</t>
  </si>
  <si>
    <t>A check request is prompted if new data differs from old by more than:</t>
  </si>
  <si>
    <t>Hazardous waste data and assumptions</t>
  </si>
  <si>
    <t>Each of the hazardous waste types listed is predominantly solid or predominantly liquid as listed.</t>
  </si>
  <si>
    <t>Each of the hazardous waste types listed is derived from the source sectors as listed.</t>
  </si>
  <si>
    <t>Waste code</t>
  </si>
  <si>
    <t>Waste description</t>
  </si>
  <si>
    <t>The treatments of the summed hazardous waste from NSW, Qld and Vic in 2012-13 are representative of the national average.</t>
  </si>
  <si>
    <t>Tracking system data</t>
  </si>
  <si>
    <t>Predomi-nant state</t>
  </si>
  <si>
    <t>Sources by proportion</t>
  </si>
  <si>
    <t>The proportion of contaminated soils &amp; asbestos managed in Vic and SA in 2012-13 recorded as from C&amp;I and C&amp;D sources</t>
  </si>
  <si>
    <t>Plating and heat treatment</t>
  </si>
  <si>
    <t>Tonnes &amp; percentage by weight</t>
  </si>
  <si>
    <t>Fly ash disposal</t>
  </si>
  <si>
    <t>Fly ash recycling</t>
  </si>
  <si>
    <t>Ocean discharge</t>
  </si>
  <si>
    <t>Land rehabilitation</t>
  </si>
  <si>
    <t>Landscaping (compost)</t>
  </si>
  <si>
    <t>Dry tonnes &amp; percentage by weight</t>
  </si>
  <si>
    <t>Biosolids are wholly derived from C&amp;I sources (since sewage treatment works are commercial operations)</t>
  </si>
  <si>
    <t>2013-14</t>
  </si>
  <si>
    <t>Table 7, ABS (Australian Bureau of Statistics, March 2015) Regional population growth, Australia, publication 3218.0</t>
  </si>
  <si>
    <t>Between 2012 and 2013-14, the population of Nhulunbuy grew at the same rate as East Arnhem land</t>
  </si>
  <si>
    <t>Total for these NT towns</t>
  </si>
  <si>
    <r>
      <t xml:space="preserve">CEC (Clean Energy Council, 2010) </t>
    </r>
    <r>
      <rPr>
        <i/>
        <sz val="10"/>
        <rFont val="Calibri"/>
        <family val="2"/>
        <scheme val="minor"/>
      </rPr>
      <t>Bioenergy Industry</t>
    </r>
    <r>
      <rPr>
        <sz val="10"/>
        <rFont val="Calibri"/>
        <family val="2"/>
        <scheme val="minor"/>
      </rPr>
      <t>, prepared by Stephen Schuck, June, available from: https://www.cleanenergycouncil.org.au/technologies/bioenergy.html</t>
    </r>
  </si>
  <si>
    <t>Insert data on waste biomass used for energy recovery</t>
  </si>
  <si>
    <t>This is a rather dated data set and is applied for only one site in Qld and one in NSW. Jurisdictional data is preferred if available.</t>
  </si>
  <si>
    <t>Explanation of the system for validating individual data entries</t>
  </si>
  <si>
    <t>Other national data</t>
  </si>
  <si>
    <t>Options for validating the entire data set</t>
  </si>
  <si>
    <t>Waste materials generated in Qld that are recycled, by source stream</t>
  </si>
  <si>
    <t>Landfill receipts by source stream, Perth</t>
  </si>
  <si>
    <t>Landfill receipts, WA other than Perth</t>
  </si>
  <si>
    <t>Other organics (nappies)</t>
  </si>
  <si>
    <t>Composition of waste to landfill in jurisdictions lacking audit-derived composition values</t>
  </si>
  <si>
    <t>Rubber and leather</t>
  </si>
  <si>
    <t>Calculate dissimilable carbon per tonne of waste (ACT) (after first breaking down any organic fraction not broken down in the jurisdictional data)</t>
  </si>
  <si>
    <t>Disposal by source stream</t>
  </si>
  <si>
    <t>Total excl. plastics &amp; organics</t>
  </si>
  <si>
    <t>Energy content of biomass municipal and industrial materials, if recycled and combusted to produce heat or electricity</t>
  </si>
  <si>
    <t>Gigajoules per tonne</t>
  </si>
  <si>
    <t>NGER (Measurement) Determination 2014</t>
  </si>
  <si>
    <t>Energy content of waste</t>
  </si>
  <si>
    <t>Assumed average conversion efficiency</t>
  </si>
  <si>
    <t>Waste consumed annually per MW capacity</t>
  </si>
  <si>
    <t>GJ per MW produced continually</t>
  </si>
  <si>
    <t>Assumed proportion of capacity actually used (capacity factor)</t>
  </si>
  <si>
    <t>Biosolids (non-contaminated)</t>
  </si>
  <si>
    <t>Other miscellaneous</t>
  </si>
  <si>
    <t>In the absence of comprehensive data, all biosolids are assumed to be contaminated</t>
  </si>
  <si>
    <t>Storage or transfer</t>
  </si>
  <si>
    <t>Biosolids data is included with hazardous waste</t>
  </si>
  <si>
    <t>Sum the data from these two sources</t>
  </si>
  <si>
    <t>Where a jurisdiction lacks its own audit-derived composition values, NGER default composition values are representative</t>
  </si>
  <si>
    <t>Correct the results to include adjusted NGER defaults</t>
  </si>
  <si>
    <t>Biosolids data is included with hazardous waste and is therefore excluded here (requiring adjustment of other organic categories)</t>
  </si>
  <si>
    <t>Biosolids data is included with hazardous waste and so is excluded here</t>
  </si>
  <si>
    <t>ACT tonnages</t>
  </si>
  <si>
    <t>Waste materials generated in the ACT that are recycled, in NWDS types and categories</t>
  </si>
  <si>
    <t>Queensland waste data - national display</t>
  </si>
  <si>
    <t>Please advise us of any other materials you believe should be included in the National Waste Data Set using the general comments box at the foot of this worksheet</t>
  </si>
  <si>
    <t xml:space="preserve">Guidance note: </t>
  </si>
  <si>
    <t xml:space="preserve">If you are able to provide only data for a waste category (e.g. masonry materials), that will be adequate. In that case, simply delete the data given for each type (e.g. asphalt). However, if you can provide data for any waste type, please do  so. </t>
  </si>
  <si>
    <t>The data validation system is not operating for these data entries because they are different from the previous WGRRA data (which included a large amount of waste under the heading 'other materials reported by jurisdiction').</t>
  </si>
  <si>
    <t>The data validation system is not operating for some of these data entries due to differences from the previous WGRRA data</t>
  </si>
  <si>
    <t>Where jurisdictional data on ash generation is unavailable, it occurs in proportion to power generation capacity</t>
  </si>
  <si>
    <t>Recycling occurs at the same rate in each jurisdiction where ash recycling data is unavailable</t>
  </si>
  <si>
    <t>Insert recycling data by stream, excluding biosolids (now included as hazwaste)</t>
  </si>
  <si>
    <t>Convert to tonnes of recovered carbon</t>
  </si>
  <si>
    <t>Calculate the tonnes of each material recovered by jurisdiction</t>
  </si>
  <si>
    <t>Calculate the recovered carbon attributable to each material by jurisdiction</t>
  </si>
  <si>
    <t>Tonnes of waste recovered by jurisdiction and material</t>
  </si>
  <si>
    <t>Tonnes of waste recovered by jurisdiction, source sector and material</t>
  </si>
  <si>
    <t>Tonnes of carbon recovered by jurisdiction and material</t>
  </si>
  <si>
    <r>
      <t>Mass ratio CH</t>
    </r>
    <r>
      <rPr>
        <vertAlign val="subscript"/>
        <sz val="10"/>
        <color theme="1"/>
        <rFont val="Calibri"/>
        <family val="2"/>
        <scheme val="minor"/>
      </rPr>
      <t>4</t>
    </r>
    <r>
      <rPr>
        <sz val="10"/>
        <color theme="1"/>
        <rFont val="Calibri"/>
        <family val="2"/>
        <scheme val="minor"/>
      </rPr>
      <t>:C</t>
    </r>
  </si>
  <si>
    <t>Kilograms carbon per tonne of material &amp; percentage of material by mass</t>
  </si>
  <si>
    <t>Composition of waste to landfill</t>
  </si>
  <si>
    <t>Insert landfill data</t>
  </si>
  <si>
    <t>Insert landfill data (without 15% cover discount)</t>
  </si>
  <si>
    <t>Insert landfill data for Perth metropolitan area</t>
  </si>
  <si>
    <t>Exclude controlled waste and, if possible, clean fill / clean excavated material</t>
  </si>
  <si>
    <t>Exclude listed waste and, if possible, clean fill / clean excavated material</t>
  </si>
  <si>
    <t>Exclude controlled waste &amp;, if possible, clean fill / clean excavated material</t>
  </si>
  <si>
    <t>Exclude prescribed waste &amp;, if possible, clean fill / clean excavated material</t>
  </si>
  <si>
    <t>NGER Determination (www.legislation.gov.au/Details/F2016C00691) S5.12, S5.14A; advice from DoE re. recent change in greenhouse accounts re. DOCf of timber</t>
  </si>
  <si>
    <t>Calendar year 2014</t>
  </si>
  <si>
    <t>Calendar year 2015</t>
  </si>
  <si>
    <t>Ash Development Association of Australia (2015, 2016) Annual membership survey results 2014, 2015, HBM Group Pty Ltd, Woolongong, available from: www.adaa.asn.au/resource-utilisation/ccp-utilisation</t>
  </si>
  <si>
    <t>MWh</t>
  </si>
  <si>
    <t>Electricity generation from coal</t>
  </si>
  <si>
    <t>Electricity generation capacity from coal, 2013-14, Australia</t>
  </si>
  <si>
    <r>
      <t xml:space="preserve">DIIS (2015) Australian energy statistics </t>
    </r>
    <r>
      <rPr>
        <i/>
        <sz val="10"/>
        <rFont val="Calibri"/>
        <family val="2"/>
        <scheme val="minor"/>
      </rPr>
      <t>2015</t>
    </r>
    <r>
      <rPr>
        <sz val="10"/>
        <rFont val="Calibri"/>
        <family val="2"/>
        <scheme val="minor"/>
      </rPr>
      <t>, table O, www.industry.gov.au/Office-of-the-Chief-Economist/Publications/Pages/Australian-energy-statistics.aspx#</t>
    </r>
  </si>
  <si>
    <t>NGER Determination (legislation.gov.au/Details/F2016C00691), 5.4B, 5.14C; NGER Regulations (legislation.gov.au/Details/F2014C01069), 2:02</t>
  </si>
  <si>
    <t>NGER Determination (legislation.gov.au/Details/F2016C00691) S5.10(2)</t>
  </si>
  <si>
    <t>The proportion of MSW in class II is negligible</t>
  </si>
  <si>
    <t>NGER Determination (legislation.gov.au/Details/F2016C00691) 5.11(2)</t>
  </si>
  <si>
    <t>Sources:</t>
  </si>
  <si>
    <t xml:space="preserve">Jan-Jun 2015 - </t>
  </si>
  <si>
    <t xml:space="preserve">Jul-Dec 2014 - </t>
  </si>
  <si>
    <t>Jul-Dec 2014</t>
  </si>
  <si>
    <t>Jan-Jun 2015</t>
  </si>
  <si>
    <t>Completed Basel data workbook 2014.xlsx</t>
  </si>
  <si>
    <t>2014-15</t>
  </si>
  <si>
    <t>Darwin</t>
  </si>
  <si>
    <t>Plastics recovered in 2014-15, &amp; distribution across source streams</t>
  </si>
  <si>
    <t>Data kindly provided by Kyle O'Farrell of SRU in an email to Joe Pickin dated 11/7/16</t>
  </si>
  <si>
    <t>Fly ash recycling and disposal, 2010-11</t>
  </si>
  <si>
    <t>Methane recovered for energy generation by jurisdiction, 2013-14</t>
  </si>
  <si>
    <t>http://www.abs.gov.au/AUSSTATS/abs@.nsf/DetailsPage/3218.02014-15?OpenDocument</t>
  </si>
  <si>
    <t>May 2015; July 2016</t>
  </si>
  <si>
    <t>Excludes regulated waste &amp; contaminated soil</t>
  </si>
  <si>
    <t>Excludes trackable waste, asbestos &amp; contaminated soil</t>
  </si>
  <si>
    <t>Data for biosolids &amp; tyres is included with hazardous waste</t>
  </si>
  <si>
    <t>Data for biosolids, tyres, asbestos &amp; contaminated soil is included with hazardous waste</t>
  </si>
  <si>
    <t>Barkly (Tennant Creek)</t>
  </si>
  <si>
    <t>Litchfield</t>
  </si>
  <si>
    <t>Palmerston</t>
  </si>
  <si>
    <t>Insert landfill data from the following waste management facilities: Shoal Bay, Alice Springs, Katherine, Nhulunbuy, Tennant Creek (if not all are available, please specify which are applied in the 'general comments' area below)</t>
  </si>
  <si>
    <t>Landfill receipts at major NT landfills</t>
  </si>
  <si>
    <t>Materials recycled at major NT landfills</t>
  </si>
  <si>
    <t>Excludes trackable waste, asbestos, contaminated soil &amp; tyres</t>
  </si>
  <si>
    <t>Landfill receipts by source stream, WA other than Perth</t>
  </si>
  <si>
    <t>(6) NSW resource recovery industries surveys</t>
  </si>
  <si>
    <t>Biosolids &amp; tyres data are included with hazardous waste</t>
  </si>
  <si>
    <t>The category 'Mixed MSW' represents organic inputs to AWTs (i.e. net of residuals and non-organic recyclables).</t>
  </si>
  <si>
    <t xml:space="preserve"> The proportions of food, garden, timber, other and paper/cardboard in recycled mixed MSW are identical to those in MSW to landfill. </t>
  </si>
  <si>
    <t>The proportions of cardboard, LPB, newsprint/mags &amp; office paper in the paper/cardboard fraction of mixed MSW are equal to those in the recycling stream (or, if those are not available, are equal)</t>
  </si>
  <si>
    <t>See above</t>
  </si>
  <si>
    <t>Waste materials generated in WA that are recycled, in NWDS waste types, by source stream</t>
  </si>
  <si>
    <t>Apply national average composition proportions to the total tonnage of each source stream.</t>
  </si>
  <si>
    <t>Excludes controlled waste (incl. tyres, grease trap &amp; biosolids)</t>
  </si>
  <si>
    <t>Waste sent to energy recovery</t>
  </si>
  <si>
    <t>Landfill waste imports</t>
  </si>
  <si>
    <t xml:space="preserve">The only facility known to be using waste consistent with the national definition is Rocky Point, Woongoolba </t>
  </si>
  <si>
    <t>Include AWT residuals to landfill</t>
  </si>
  <si>
    <t>Exclude regulated waste, contaminated soil and, if possible, clean fill / clean excavated material</t>
  </si>
  <si>
    <t>Biosolids &amp; lead acid battery data are included with hazardous waste</t>
  </si>
  <si>
    <t>Not applied but left in case needed in future</t>
  </si>
  <si>
    <t>Subtract any imported landfill waste (if included in the data above)</t>
  </si>
  <si>
    <t>Add any exported landfill waste (if excluded from the above data)</t>
  </si>
  <si>
    <t>Please list any such tonnages separately in the 'general comments' box below, itemising the source &amp; destination</t>
  </si>
  <si>
    <t>Please list any such tonnages separately in the 'general comments' box below, itemising the source &amp; destination. Validation disabled as no data was entered for 2013-14.</t>
  </si>
  <si>
    <t>Exclude contaminated soil</t>
  </si>
  <si>
    <t>Do not include primary production waste or industry waste used to generate energy that is entirely used on-site</t>
  </si>
  <si>
    <t>Only the Veolia/Cleanaway EarthPower site is known to fit the criteria. If there are others, please let us know via the general comments box below.</t>
  </si>
  <si>
    <t>Annual plastics recycling survey</t>
  </si>
  <si>
    <t>National plastics recycling survey data is likely to be more accurate and nationally consistent than jurisdictional data</t>
  </si>
  <si>
    <t>Insert data on recycling of plastics generated in the ACT from the annual national plastics recycling survey</t>
  </si>
  <si>
    <t>Insert data on recycling of plastics generated in NSW from the annual national plastics recycling survey</t>
  </si>
  <si>
    <t>Insert data on recycling of plastics generated in Qld from the annual national plastics recycling survey</t>
  </si>
  <si>
    <t>Imported recycled waste is deducted.</t>
  </si>
  <si>
    <t>Insert data on recycling of plastics generated in Tasmania from the annual plastics recycling survey</t>
  </si>
  <si>
    <t>Plastics survey data is primary, and therefore preferred to secondary APC data</t>
  </si>
  <si>
    <t>Proportional source-stream split of organics recycled</t>
  </si>
  <si>
    <t>Victorian 2013-14 proportions</t>
  </si>
  <si>
    <t>Plastic waste recycling</t>
  </si>
  <si>
    <t>Data for deriving the composition of the NGER inert fraction in landfilled waste</t>
  </si>
  <si>
    <r>
      <rPr>
        <sz val="10"/>
        <color theme="1"/>
        <rFont val="Calibri"/>
        <family val="2"/>
        <scheme val="minor"/>
      </rPr>
      <t>Data from the 2013-14 reports from jurisdictions except ACT, SA &amp; Tas, for which the data source is the WGRRA database, available</t>
    </r>
    <r>
      <rPr>
        <u/>
        <sz val="10"/>
        <color theme="10"/>
        <rFont val="Calibri"/>
        <family val="2"/>
        <scheme val="minor"/>
      </rPr>
      <t xml:space="preserve"> here.</t>
    </r>
  </si>
  <si>
    <t>Vic response to 2013-14 data request</t>
  </si>
  <si>
    <t>Suyog Shrestha and Sarah Sutton</t>
  </si>
  <si>
    <t>Nil</t>
  </si>
  <si>
    <t>Peter Morante (NT EPA)</t>
  </si>
  <si>
    <t>City of Darwin</t>
  </si>
  <si>
    <t>CDS co-ordinator returns</t>
  </si>
  <si>
    <t>Colin Tucker</t>
  </si>
  <si>
    <t>Estimate based on data reported in the Recycling Activity in WA  2013-14 report.</t>
  </si>
  <si>
    <t>Julie Wyland</t>
  </si>
  <si>
    <t>Apply the national average proportional split by source stream</t>
  </si>
  <si>
    <t>Responses to 2013-14 data request (NT, Vic, WA)
WGRRA (NSW, SA, Tas)</t>
  </si>
  <si>
    <t>Recyclables - average source stream split (excl. hazardous waste &amp; plastics)</t>
  </si>
  <si>
    <t>Recyclables - average source stream split</t>
  </si>
  <si>
    <t>Insert recent data on recycling by source stream, excluding hazardous waste &amp; plastics</t>
  </si>
  <si>
    <t>Non-hazardous waste, non-plastic recovery by source stream</t>
  </si>
  <si>
    <t>SV</t>
  </si>
  <si>
    <t>Sustainability Victoria estimate based on 2009 LF audits</t>
  </si>
  <si>
    <t>Sustainability Victoria annual survey of the recycling industry 2014-15 dataset</t>
  </si>
  <si>
    <t>Landfill levy returns (see comments)</t>
  </si>
  <si>
    <t>Nick Chrisant Project Lead - Data &amp; Governance</t>
  </si>
  <si>
    <t>MSW (2011)</t>
  </si>
  <si>
    <t>MSW (2014)</t>
  </si>
  <si>
    <t>Methane directed to energy generation, 2014-15</t>
  </si>
  <si>
    <t>Factors for converting methane volumes to t CO2-e</t>
  </si>
  <si>
    <t>Methane combusted</t>
  </si>
  <si>
    <t>NGER Determination (legislation.gov.au/Details/F2016C00691), 5.4(1), 3:14, 3:45</t>
  </si>
  <si>
    <t>Standard cubic metres (SCM)</t>
  </si>
  <si>
    <t>All waste from which methane is generated and used for energy recovery is counted as recovered</t>
  </si>
  <si>
    <t>Waste used for energy recovery</t>
  </si>
  <si>
    <t>Nick Chrisant, SV, personal communication</t>
  </si>
  <si>
    <t>Blue Env. (SV couldn't help about this)</t>
  </si>
  <si>
    <t>Financial year data supplied by Shoal Bay (Darwin), Katherine and Alice Springs. Shoal Bay (Darwin) also accepts waste from Palmerston and Litchfield council areas which operate waste transfer stations.</t>
  </si>
  <si>
    <t>Landfill data for Tennant Creek and Nhulunbuy (Gove) are derived from annual return reporting periods which are based on environment protection licence anniversary dates, as follows:</t>
  </si>
  <si>
    <t>Tennant Creek - 7/4/14 - 6/4/15 (NB was not regulated between 2010 - 2014)</t>
  </si>
  <si>
    <t>Nhulunbuy (Gove) - 1/9/14 - 31/8/15</t>
  </si>
  <si>
    <t>Recycling data - data for all material types was not available. Other than Shoal Bay (Darwin), councils were unable to split between waste categories.</t>
  </si>
  <si>
    <t>Councils (Darwin, Katherine, Alice Springs); Annual Returns (others)</t>
  </si>
  <si>
    <t>Peter Morante - Environmental Officer - NT EPA</t>
  </si>
  <si>
    <t>Col Tucker
Team Leader, Waste Data and Reporting
Department of Environment and Heritage Protection</t>
  </si>
  <si>
    <t>State of Waste and Recycling in Queensland 2015</t>
  </si>
  <si>
    <t>2015 EHP Annual Survey data for State of Waste and Recycling in Queensland 2015</t>
  </si>
  <si>
    <t>Colin Tucker, Laurence Knight</t>
  </si>
  <si>
    <t>15/08/2016, 18/08/2016</t>
  </si>
  <si>
    <t>Col Tucker</t>
  </si>
  <si>
    <t>Reductions in imported landfill waste may be attributed to legislative change in NSW restricting movement of waste by road to a distance of less than 150km.</t>
  </si>
  <si>
    <t>SV 2014-15 (from EPA data), amended by Joe Pickin in consultation with Nick Chrisant of SV to reinstate the Vic 'cover discount'</t>
  </si>
  <si>
    <t>MLA and RLA data via WARRP and Rest of NSW from AWR</t>
  </si>
  <si>
    <t>1. NSW recovery data for 2014-15 unavailable. From 2015-16, data will be available annually shortly after the end of the fin year. Eg 2015-16 data should be available by December 2016.</t>
  </si>
  <si>
    <t>2. As per M12 and M13 we have excluded the following: Soil (not contaminated), Virgin excavated Natural Material (VENM) and Aggregate used for approved operational purposes.</t>
  </si>
  <si>
    <t>3. Other waste includes; Ash, batteries, Ceramics, Commingled recyclables, E-waste, Mattresses, Problem waste, Pharmacy, Residues or Rejects, Shedder Floc, Textiles, Vetinary Waste, oil and Unallocated Mixed waste</t>
  </si>
  <si>
    <t>4. Waste classifed in the WCMR as; asbestos, contaminated soil, biosolids and tyres are excluded, will be provided when hazardous waste data is collected</t>
  </si>
  <si>
    <t>Tas EPA data</t>
  </si>
  <si>
    <t>Jaimie Clarke (via Joe Pickin)</t>
  </si>
  <si>
    <t>2006-07</t>
  </si>
  <si>
    <t>2007-08</t>
  </si>
  <si>
    <t>2008-09</t>
  </si>
  <si>
    <t>2009-10</t>
  </si>
  <si>
    <t>2010-11</t>
  </si>
  <si>
    <t>2011-12</t>
  </si>
  <si>
    <t>2012-13</t>
  </si>
  <si>
    <t>Reference cells:</t>
  </si>
  <si>
    <t>Population</t>
  </si>
  <si>
    <t>Waste quantities 2014-15</t>
  </si>
  <si>
    <t>Waste quantities 2014-15, Australia</t>
  </si>
  <si>
    <t>Waste quantity trends</t>
  </si>
  <si>
    <t>Data sources:</t>
  </si>
  <si>
    <t>Megatonnes</t>
  </si>
  <si>
    <t>Trends and national data</t>
  </si>
  <si>
    <t>No (email from Glenn Ellis to Joe Pickin, 5-9.16)</t>
  </si>
  <si>
    <t xml:space="preserve">Pollution Solutions and Designs (2015) Biosolids Production in Australia October 2015, produced for the Australia &amp; New Zealand Biosolids Partnership, available for members only from http://www.biosolids.com.au/. </t>
  </si>
  <si>
    <t>Dry biosolids produced, Australia 2015</t>
  </si>
  <si>
    <t>Av. solids content, dewatered biosolids</t>
  </si>
  <si>
    <t>Fraction of production by state, 2015</t>
  </si>
  <si>
    <t>Dewatered biosolids produced  (tonnes)</t>
  </si>
  <si>
    <t>End use</t>
  </si>
  <si>
    <t>Insert recent data on biosolids production, fate, water content &amp; end use</t>
  </si>
  <si>
    <t>Biosolids production &amp; average water content, 2015</t>
  </si>
  <si>
    <t>Biosolids end uses by state and territory, 2015</t>
  </si>
  <si>
    <t>Dewatered tonnes</t>
  </si>
  <si>
    <t>Proportion of biosolids that are hazardous</t>
  </si>
  <si>
    <t>Calculate end use quantities &amp; classify by hazard category &amp; NWDS management</t>
  </si>
  <si>
    <t>NWDS management classification</t>
  </si>
  <si>
    <t>Interim calculation</t>
  </si>
  <si>
    <t>Biosolids management in NWDS categories</t>
  </si>
  <si>
    <t>Biosolids management in ANZBP categories</t>
  </si>
  <si>
    <t>Biosolids production &amp; management by jurisdiction, 2014-15</t>
  </si>
  <si>
    <t>The management proportions for NSW/ACT and WA/NT are applicable to each jurisdiction individually</t>
  </si>
  <si>
    <t>The Australia &amp; New Zealand Biosolids Partnership data for 2015 are representative for 2014-15</t>
  </si>
  <si>
    <t>9-yr change</t>
  </si>
  <si>
    <t>Av. annual growth</t>
  </si>
  <si>
    <t xml:space="preserve">Julie Wyland, Policy Officer, Department of Environment Regulation </t>
  </si>
  <si>
    <t>Simon Vieira</t>
  </si>
  <si>
    <t>Estimate based on data reported in the Recycling Activity in WA  2014-15 report.</t>
  </si>
  <si>
    <t>Recycling Activity in WA 2014-15</t>
  </si>
  <si>
    <t>Landfill Data</t>
  </si>
  <si>
    <t>Greater than 20% decrease in  landfilled C&amp;I waste follows substantial increase in landfill levy on 1/1/2015.   This is consistent with reported landfill activity in our annual 2014-15 recycling activity review.</t>
  </si>
  <si>
    <t xml:space="preserve">Changed the ‘Description of data input’ for landfill for metro &amp; regional </t>
  </si>
  <si>
    <t>Recycling Data</t>
  </si>
  <si>
    <t>Reported tonnes – I have checked highlighted cells &amp; they are consistent with our recycling survey and report</t>
  </si>
  <si>
    <t xml:space="preserve"> ‘Other Organics’: The WA recycling activity report includes 71,441 tonnes of recovered waste under this category. All of the tonnes reported as ‘other organics’ in 2014-15 were related to biosolids, sewerage and greasetrap waste.  As these are all reported as ‘Hazardous Waste’ in the NWDS, I have not reported any of these tonnes in the “WA reported” table for 2014-15</t>
  </si>
  <si>
    <t>Other materials</t>
  </si>
  <si>
    <t>Exclude trackable waste, asbestos and, if possible, clean fill / clean excavated material</t>
  </si>
  <si>
    <t>Contaminated soil</t>
  </si>
  <si>
    <t>The contaminated soil figures will be incorporated into 'hazardous waste' data</t>
  </si>
  <si>
    <t>The asbestos figures will be incorporated into 'hazardous waste' data</t>
  </si>
  <si>
    <t>Asbestos contaminated materials</t>
  </si>
  <si>
    <t>Paper &amp; c'board</t>
  </si>
  <si>
    <t>Masonry mat.</t>
  </si>
  <si>
    <t>Disposal (Mt)</t>
  </si>
  <si>
    <t>Paper  &amp; Cardboard</t>
  </si>
  <si>
    <t>Non-ferrous</t>
  </si>
  <si>
    <t>Other Organics(d)</t>
  </si>
  <si>
    <t>Concrete/Brick/Tiles</t>
  </si>
  <si>
    <t>Sand/Soil/Rubble</t>
  </si>
  <si>
    <t xml:space="preserve">Rubber </t>
  </si>
  <si>
    <t>Ewaste</t>
  </si>
  <si>
    <t>Other recyclables (a)</t>
  </si>
  <si>
    <t>Other (non-rec waste) (c)</t>
  </si>
  <si>
    <t>Conversion to NWDS categories</t>
  </si>
  <si>
    <t>Assumed to be out of scope</t>
  </si>
  <si>
    <t>Data not required - obtained from national plastics survey</t>
  </si>
  <si>
    <t>: data check</t>
  </si>
  <si>
    <t>: data needs to be checked to ensure it is best available before finalisation</t>
  </si>
  <si>
    <t>: data input from the source specified</t>
  </si>
  <si>
    <t>Data labels - do not change</t>
  </si>
  <si>
    <t>Waste data 2013-14: provided by the states and territories in 'Compiled NWDS reporting tool 2013-14'</t>
  </si>
  <si>
    <r>
      <t xml:space="preserve">Waste data to 2010-11: Workbooks created in 2015 that update the data in </t>
    </r>
    <r>
      <rPr>
        <i/>
        <u/>
        <sz val="10"/>
        <color rgb="FF0000FF"/>
        <rFont val="Calibri"/>
        <family val="2"/>
        <scheme val="minor"/>
      </rPr>
      <t>Waste Generation and Resource Recovery in Australia</t>
    </r>
    <r>
      <rPr>
        <sz val="10"/>
        <color theme="1"/>
        <rFont val="Calibri"/>
        <family val="2"/>
        <scheme val="minor"/>
      </rPr>
      <t xml:space="preserve"> (reporting period 2010-11) for consistency with the methods set out in this workbook</t>
    </r>
  </si>
  <si>
    <r>
      <t xml:space="preserve">Population data: Table 4 of ABS (2016) Australian Demographic Statistics, publication 3101.0, available from: </t>
    </r>
    <r>
      <rPr>
        <i/>
        <u/>
        <sz val="10"/>
        <color rgb="FF0000FF"/>
        <rFont val="Calibri"/>
        <family val="2"/>
        <scheme val="minor"/>
      </rPr>
      <t>www.abs.gov.au/ausstats/abs@.nsf/mf/3101.0</t>
    </r>
  </si>
  <si>
    <t>Recycling (Mt)</t>
  </si>
  <si>
    <t>Energy recovery (Mt)</t>
  </si>
  <si>
    <t>Generation (Mt)</t>
  </si>
  <si>
    <t>Generation (t/cap)</t>
  </si>
  <si>
    <t>Disposal (kt)</t>
  </si>
  <si>
    <t>Recycling (kt)</t>
  </si>
  <si>
    <t>En recovery (kt)</t>
  </si>
  <si>
    <t>Generation (kt)</t>
  </si>
  <si>
    <t>Av. AGR</t>
  </si>
  <si>
    <t>Table 4: ABS (Australian Bureau of Statistics, June 2015) Australian Demographic Statistics, Dec 14 publication 3101.0</t>
  </si>
  <si>
    <t xml:space="preserve"> = data check</t>
  </si>
  <si>
    <t>Notes -</t>
  </si>
  <si>
    <t>Total solid waste generation includes MSW, C&amp;I and C&amp;D.</t>
  </si>
  <si>
    <t>Canada</t>
  </si>
  <si>
    <t>Total generation is the sum of total non-hazardous residential and non-residential solid waste disposed of in an off-site disposal facility and the total materials processed for recycling at an off-site recycling facility. Residential non-hazardous waste disposal includes solid waste produced by all residences and includes waste that is picked up by the municipality (either using its own staff or through contracting firms), and waste from residential sources that is self-hauled to depots, transfer stations and disposal facilities. Non-residential waste includes municipal solid non-hazardous waste generated by industrial, commercial and institutional sources as well as waste generated by construction and demolition activities. C&amp;D excludes materials from land clearing on areas not previously developed as well as materials that include asphalt, concrete, bricks and clean sand or gravel.</t>
  </si>
  <si>
    <t>Denmark</t>
  </si>
  <si>
    <t xml:space="preserve">Total waste produced includes waste from households, building and construction sector, industry, service sector (including public institutions), utilities and other commercial waste. Denmark defines municipal waste as all waste from households as this waste is always collected by a municipal collection scheme and in addition fractions similar to household waste from the primary source ‘Institutions, Commerce and Offices’ as these fractions are also collected by a municipal scheme in Denmark. </t>
  </si>
  <si>
    <t>New Zealand</t>
  </si>
  <si>
    <t>Total solid waste generated includes waste from domestic, commercial, industrial, institutional sources.</t>
  </si>
  <si>
    <t>Norway</t>
  </si>
  <si>
    <t>Total waste generated refers to waste from industry, construction, service industries, private households, other or unspecified businesses.</t>
  </si>
  <si>
    <t>United Kingdom</t>
  </si>
  <si>
    <t>Total waste generated includes MSW, C&amp;I and C&amp;D. Local Authority Collected Waste (LACW) or Municipal Solid Waste (MSW) refers to household waste which is defined in the Controlled Waste Regulations 2012 as waste from domestic residences but also waste from a range of non-domestic premises, such as schools, nursing homes and hospitals as well as waste from other sources which is similar in nature and composition, which will include a significant proportion of waste generated by businesses and not collected by or on behalf of Local Authorities. Commercial &amp; Industrial (C&amp;I) waste as waste arising from any premises which are used wholly or mainly for trade, business activities, any factory and from any premises occupied by an industry excluding any municipal waste. Construction and Demolition (CD&amp;E) waste as waste arising from the construction, repair,maintenance and demolition of buildings and structures; which mainly includes brick, concrete, hardcore subsoil, and topsoil, as well as some timber, metal and plastics.</t>
  </si>
  <si>
    <t>United States</t>
  </si>
  <si>
    <t>Total waste generated includes MSW (and C&amp;I) and C&amp;D. MSW includes residential waste and waste from commercial and industrial locations but does not include C&amp;D, municipal wastewater treatment sludges, non-hazardous industrial wastes). MSW recovered includes tonnes recycled and composted.</t>
  </si>
  <si>
    <t>Total kilotonnes of waste generated, disposed and recovered in selected nations</t>
  </si>
  <si>
    <t>kg per capita of waste generated, disposed and recovered in selected OECD nations</t>
  </si>
  <si>
    <t>kt</t>
  </si>
  <si>
    <t>Country</t>
  </si>
  <si>
    <t>Population ('000)</t>
  </si>
  <si>
    <t>Recovery rate (%)</t>
  </si>
  <si>
    <t>Diversion rate (%)</t>
  </si>
  <si>
    <t>kg/cap</t>
  </si>
  <si>
    <r>
      <t>Australia</t>
    </r>
    <r>
      <rPr>
        <b/>
        <vertAlign val="superscript"/>
        <sz val="10"/>
        <color theme="1"/>
        <rFont val="Calibri"/>
        <family val="2"/>
        <scheme val="minor"/>
      </rPr>
      <t>1</t>
    </r>
  </si>
  <si>
    <t>Households</t>
  </si>
  <si>
    <t>Building and construction</t>
  </si>
  <si>
    <t>Industry</t>
  </si>
  <si>
    <t>Service sector (incl. public institutions)</t>
  </si>
  <si>
    <t>Utilities and other commercial waste</t>
  </si>
  <si>
    <t>-</t>
  </si>
  <si>
    <t>Construction</t>
  </si>
  <si>
    <t>Service industries</t>
  </si>
  <si>
    <t>Private households</t>
  </si>
  <si>
    <t>Other or unspecified business</t>
  </si>
  <si>
    <t>LACW</t>
  </si>
  <si>
    <t>CD&amp;E</t>
  </si>
  <si>
    <t>Note: tonnes disposed, recycled and recovered (total managed/treated) may not add up to the tonnes generated.</t>
  </si>
  <si>
    <t>Data sources</t>
  </si>
  <si>
    <t>Australian figure is based on 2014/15 waste quantities data from Trends and national data</t>
  </si>
  <si>
    <t>Based on 2011 data from The Danish Government (2013)</t>
  </si>
  <si>
    <t>http://mfvm.dk/fileadmin/user_upload/MFVM/Miljoe/Ressourcestrategi_UK_web.pdf</t>
  </si>
  <si>
    <t>Based on 2006 data from Environment NZ (2007)</t>
  </si>
  <si>
    <t>http://www.s-ge.com/sites/default/files/private_files/BBK_Waste_management_report_UK_0.pdf</t>
  </si>
  <si>
    <t>Based on 2014 data from Statistics Norway (2016)</t>
  </si>
  <si>
    <t>https://www.ssb.no/natur-og-miljo/statistikker/avfregno/aar/2016-05-25</t>
  </si>
  <si>
    <t>Based on 2011 data from Switzerland Global Enterprise</t>
  </si>
  <si>
    <t>https://www.epa.gov/sites/production/files/2015-09/documents/2013_advncng_smm_rpt.pdf</t>
  </si>
  <si>
    <t>Based on 2013 data US EPA (2013)</t>
  </si>
  <si>
    <t>https://www.epa.gov/sites/production/files/2015-11/documents/cd-meas.pdf</t>
  </si>
  <si>
    <t xml:space="preserve">Based on 2003 data US EPA (2003) </t>
  </si>
  <si>
    <t>Figure 1: Comparison of per capita waste generated, disposed and recovered (includes MSW, C&amp;I, C&amp;D) by Australia with other selected nations</t>
  </si>
  <si>
    <t>http://stats.oecd.org/index.aspx?r=389695</t>
  </si>
  <si>
    <t>https://data.oecd.org/waste/municipal-waste.htm</t>
  </si>
  <si>
    <t>Landfilled</t>
  </si>
  <si>
    <t>Composted</t>
  </si>
  <si>
    <t>Incineration without energy recovery</t>
  </si>
  <si>
    <t>Other recovery/beneficial reuse</t>
  </si>
  <si>
    <t>Other disposal</t>
  </si>
  <si>
    <t>Other/ unclassified</t>
  </si>
  <si>
    <t xml:space="preserve">Australia </t>
  </si>
  <si>
    <t>Austria</t>
  </si>
  <si>
    <t>Belgium</t>
  </si>
  <si>
    <t>Czech Republic</t>
  </si>
  <si>
    <t>Estonia</t>
  </si>
  <si>
    <t>Finland</t>
  </si>
  <si>
    <t>France</t>
  </si>
  <si>
    <t>Germany</t>
  </si>
  <si>
    <t>Greece</t>
  </si>
  <si>
    <t>Hungary</t>
  </si>
  <si>
    <t>Iceland</t>
  </si>
  <si>
    <t>Ireland</t>
  </si>
  <si>
    <t>Italy</t>
  </si>
  <si>
    <t>Korea</t>
  </si>
  <si>
    <t>Luxembourg</t>
  </si>
  <si>
    <t>Mexico</t>
  </si>
  <si>
    <t>Netherlands</t>
  </si>
  <si>
    <t>Poland</t>
  </si>
  <si>
    <t>Portugal</t>
  </si>
  <si>
    <t>Slovak Republic</t>
  </si>
  <si>
    <t>Slovenia</t>
  </si>
  <si>
    <t>Spain</t>
  </si>
  <si>
    <t>Sweden</t>
  </si>
  <si>
    <t>Switzerland</t>
  </si>
  <si>
    <t xml:space="preserve">Note: </t>
  </si>
  <si>
    <t xml:space="preserve">The 'Other/unclassified' column contains estimates based on the total MSW figure less the sum of the other categories. This was necessary as the OECD data for different management pathways often did not add up to the total MSW figure. </t>
  </si>
  <si>
    <t>Data for Australia are based on NWDS reporting</t>
  </si>
  <si>
    <t>Total MSW management (kg per capita)</t>
  </si>
  <si>
    <t>The following tables have been used to generate figures used in NWDS</t>
  </si>
  <si>
    <t>Disposed</t>
  </si>
  <si>
    <t>% MSW disposed</t>
  </si>
  <si>
    <t>Total recovered</t>
  </si>
  <si>
    <t>Recycled (%)</t>
  </si>
  <si>
    <t>Composted (%)</t>
  </si>
  <si>
    <t>Energy recovery (%)</t>
  </si>
  <si>
    <t>Other recovery/ beneficial reuse (%)</t>
  </si>
  <si>
    <t>Table 3 Summary of MSW generation and management in selected OECD nations</t>
  </si>
  <si>
    <t>kg/capita</t>
  </si>
  <si>
    <t>%</t>
  </si>
  <si>
    <t>International comparisons</t>
  </si>
  <si>
    <t>Comparisons of total solid waste</t>
  </si>
  <si>
    <t>Year</t>
  </si>
  <si>
    <t>Note that countries report waste differently.</t>
  </si>
  <si>
    <t>MSW management pathways (kg/capita)</t>
  </si>
  <si>
    <t>OECD data - Management of MSW (kt)</t>
  </si>
  <si>
    <t>Disposal (excl. energy recovery)</t>
  </si>
  <si>
    <t>Resource recovery pathways</t>
  </si>
  <si>
    <t>En. rec. + recycl.</t>
  </si>
  <si>
    <t>Generation (highest)</t>
  </si>
  <si>
    <t>Disposed (highest)</t>
  </si>
  <si>
    <t>Recycled (highest)</t>
  </si>
  <si>
    <t>Energy recovery (highest)</t>
  </si>
  <si>
    <t>Data:</t>
  </si>
  <si>
    <t>Definitions:</t>
  </si>
  <si>
    <t>Gross state or territory product</t>
  </si>
  <si>
    <t>by jurisdiction &amp; year</t>
  </si>
  <si>
    <t>Population (thousands) and gross state or regional product  ($ billions)</t>
  </si>
  <si>
    <t>Gross state product</t>
  </si>
  <si>
    <r>
      <t xml:space="preserve">Australian Bureau of Statistics (2015) Australian Demographic Statistics, Publication 3101, available from: </t>
    </r>
    <r>
      <rPr>
        <u/>
        <sz val="10"/>
        <color rgb="FF0000FF"/>
        <rFont val="Calibri"/>
        <family val="2"/>
        <scheme val="minor"/>
      </rPr>
      <t>www.abs.gov.au/ausstats/abs@.nsf/mf/3101.0</t>
    </r>
  </si>
  <si>
    <r>
      <rPr>
        <sz val="10"/>
        <rFont val="Calibri"/>
        <family val="2"/>
        <scheme val="minor"/>
      </rPr>
      <t>Australian Bureau of Statistics (2015) AustAustralian National Accounts: State Accounts, Publication 5220, available from:</t>
    </r>
    <r>
      <rPr>
        <u/>
        <sz val="10"/>
        <color theme="10"/>
        <rFont val="Calibri"/>
        <family val="2"/>
        <scheme val="minor"/>
      </rPr>
      <t xml:space="preserve"> www.abs.gov.au/ausstats/abs@.nsf/mf/3101.0</t>
    </r>
  </si>
  <si>
    <t xml:space="preserve">Figure 2: Comparison of MSW generation per capita in selected nations </t>
  </si>
  <si>
    <t>Number of countries</t>
  </si>
  <si>
    <t>Rank</t>
  </si>
  <si>
    <t>Recovery rate (highest)</t>
  </si>
  <si>
    <t>The proportion of organic waste composted in Qld &amp; SA that is derived from municipal sources is</t>
  </si>
  <si>
    <t>a) Australia</t>
  </si>
  <si>
    <t>b) Denmark</t>
  </si>
  <si>
    <t>c) New Zealand</t>
  </si>
  <si>
    <t>d) Norway</t>
  </si>
  <si>
    <t>e) United Kingdom</t>
  </si>
  <si>
    <t>f) United States</t>
  </si>
  <si>
    <r>
      <t>Denmark</t>
    </r>
    <r>
      <rPr>
        <b/>
        <vertAlign val="superscript"/>
        <sz val="10"/>
        <color theme="1"/>
        <rFont val="Calibri"/>
        <family val="2"/>
        <scheme val="minor"/>
      </rPr>
      <t>2</t>
    </r>
  </si>
  <si>
    <r>
      <t>New Zealand</t>
    </r>
    <r>
      <rPr>
        <b/>
        <vertAlign val="superscript"/>
        <sz val="10"/>
        <color theme="1"/>
        <rFont val="Calibri"/>
        <family val="2"/>
        <scheme val="minor"/>
      </rPr>
      <t>3</t>
    </r>
  </si>
  <si>
    <r>
      <t>Norway</t>
    </r>
    <r>
      <rPr>
        <b/>
        <vertAlign val="superscript"/>
        <sz val="10"/>
        <color theme="1"/>
        <rFont val="Calibri"/>
        <family val="2"/>
        <scheme val="minor"/>
      </rPr>
      <t>4</t>
    </r>
  </si>
  <si>
    <r>
      <t>United Kingdom</t>
    </r>
    <r>
      <rPr>
        <b/>
        <vertAlign val="superscript"/>
        <sz val="10"/>
        <color theme="1"/>
        <rFont val="Calibri"/>
        <family val="2"/>
        <scheme val="minor"/>
      </rPr>
      <t>5</t>
    </r>
  </si>
  <si>
    <r>
      <t>MSW/C&amp;I</t>
    </r>
    <r>
      <rPr>
        <vertAlign val="superscript"/>
        <sz val="10"/>
        <color theme="1"/>
        <rFont val="Calibri"/>
        <family val="2"/>
        <scheme val="minor"/>
      </rPr>
      <t>6</t>
    </r>
  </si>
  <si>
    <r>
      <t>C&amp;D</t>
    </r>
    <r>
      <rPr>
        <vertAlign val="superscript"/>
        <sz val="10"/>
        <color theme="1"/>
        <rFont val="Calibri"/>
        <family val="2"/>
        <scheme val="minor"/>
      </rPr>
      <t>6,7</t>
    </r>
  </si>
  <si>
    <t>Data outputs</t>
  </si>
  <si>
    <r>
      <rPr>
        <b/>
        <sz val="10"/>
        <color theme="1"/>
        <rFont val="Calibri"/>
        <family val="2"/>
        <scheme val="minor"/>
      </rPr>
      <t>Jurisdiction</t>
    </r>
    <r>
      <rPr>
        <b/>
        <sz val="10"/>
        <color theme="0"/>
        <rFont val="Calibri"/>
        <family val="2"/>
        <scheme val="minor"/>
      </rPr>
      <t>al data inputs</t>
    </r>
  </si>
  <si>
    <t>Data year:</t>
  </si>
  <si>
    <t>Introduction to the National Waste Data Set Reporting Tool</t>
  </si>
  <si>
    <t>Overview</t>
  </si>
  <si>
    <t>http://www.mfe.govt.nz/publications/environmental-reporting/environment-new-zealand-2007</t>
  </si>
  <si>
    <t xml:space="preserve">The tool was initially issued with accompanying documentation describing the reporting method, standard operating procedures, and a user guide for this reporting tool. </t>
  </si>
  <si>
    <t>The worksheets in the tool are described below.</t>
  </si>
  <si>
    <r>
      <t xml:space="preserve">This tool is designed to accept waste data from the states and territories and other sources, and transform and compile that data into a jurisdictional subset of the national waste data set (NWDS). It does so based on an agreed scope, method and set of assumptions. This tool is designed so that each jurisdiction can enter its own data, and can directly check the process for 'translating' this data into the NWDS template, including the detailed steps, assumptions and calculations. The outputs of this tool comprise each jurisdiction's data in the NWDS template, for use by the Department in producing Australia's NWDS and </t>
    </r>
    <r>
      <rPr>
        <i/>
        <sz val="10"/>
        <color theme="1"/>
        <rFont val="Calibri"/>
        <family val="2"/>
        <scheme val="minor"/>
      </rPr>
      <t>National Waste Report</t>
    </r>
    <r>
      <rPr>
        <sz val="10"/>
        <color theme="1"/>
        <rFont val="Calibri"/>
        <family val="2"/>
        <scheme val="minor"/>
      </rPr>
      <t xml:space="preserve">. </t>
    </r>
  </si>
  <si>
    <t xml:space="preserve">The tool will require updating to take into account changes to state and territory systems for collecting, categorising and analysing their waste data. The need for flexibility is the reason why Microsoft Excel was selected as the basis for this data collection and manipulation. </t>
  </si>
  <si>
    <t>This worksheet contains national data from industry and other sources, and derives national average composition values that are applied to jurisdictions that do not collect the required composition data.</t>
  </si>
  <si>
    <t>A worksheet for each jurisdiction shows collated and adjusted waste data in the NWDS template and generates relevant overview data and charts. Another worksheet shows trends and national data, and a final worksheet compares Australia's waste data with that of various other countries.</t>
  </si>
  <si>
    <t>Waste generation per capita, annual trends by jurisdiction, Australia 2006-07 to 2014-15</t>
  </si>
  <si>
    <t>Kilograms per capita</t>
  </si>
  <si>
    <t>Methane recovered for energy generation</t>
  </si>
  <si>
    <t>ACT:  EDL LFG rpt provided by Ratwatte Gayan of ACT NoWaste</t>
  </si>
  <si>
    <t>Other jurisdictions: Dept of Env. &amp; Energy</t>
  </si>
  <si>
    <t>Density of methane (t/SCM)</t>
  </si>
  <si>
    <t>Indexed</t>
  </si>
  <si>
    <t>Factor</t>
  </si>
  <si>
    <t>Generation (kg per capita)</t>
  </si>
  <si>
    <t>Kg per capita</t>
  </si>
  <si>
    <t>y-value to index</t>
  </si>
  <si>
    <t>Kilograms/ capita</t>
  </si>
  <si>
    <t>Generation (kg/cap)</t>
  </si>
  <si>
    <t>National hazwaste data collation 2015 - Basel submission.xlsx</t>
  </si>
  <si>
    <t>TOTAL (excl. fly ash)</t>
  </si>
  <si>
    <t>National hazardous waste data compilation 2014-15</t>
  </si>
  <si>
    <t xml:space="preserve">Blue Environment adjustment to make source stream totals match material totals: </t>
  </si>
  <si>
    <t xml:space="preserve">John Vanzo, adjusted by Joe Pickin (see comment) </t>
  </si>
  <si>
    <t>Converted to NWDS-based categories excluding 'other' &amp; clean excavated material</t>
  </si>
  <si>
    <t>Organics, paper &amp; c'bd</t>
  </si>
  <si>
    <t>Organics, paper &amp; c'bd, l&amp;t, rubber</t>
  </si>
  <si>
    <t>Sources: 2014-15 reports provided by jurisdictions</t>
  </si>
  <si>
    <t>Megatonnes of material</t>
  </si>
  <si>
    <t>Megatonnes of organics</t>
  </si>
  <si>
    <t>The proportion of tracked tonnes from NSW, Qld, Vic and WA sent to each fate category in 2014-15</t>
  </si>
  <si>
    <t>Weighted average</t>
  </si>
  <si>
    <t>Other soil/sludges incl. biosolids</t>
  </si>
  <si>
    <t>See below</t>
  </si>
  <si>
    <t>Waste generated by fate and stream, Australia 2014-15</t>
  </si>
  <si>
    <t>Waste generated per capita by fate, stream and jurisdiction, Australia 2014-15</t>
  </si>
  <si>
    <t>by jurisdiction, fate &amp; source sector</t>
  </si>
  <si>
    <t>Waste generated per capita by fate and jurisdiction, Australia 2014-15</t>
  </si>
  <si>
    <t>Waste generated by fate and jurisdiction, Australia 2014-15</t>
  </si>
  <si>
    <t>Organic waste generated by type and fate, Australia 2014-15</t>
  </si>
  <si>
    <t>by fate and material type</t>
  </si>
  <si>
    <t>by jurisdiction, fate &amp; year</t>
  </si>
  <si>
    <t>MSW generation and fate, annual trends, Australia 2006-07 to 2014-15</t>
  </si>
  <si>
    <t>C&amp;D waste generation and fate, annual trends, Australia 2006-07 to 2014-15</t>
  </si>
  <si>
    <t>National waste quantity trends by sector and fate</t>
  </si>
  <si>
    <t>Masonry materials waste generation and fate, annual trends, Australia 2006-07 to 2014-15</t>
  </si>
  <si>
    <t>Metals waste generation and fate, annual trends, Australia 2006-07 to 2014-15</t>
  </si>
  <si>
    <t>Organic waste generation and fate, annual trends, Australia 2006-07 to 2014-15</t>
  </si>
  <si>
    <t>Paper &amp; cardboard waste generation and fate, annual trends, Australia 2006-07 to 2014-15</t>
  </si>
  <si>
    <t>Plastic waste generation and fate, annual trends, Australia 2006-07 to 2014-15</t>
  </si>
  <si>
    <t>Glass waste generation and fate, annual trends, Australia 2006-07 to 2014-15</t>
  </si>
  <si>
    <t>Fly ash generation and fate, annual trends, Australia 2006-07 to 2014-15</t>
  </si>
  <si>
    <t>National waste quantity trends by material and fate</t>
  </si>
  <si>
    <t>Waste generated, total and per capita, by fate, Australia 2014-15</t>
  </si>
  <si>
    <t>Excl. fly ash &amp; hazwaste</t>
  </si>
  <si>
    <t>Excl. hazwaste</t>
  </si>
  <si>
    <t>TOTAL</t>
  </si>
  <si>
    <t>TOTAL (excl. fly ash &amp; other hazwaste)</t>
  </si>
  <si>
    <t>Excl. hazwaste &amp; fly ash</t>
  </si>
  <si>
    <t>C&amp;I incl. fly ash</t>
  </si>
  <si>
    <t>C&amp;I excl. fly ash</t>
  </si>
  <si>
    <t>Waste generation and fate, annual trends including fly ash, Australia 2006-07 to 2014-15</t>
  </si>
  <si>
    <t>Waste generation and fate, annual trends excluding fly ash, Australia 2006-07 to 2014-15</t>
  </si>
  <si>
    <t>NSW excl. fly ash</t>
  </si>
  <si>
    <t>Qld excl. fly ash</t>
  </si>
  <si>
    <t>SA excl. fly ash</t>
  </si>
  <si>
    <t>Vic excl. fly ash</t>
  </si>
  <si>
    <t>WA excl. fly ash</t>
  </si>
  <si>
    <t>C&amp;I waste generation and fate, annual trends excluding fly ash, Australia 2006-07 to 2014-15</t>
  </si>
  <si>
    <r>
      <t xml:space="preserve">Waste quantity trends - </t>
    </r>
    <r>
      <rPr>
        <b/>
        <sz val="12"/>
        <color rgb="FFFF0000"/>
        <rFont val="Calibri"/>
        <family val="2"/>
        <scheme val="minor"/>
      </rPr>
      <t>EXCLUDING FLY ASH</t>
    </r>
  </si>
  <si>
    <r>
      <t xml:space="preserve">Waste quantity trends - </t>
    </r>
    <r>
      <rPr>
        <b/>
        <sz val="12"/>
        <color rgb="FFFF0000"/>
        <rFont val="Calibri"/>
        <family val="2"/>
        <scheme val="minor"/>
      </rPr>
      <t>INCLUDING FLY ASH</t>
    </r>
  </si>
  <si>
    <t>by fate &amp; year</t>
  </si>
  <si>
    <t>by material, fate &amp; year</t>
  </si>
  <si>
    <t>Mega-tonnes</t>
  </si>
  <si>
    <t>Total excl. fly ash</t>
  </si>
  <si>
    <t>Total excl. fly ash &amp; hazwaste</t>
  </si>
  <si>
    <t>Hazwaste</t>
  </si>
  <si>
    <t>Generation excl. fly ash (Mt)</t>
  </si>
  <si>
    <t>Generation incl. fly ash (Mt)</t>
  </si>
  <si>
    <t>Trends in waste generation and fate excluding fly ash, 2006-07 to 2014-15</t>
  </si>
  <si>
    <t>Total excl. hazwaste</t>
  </si>
  <si>
    <t>Total incl. fly ash &amp; hazwaste</t>
  </si>
  <si>
    <t xml:space="preserve">1. Calculate the annual change in the total quantity of waste in each source stream (MSW, C&amp;I and C&amp;D) generated per capita in all jurisdictions except NSW from 2012-13 to 2014-15. </t>
  </si>
  <si>
    <t>2. Assume the annual changes in waste generation per capita per stream in NSW were identical to this national average. Apply these to the last complete NSW data set (2012-13) to derive an estimate of NSW generation by stream by year in 2014-15.</t>
  </si>
  <si>
    <t>3. Subtract the NSW landfill quantities in each stream in 2014-15 (which we have received) to obtain an estimate of recycling by stream.</t>
  </si>
  <si>
    <t>4. Assume the proportional split of recyclables by material and stream in NSW in 2012-13 applied to 2014-15, and so derive an estimate of the missing recycling data by material and stream.</t>
  </si>
  <si>
    <t>5. Estimate 2013-14 data on recycling by material and stream by averaging the 2012-13 data and 2014-15 data/estimate.</t>
  </si>
  <si>
    <t>METHOD</t>
  </si>
  <si>
    <t>C&amp;I
(excl. fly ash)</t>
  </si>
  <si>
    <t>Total quantity of waste by source stream in all jurisdictions except NSW (kt)</t>
  </si>
  <si>
    <t>Pop'n Austr. excl. NSW</t>
  </si>
  <si>
    <t>Total quantity per capita of waste by source stream in all jurisdictions except NSW (t/person)</t>
  </si>
  <si>
    <t>Waste generation in NSW</t>
  </si>
  <si>
    <t>Waste generation per capita in NSW</t>
  </si>
  <si>
    <t>Pop'n NSW</t>
  </si>
  <si>
    <t>NWDS category proportions</t>
  </si>
  <si>
    <t>2014-15 NSW estimates</t>
  </si>
  <si>
    <t>Waste generation</t>
  </si>
  <si>
    <t>Waste recycling</t>
  </si>
  <si>
    <t>2013-14 NSW estimates</t>
  </si>
  <si>
    <t>Other(e)AWT Asphalt</t>
  </si>
  <si>
    <t>plastics</t>
  </si>
  <si>
    <t>% change in waste per capita in all jurisdictions except NSW</t>
  </si>
  <si>
    <t>12-13 to '14-15</t>
  </si>
  <si>
    <t>Calculation step 1</t>
  </si>
  <si>
    <t>Calculation step 2</t>
  </si>
  <si>
    <t>Calculation step 3</t>
  </si>
  <si>
    <t>Calculation step 4</t>
  </si>
  <si>
    <t>Calculation step 5</t>
  </si>
  <si>
    <t>CALCULATIONS</t>
  </si>
  <si>
    <t>Data source</t>
  </si>
  <si>
    <t>NSW recycling data for 2012-13</t>
  </si>
  <si>
    <t>Email from Ron White to Joe Pickin, 30/8/16</t>
  </si>
  <si>
    <t>Population in Dec</t>
  </si>
  <si>
    <t xml:space="preserve">Waste to landfill </t>
  </si>
  <si>
    <t>Excl. trackable waste, asbestos &amp; contam. soil, which are included in 'Basel data'</t>
  </si>
  <si>
    <t>Assumed = metals</t>
  </si>
  <si>
    <t>Assumed = masonry materials</t>
  </si>
  <si>
    <t>2014-15 data not available. Estimate derived below (from row 168).</t>
  </si>
  <si>
    <t>Derivation of an estimate of 2014-15 recycling quantities</t>
  </si>
  <si>
    <t>DATA SOURCES</t>
  </si>
  <si>
    <t>ABS 3101.0</t>
  </si>
  <si>
    <r>
      <t xml:space="preserve">Collated from data provided for producing </t>
    </r>
    <r>
      <rPr>
        <i/>
        <sz val="10"/>
        <rFont val="Calibri"/>
        <family val="2"/>
        <scheme val="minor"/>
      </rPr>
      <t>Waste Generation and Resource Recovery in Australia, 2010-11</t>
    </r>
    <r>
      <rPr>
        <sz val="10"/>
        <rFont val="Calibri"/>
        <family val="2"/>
        <scheme val="minor"/>
      </rPr>
      <t>, adjusted for consistency with the method used in this data tool</t>
    </r>
  </si>
  <si>
    <t>Collated from data provided for this project</t>
  </si>
  <si>
    <t>Data in kilotonnes</t>
  </si>
  <si>
    <t>Waste recycled, excluding hazardous waste</t>
  </si>
  <si>
    <t>Categories excluded from this calculation</t>
  </si>
  <si>
    <t>Hazardous waste</t>
  </si>
  <si>
    <t>Totals excl. hazwaste &amp; plastic</t>
  </si>
  <si>
    <t>Kilograms / capita</t>
  </si>
  <si>
    <t>Total net energy consumption in Australia produced from coal (PJ)</t>
  </si>
  <si>
    <t>Data source:</t>
  </si>
  <si>
    <t>Table C1, Australian Energy Statistics, available from: https://industry.gov.au/Office-of-the-Chief-Economist/Publications/Pages/Australian-energy-statistics.aspx#</t>
  </si>
  <si>
    <t>Energy from coal (PJ)</t>
  </si>
  <si>
    <t>Waste generated by material category and fate, Australia 2014-15 (main report)</t>
  </si>
  <si>
    <t>Waste generated by material category and fate, Australia 2014-15 ('at a glance' section)</t>
  </si>
  <si>
    <t>Other recovery / beneficial reuse</t>
  </si>
  <si>
    <t>Charts resized for the 'at a glance' section</t>
  </si>
  <si>
    <t>Chart column headings</t>
  </si>
  <si>
    <t>Additional food waste calculations</t>
  </si>
  <si>
    <t>Food waste split proportions</t>
  </si>
  <si>
    <t>Megatonnes of food waste</t>
  </si>
  <si>
    <t>Food waste (total)</t>
  </si>
  <si>
    <t>Food waste (hazardous)</t>
  </si>
  <si>
    <t>Food waste (non-hazardous, municipal)</t>
  </si>
  <si>
    <t>Food waste (non-hazardous, total)</t>
  </si>
  <si>
    <t>Non-hazardous, C&amp;I</t>
  </si>
  <si>
    <t>Non-hazardous, all</t>
  </si>
  <si>
    <t>Hazardous, C&amp;I</t>
  </si>
  <si>
    <t>MSW food</t>
  </si>
  <si>
    <t>C&amp;I food</t>
  </si>
  <si>
    <t>All food</t>
  </si>
  <si>
    <t>Non-hazardous organics</t>
  </si>
  <si>
    <t>All organics</t>
  </si>
  <si>
    <t>Food waste generation and fate by source sector, Australia 2014-15</t>
  </si>
  <si>
    <t>Where the new datum is more than 20% different from the old datum, this is indicated by a red border and a message at the top of the jurisdictional data input worksheet asking that the datum is checked. There are no validation checks for data categories that do not have clearly corresponding data from the previous national data collation.</t>
  </si>
  <si>
    <t xml:space="preserve">Data entries are compared with the corresponding jurisdictional data from the previous national data collation. For most jurisdictions, the comparison is with 2013-14; for others, it is 2010-11 (the year </t>
  </si>
  <si>
    <t>This tool was originally created for the Australian Government Department of the Environment in 2015 by a consultancy team comprising Randell Environmental Consulting, Blue Environment and Ascend Waste and Environment. It was updated in 2016 by Blue Environment. Inquiries to Joe Pickin of Blue Environment (joe.pickin@blueenvironment.com.au; 0403 562 621) or Paul Randell of Randell Environmental Consulting (paul@randellenvironmental.com.au; 0429 501 717).</t>
  </si>
  <si>
    <t>A worksheet for each state and territory (a) sets out the calculation steps, assumptions and classifications steps for converting jurisdictional data to the NWDS template; (b) provides space for jurisdictions to enter data and descriptions of data (metadata); and (c) converts data in jurisdictional data categories to national categories.</t>
  </si>
  <si>
    <t>This worksheet is extracted from the adjusted data collated from the jurisdictions' submissions to Australia's annual report to the Basel Convention on hazardous waste.</t>
  </si>
  <si>
    <r>
      <rPr>
        <sz val="10"/>
        <rFont val="Calibri"/>
        <family val="2"/>
        <scheme val="minor"/>
      </rPr>
      <t xml:space="preserve">considered </t>
    </r>
    <r>
      <rPr>
        <sz val="10"/>
        <color theme="1"/>
        <rFont val="Calibri"/>
        <family val="2"/>
        <scheme val="minor"/>
      </rPr>
      <t xml:space="preserve">in </t>
    </r>
    <r>
      <rPr>
        <u/>
        <sz val="10"/>
        <color theme="10"/>
        <rFont val="Calibri"/>
        <family val="2"/>
        <scheme val="minor"/>
      </rPr>
      <t>Waste Generation and Resource Recovery in Australia</t>
    </r>
    <r>
      <rPr>
        <sz val="10"/>
        <color theme="1"/>
        <rFont val="Calibri"/>
        <family val="2"/>
        <scheme val="minor"/>
      </rPr>
      <t>).</t>
    </r>
  </si>
  <si>
    <t>Final v4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</si>
</sst>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_(* #,##0.00_);_(* \(#,##0.00\);_(* &quot;-&quot;??_);_(@_)"/>
    <numFmt numFmtId="165" formatCode="0.0%"/>
    <numFmt numFmtId="166" formatCode="_-* #,##0_-;\-* #,##0_-;_-* &quot;-&quot;??_-;_-@_-"/>
    <numFmt numFmtId="167" formatCode="0.0"/>
    <numFmt numFmtId="168" formatCode="#,##0.000"/>
    <numFmt numFmtId="169" formatCode="#,##0_ ;\-#,##0\ "/>
    <numFmt numFmtId="170" formatCode="#,##0.0"/>
    <numFmt numFmtId="171" formatCode="0.000000000000000000%"/>
    <numFmt numFmtId="172" formatCode="_ * #,##0_ ;_ * \-#,##0_ ;_ * &quot;-&quot;_ ;_ @_ "/>
    <numFmt numFmtId="173" formatCode="_ * #,##0.00_ ;_ * \-#,##0.00_ ;_ * &quot;-&quot;??_ ;_ @_ "/>
    <numFmt numFmtId="174" formatCode="#,###,##0"/>
    <numFmt numFmtId="175" formatCode="mmm\ yyyy"/>
    <numFmt numFmtId="176" formatCode="#,##0.0000000"/>
    <numFmt numFmtId="177" formatCode="_-* #,##0.000_-;\-* #,##0.000_-;_-* &quot;-&quot;??_-;_-@_-"/>
    <numFmt numFmtId="178" formatCode="0.00000000000000%"/>
    <numFmt numFmtId="179" formatCode="0.000000000000000%"/>
  </numFmts>
  <fonts count="145" x14ac:knownFonts="1">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b/>
      <sz val="16"/>
      <color theme="0"/>
      <name val="Calibri"/>
      <family val="2"/>
      <scheme val="minor"/>
    </font>
    <font>
      <b/>
      <sz val="14"/>
      <color theme="1"/>
      <name val="Calibri"/>
      <family val="2"/>
      <scheme val="minor"/>
    </font>
    <font>
      <sz val="10"/>
      <name val="Calibri"/>
      <family val="2"/>
      <scheme val="minor"/>
    </font>
    <font>
      <b/>
      <sz val="14"/>
      <color theme="0"/>
      <name val="Calibri"/>
      <family val="2"/>
      <scheme val="minor"/>
    </font>
    <font>
      <i/>
      <sz val="10"/>
      <color theme="1"/>
      <name val="Calibri"/>
      <family val="2"/>
      <scheme val="minor"/>
    </font>
    <font>
      <sz val="11"/>
      <color theme="1"/>
      <name val="Calibri"/>
      <family val="2"/>
      <scheme val="minor"/>
    </font>
    <font>
      <sz val="10"/>
      <name val="Arial"/>
      <family val="2"/>
    </font>
    <font>
      <b/>
      <sz val="9"/>
      <color indexed="81"/>
      <name val="Tahoma"/>
      <family val="2"/>
    </font>
    <font>
      <sz val="9"/>
      <color indexed="81"/>
      <name val="Tahoma"/>
      <family val="2"/>
    </font>
    <font>
      <b/>
      <sz val="10"/>
      <color theme="0"/>
      <name val="Calibri"/>
      <family val="2"/>
      <scheme val="minor"/>
    </font>
    <font>
      <sz val="10"/>
      <color rgb="FFFF0000"/>
      <name val="Calibri"/>
      <family val="2"/>
      <scheme val="minor"/>
    </font>
    <font>
      <b/>
      <sz val="10"/>
      <color theme="1"/>
      <name val="Calibri"/>
      <family val="2"/>
      <scheme val="minor"/>
    </font>
    <font>
      <b/>
      <sz val="12"/>
      <color theme="0"/>
      <name val="Calibri"/>
      <family val="2"/>
      <scheme val="minor"/>
    </font>
    <font>
      <sz val="10"/>
      <color rgb="FF00B050"/>
      <name val="Calibri"/>
      <family val="2"/>
      <scheme val="minor"/>
    </font>
    <font>
      <sz val="10"/>
      <color theme="0" tint="-0.34998626667073579"/>
      <name val="Calibri"/>
      <family val="2"/>
      <scheme val="minor"/>
    </font>
    <font>
      <b/>
      <i/>
      <sz val="10"/>
      <color theme="1"/>
      <name val="Calibri"/>
      <family val="2"/>
      <scheme val="minor"/>
    </font>
    <font>
      <b/>
      <sz val="10"/>
      <name val="Calibri"/>
      <family val="2"/>
      <scheme val="minor"/>
    </font>
    <font>
      <i/>
      <sz val="10"/>
      <color theme="0" tint="-0.34998626667073579"/>
      <name val="Calibri"/>
      <family val="2"/>
      <scheme val="minor"/>
    </font>
    <font>
      <i/>
      <sz val="10"/>
      <color rgb="FFFF0000"/>
      <name val="Calibri"/>
      <family val="2"/>
      <scheme val="minor"/>
    </font>
    <font>
      <b/>
      <sz val="10"/>
      <color theme="5" tint="-0.249977111117893"/>
      <name val="Calibri"/>
      <family val="2"/>
      <scheme val="minor"/>
    </font>
    <font>
      <b/>
      <sz val="10"/>
      <color theme="5" tint="0.39997558519241921"/>
      <name val="Calibri"/>
      <family val="2"/>
      <scheme val="minor"/>
    </font>
    <font>
      <sz val="10"/>
      <color rgb="FF0000FF"/>
      <name val="Calibri"/>
      <family val="2"/>
      <scheme val="minor"/>
    </font>
    <font>
      <sz val="14"/>
      <name val="Calibri"/>
      <family val="2"/>
      <scheme val="minor"/>
    </font>
    <font>
      <i/>
      <sz val="10"/>
      <color theme="0" tint="-0.249977111117893"/>
      <name val="Calibri"/>
      <family val="2"/>
      <scheme val="minor"/>
    </font>
    <font>
      <sz val="10"/>
      <color theme="0" tint="-0.249977111117893"/>
      <name val="Calibri"/>
      <family val="2"/>
      <scheme val="minor"/>
    </font>
    <font>
      <u/>
      <sz val="11"/>
      <color theme="10"/>
      <name val="Calibri"/>
      <family val="2"/>
      <scheme val="minor"/>
    </font>
    <font>
      <u/>
      <sz val="10"/>
      <color theme="10"/>
      <name val="Calibri"/>
      <family val="2"/>
      <scheme val="minor"/>
    </font>
    <font>
      <sz val="12"/>
      <color theme="1"/>
      <name val="Calibri"/>
      <family val="2"/>
      <scheme val="minor"/>
    </font>
    <font>
      <b/>
      <sz val="12"/>
      <color theme="1"/>
      <name val="Calibri"/>
      <family val="2"/>
      <scheme val="minor"/>
    </font>
    <font>
      <sz val="10"/>
      <color theme="0"/>
      <name val="Calibri"/>
      <family val="2"/>
      <scheme val="minor"/>
    </font>
    <font>
      <sz val="16"/>
      <color theme="0"/>
      <name val="Calibri"/>
      <family val="2"/>
      <scheme val="minor"/>
    </font>
    <font>
      <b/>
      <sz val="10"/>
      <color indexed="8"/>
      <name val="Calibri"/>
      <family val="2"/>
    </font>
    <font>
      <sz val="10"/>
      <color indexed="8"/>
      <name val="Calibri"/>
      <family val="2"/>
      <scheme val="minor"/>
    </font>
    <font>
      <i/>
      <sz val="10"/>
      <name val="Calibri"/>
      <family val="2"/>
      <scheme val="minor"/>
    </font>
    <font>
      <b/>
      <sz val="12"/>
      <color theme="9" tint="-0.249977111117893"/>
      <name val="Calibri"/>
      <family val="2"/>
      <scheme val="minor"/>
    </font>
    <font>
      <sz val="10"/>
      <color theme="0" tint="-0.14999847407452621"/>
      <name val="Calibri"/>
      <family val="2"/>
      <scheme val="minor"/>
    </font>
    <font>
      <b/>
      <sz val="10"/>
      <color theme="0" tint="-0.14999847407452621"/>
      <name val="Calibri"/>
      <family val="2"/>
      <scheme val="minor"/>
    </font>
    <font>
      <b/>
      <sz val="20"/>
      <color rgb="FFFF0000"/>
      <name val="Calibri"/>
      <family val="2"/>
      <scheme val="minor"/>
    </font>
    <font>
      <i/>
      <sz val="12"/>
      <color theme="0"/>
      <name val="Calibri"/>
      <family val="2"/>
      <scheme val="minor"/>
    </font>
    <font>
      <sz val="12"/>
      <color theme="0"/>
      <name val="Calibri"/>
      <family val="2"/>
      <scheme val="minor"/>
    </font>
    <font>
      <b/>
      <sz val="10"/>
      <color rgb="FF000000"/>
      <name val="Calibri"/>
      <family val="2"/>
      <scheme val="minor"/>
    </font>
    <font>
      <sz val="10"/>
      <color rgb="FF000000"/>
      <name val="Calibri"/>
      <family val="2"/>
      <scheme val="minor"/>
    </font>
    <font>
      <u/>
      <sz val="10"/>
      <color theme="1"/>
      <name val="Calibri"/>
      <family val="2"/>
      <scheme val="minor"/>
    </font>
    <font>
      <b/>
      <sz val="10"/>
      <color theme="9" tint="-0.249977111117893"/>
      <name val="Calibri"/>
      <family val="2"/>
      <scheme val="minor"/>
    </font>
    <font>
      <sz val="10"/>
      <color rgb="FF00B050"/>
      <name val="Calibri"/>
      <family val="2"/>
    </font>
    <font>
      <sz val="10"/>
      <name val="Calibri"/>
      <family val="2"/>
    </font>
    <font>
      <i/>
      <sz val="10"/>
      <color theme="0" tint="-0.499984740745262"/>
      <name val="Calibri"/>
      <family val="2"/>
      <scheme val="minor"/>
    </font>
    <font>
      <b/>
      <sz val="10"/>
      <color theme="5" tint="-0.499984740745262"/>
      <name val="Calibri"/>
      <family val="2"/>
      <scheme val="minor"/>
    </font>
    <font>
      <sz val="10"/>
      <color theme="5" tint="-0.499984740745262"/>
      <name val="Calibri"/>
      <family val="2"/>
      <scheme val="minor"/>
    </font>
    <font>
      <b/>
      <i/>
      <sz val="10"/>
      <color theme="5" tint="-0.499984740745262"/>
      <name val="Calibri"/>
      <family val="2"/>
      <scheme val="minor"/>
    </font>
    <font>
      <b/>
      <sz val="10"/>
      <color theme="0" tint="-0.34998626667073579"/>
      <name val="Calibri"/>
      <family val="2"/>
      <scheme val="minor"/>
    </font>
    <font>
      <u/>
      <sz val="11"/>
      <color rgb="FF0000FF"/>
      <name val="Calibri"/>
      <family val="2"/>
      <scheme val="minor"/>
    </font>
    <font>
      <sz val="16"/>
      <color theme="0" tint="-0.34998626667073579"/>
      <name val="Calibri"/>
      <family val="2"/>
      <scheme val="minor"/>
    </font>
    <font>
      <b/>
      <sz val="10"/>
      <color theme="0" tint="-0.34998626667073579"/>
      <name val="Calibri"/>
      <family val="2"/>
    </font>
    <font>
      <b/>
      <sz val="12"/>
      <color theme="0" tint="-0.34998626667073579"/>
      <name val="Calibri"/>
      <family val="2"/>
      <scheme val="minor"/>
    </font>
    <font>
      <sz val="12"/>
      <name val="Calibri"/>
      <family val="2"/>
      <scheme val="minor"/>
    </font>
    <font>
      <b/>
      <sz val="10"/>
      <color rgb="FFFF0000"/>
      <name val="Calibri"/>
      <family val="2"/>
      <scheme val="minor"/>
    </font>
    <font>
      <b/>
      <sz val="14"/>
      <color rgb="FFFF0000"/>
      <name val="Calibri"/>
      <family val="2"/>
      <scheme val="minor"/>
    </font>
    <font>
      <b/>
      <sz val="11"/>
      <color theme="1"/>
      <name val="Calibri"/>
      <family val="2"/>
      <scheme val="minor"/>
    </font>
    <font>
      <sz val="11"/>
      <color rgb="FF000000"/>
      <name val="Calibri"/>
      <family val="2"/>
      <scheme val="minor"/>
    </font>
    <font>
      <b/>
      <sz val="10"/>
      <color rgb="FF00B050"/>
      <name val="Calibri"/>
      <family val="2"/>
      <scheme val="minor"/>
    </font>
    <font>
      <u/>
      <sz val="10"/>
      <color indexed="12"/>
      <name val="Calibri"/>
      <family val="2"/>
      <scheme val="minor"/>
    </font>
    <font>
      <sz val="11"/>
      <color theme="0"/>
      <name val="Calibri"/>
      <family val="2"/>
      <scheme val="minor"/>
    </font>
    <font>
      <sz val="10"/>
      <color theme="0" tint="-0.499984740745262"/>
      <name val="Calibri"/>
      <family val="2"/>
      <scheme val="minor"/>
    </font>
    <font>
      <sz val="11"/>
      <color rgb="FFFF0000"/>
      <name val="Calibri"/>
      <family val="2"/>
      <scheme val="minor"/>
    </font>
    <font>
      <sz val="8"/>
      <name val="Arial"/>
      <family val="2"/>
    </font>
    <font>
      <u/>
      <sz val="10"/>
      <color indexed="12"/>
      <name val="Arial"/>
      <family val="2"/>
    </font>
    <font>
      <b/>
      <sz val="12"/>
      <color rgb="FF00B050"/>
      <name val="Calibri"/>
      <family val="2"/>
      <scheme val="minor"/>
    </font>
    <font>
      <b/>
      <sz val="14"/>
      <color theme="0" tint="-0.34998626667073579"/>
      <name val="Calibri"/>
      <family val="2"/>
      <scheme val="minor"/>
    </font>
    <font>
      <b/>
      <sz val="12"/>
      <color rgb="FFFF0000"/>
      <name val="Calibri"/>
      <family val="2"/>
      <scheme val="minor"/>
    </font>
    <font>
      <i/>
      <sz val="11"/>
      <color theme="1"/>
      <name val="Calibri"/>
      <family val="2"/>
      <scheme val="minor"/>
    </font>
    <font>
      <sz val="11"/>
      <color rgb="FF00B050"/>
      <name val="Calibri"/>
      <family val="2"/>
      <scheme val="minor"/>
    </font>
    <font>
      <u/>
      <sz val="10"/>
      <color rgb="FF0000FF"/>
      <name val="Calibri"/>
      <family val="2"/>
    </font>
    <font>
      <sz val="10"/>
      <color indexed="8"/>
      <name val="Arial"/>
      <family val="2"/>
    </font>
    <font>
      <b/>
      <sz val="10"/>
      <color indexed="8"/>
      <name val="Arial"/>
      <family val="2"/>
    </font>
    <font>
      <i/>
      <sz val="10"/>
      <color indexed="8"/>
      <name val="Arial"/>
      <family val="2"/>
    </font>
    <font>
      <sz val="10"/>
      <name val="MS Sans Serif"/>
      <family val="2"/>
    </font>
    <font>
      <b/>
      <sz val="6.45"/>
      <name val="Verdana"/>
      <family val="2"/>
      <charset val="238"/>
    </font>
    <font>
      <b/>
      <sz val="12"/>
      <color indexed="8"/>
      <name val="Arial"/>
      <family val="2"/>
    </font>
    <font>
      <b/>
      <i/>
      <sz val="12"/>
      <color indexed="8"/>
      <name val="Arial"/>
      <family val="2"/>
    </font>
    <font>
      <sz val="11"/>
      <color theme="0" tint="-0.34998626667073579"/>
      <name val="Calibri"/>
      <family val="2"/>
      <scheme val="minor"/>
    </font>
    <font>
      <vertAlign val="subscript"/>
      <sz val="10"/>
      <color theme="1"/>
      <name val="Calibri"/>
      <family val="2"/>
      <scheme val="minor"/>
    </font>
    <font>
      <b/>
      <i/>
      <sz val="10"/>
      <name val="Calibri"/>
      <family val="2"/>
      <scheme val="minor"/>
    </font>
    <font>
      <sz val="11"/>
      <name val="Calibri"/>
      <family val="2"/>
      <scheme val="minor"/>
    </font>
    <font>
      <i/>
      <u/>
      <sz val="10"/>
      <color rgb="FF0000FF"/>
      <name val="Calibri"/>
      <family val="2"/>
      <scheme val="minor"/>
    </font>
    <font>
      <b/>
      <sz val="16"/>
      <name val="Calibri"/>
      <family val="2"/>
      <scheme val="minor"/>
    </font>
    <font>
      <b/>
      <sz val="14"/>
      <name val="Calibri"/>
      <family val="2"/>
      <scheme val="minor"/>
    </font>
    <font>
      <b/>
      <sz val="16"/>
      <color theme="1"/>
      <name val="Calibri"/>
      <family val="2"/>
      <scheme val="minor"/>
    </font>
    <font>
      <b/>
      <sz val="16"/>
      <color theme="0"/>
      <name val="Calibri"/>
      <family val="2"/>
    </font>
    <font>
      <sz val="9"/>
      <name val="Calibri"/>
      <family val="2"/>
      <scheme val="minor"/>
    </font>
    <font>
      <b/>
      <sz val="10"/>
      <color theme="0" tint="-0.499984740745262"/>
      <name val="Calibri"/>
      <family val="2"/>
      <scheme val="minor"/>
    </font>
    <font>
      <sz val="11"/>
      <color rgb="FF0070C0"/>
      <name val="Calibri"/>
      <family val="2"/>
      <scheme val="minor"/>
    </font>
    <font>
      <sz val="11"/>
      <color rgb="FF0000FF"/>
      <name val="Calibri"/>
      <family val="2"/>
      <scheme val="minor"/>
    </font>
    <font>
      <sz val="11"/>
      <color theme="0" tint="-0.499984740745262"/>
      <name val="Calibri"/>
      <family val="2"/>
      <scheme val="minor"/>
    </font>
    <font>
      <b/>
      <vertAlign val="superscript"/>
      <sz val="10"/>
      <color theme="1"/>
      <name val="Calibri"/>
      <family val="2"/>
      <scheme val="minor"/>
    </font>
    <font>
      <vertAlign val="superscript"/>
      <sz val="10"/>
      <color theme="1"/>
      <name val="Calibri"/>
      <family val="2"/>
      <scheme val="minor"/>
    </font>
    <font>
      <b/>
      <sz val="11"/>
      <color theme="0" tint="-0.499984740745262"/>
      <name val="Calibri"/>
      <family val="2"/>
      <scheme val="minor"/>
    </font>
    <font>
      <sz val="11"/>
      <color theme="0" tint="-0.249977111117893"/>
      <name val="Calibri"/>
      <family val="2"/>
      <scheme val="minor"/>
    </font>
    <font>
      <u/>
      <sz val="10"/>
      <color rgb="FF0000FF"/>
      <name val="Calibri"/>
      <family val="2"/>
      <scheme val="minor"/>
    </font>
    <font>
      <sz val="5"/>
      <color theme="1"/>
      <name val="Calibri"/>
      <family val="2"/>
      <scheme val="minor"/>
    </font>
    <font>
      <sz val="5"/>
      <color theme="0"/>
      <name val="Calibri"/>
      <family val="2"/>
      <scheme val="minor"/>
    </font>
    <font>
      <sz val="10"/>
      <color rgb="FF808080"/>
      <name val="Calibri"/>
      <family val="2"/>
      <scheme val="minor"/>
    </font>
    <font>
      <sz val="9"/>
      <color rgb="FF00B050"/>
      <name val="Calibri"/>
      <family val="2"/>
      <scheme val="minor"/>
    </font>
    <font>
      <b/>
      <sz val="12"/>
      <name val="Calibri"/>
      <family val="2"/>
      <scheme val="minor"/>
    </font>
  </fonts>
  <fills count="30">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theme="5" tint="-0.249977111117893"/>
        <bgColor indexed="64"/>
      </patternFill>
    </fill>
    <fill>
      <patternFill patternType="solid">
        <fgColor theme="0" tint="-0.24994659260841701"/>
        <bgColor indexed="64"/>
      </patternFill>
    </fill>
    <fill>
      <patternFill patternType="solid">
        <fgColor rgb="FFFF0000"/>
        <bgColor indexed="64"/>
      </patternFill>
    </fill>
    <fill>
      <patternFill patternType="solid">
        <fgColor indexed="9"/>
        <bgColor indexed="9"/>
      </patternFill>
    </fill>
    <fill>
      <patternFill patternType="solid">
        <fgColor indexed="43"/>
        <bgColor indexed="9"/>
      </patternFill>
    </fill>
    <fill>
      <patternFill patternType="solid">
        <fgColor indexed="42"/>
        <bgColor indexed="9"/>
      </patternFill>
    </fill>
    <fill>
      <patternFill patternType="solid">
        <fgColor indexed="41"/>
        <bgColor indexed="42"/>
      </patternFill>
    </fill>
    <fill>
      <patternFill patternType="solid">
        <fgColor theme="3" tint="0.79998168889431442"/>
        <bgColor indexed="64"/>
      </patternFill>
    </fill>
    <fill>
      <patternFill patternType="solid">
        <fgColor rgb="FFFFCC99"/>
        <bgColor indexed="64"/>
      </patternFill>
    </fill>
    <fill>
      <patternFill patternType="solid">
        <fgColor rgb="FF002060"/>
        <bgColor indexed="64"/>
      </patternFill>
    </fill>
    <fill>
      <patternFill patternType="solid">
        <fgColor indexed="10"/>
        <bgColor indexed="64"/>
      </patternFill>
    </fill>
    <fill>
      <patternFill patternType="solid">
        <fgColor rgb="FFFFC000"/>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2F2F2"/>
        <bgColor indexed="64"/>
      </patternFill>
    </fill>
    <fill>
      <patternFill patternType="solid">
        <fgColor rgb="FF73182C"/>
        <bgColor indexed="64"/>
      </patternFill>
    </fill>
    <fill>
      <patternFill patternType="solid">
        <fgColor theme="2" tint="-9.9978637043366805E-2"/>
        <bgColor indexed="64"/>
      </patternFill>
    </fill>
  </fills>
  <borders count="63">
    <border>
      <left/>
      <right/>
      <top/>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bottom style="thin">
        <color auto="1"/>
      </bottom>
      <diagonal/>
    </border>
    <border>
      <left/>
      <right/>
      <top style="thin">
        <color auto="1"/>
      </top>
      <bottom/>
      <diagonal/>
    </border>
    <border>
      <left/>
      <right style="thin">
        <color auto="1"/>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auto="1"/>
      </right>
      <top style="thin">
        <color theme="0" tint="-0.499984740745262"/>
      </top>
      <bottom/>
      <diagonal/>
    </border>
    <border>
      <left style="thin">
        <color auto="1"/>
      </left>
      <right style="thin">
        <color indexed="64"/>
      </right>
      <top style="thin">
        <color theme="0" tint="-0.499984740745262"/>
      </top>
      <bottom style="thin">
        <color theme="0" tint="-0.499984740745262"/>
      </bottom>
      <diagonal/>
    </border>
    <border>
      <left style="thin">
        <color auto="1"/>
      </left>
      <right/>
      <top style="thin">
        <color theme="0" tint="-0.499984740745262"/>
      </top>
      <bottom/>
      <diagonal/>
    </border>
    <border>
      <left style="thin">
        <color indexed="64"/>
      </left>
      <right style="thin">
        <color indexed="64"/>
      </right>
      <top style="thin">
        <color theme="0" tint="-0.499984740745262"/>
      </top>
      <bottom/>
      <diagonal/>
    </border>
    <border>
      <left style="thin">
        <color auto="1"/>
      </left>
      <right/>
      <top/>
      <bottom style="thin">
        <color theme="0" tint="-0.499984740745262"/>
      </bottom>
      <diagonal/>
    </border>
    <border>
      <left style="thin">
        <color indexed="64"/>
      </left>
      <right style="thin">
        <color indexed="64"/>
      </right>
      <top/>
      <bottom style="thin">
        <color theme="0" tint="-0.499984740745262"/>
      </bottom>
      <diagonal/>
    </border>
    <border>
      <left/>
      <right style="thin">
        <color auto="1"/>
      </right>
      <top/>
      <bottom style="thin">
        <color theme="0" tint="-0.499984740745262"/>
      </bottom>
      <diagonal/>
    </border>
    <border>
      <left style="thin">
        <color auto="1"/>
      </left>
      <right/>
      <top style="thin">
        <color theme="0" tint="-0.499984740745262"/>
      </top>
      <bottom style="thin">
        <color theme="0" tint="-0.499984740745262"/>
      </bottom>
      <diagonal/>
    </border>
    <border>
      <left style="thin">
        <color rgb="FF0000FF"/>
      </left>
      <right style="thin">
        <color rgb="FF0000FF"/>
      </right>
      <top style="thin">
        <color rgb="FF0000FF"/>
      </top>
      <bottom style="thin">
        <color rgb="FF0000FF"/>
      </bottom>
      <diagonal/>
    </border>
    <border>
      <left style="thin">
        <color rgb="FF0000FF"/>
      </left>
      <right/>
      <top style="thin">
        <color rgb="FF0000FF"/>
      </top>
      <bottom/>
      <diagonal/>
    </border>
    <border>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top/>
      <bottom style="thin">
        <color rgb="FF0000FF"/>
      </bottom>
      <diagonal/>
    </border>
    <border>
      <left/>
      <right style="thin">
        <color rgb="FF0000FF"/>
      </right>
      <top/>
      <bottom style="thin">
        <color rgb="FF0000FF"/>
      </bottom>
      <diagonal/>
    </border>
    <border>
      <left style="thin">
        <color rgb="FF0000FF"/>
      </left>
      <right/>
      <top/>
      <bottom style="thin">
        <color theme="0" tint="-0.499984740745262"/>
      </bottom>
      <diagonal/>
    </border>
    <border>
      <left/>
      <right style="thin">
        <color rgb="FF0000FF"/>
      </right>
      <top/>
      <bottom style="thin">
        <color theme="0" tint="-0.499984740745262"/>
      </bottom>
      <diagonal/>
    </border>
    <border>
      <left style="thin">
        <color rgb="FF0000FF"/>
      </left>
      <right/>
      <top style="thin">
        <color theme="0" tint="-0.499984740745262"/>
      </top>
      <bottom/>
      <diagonal/>
    </border>
    <border>
      <left/>
      <right style="thin">
        <color rgb="FF0000FF"/>
      </right>
      <top style="thin">
        <color theme="0" tint="-0.499984740745262"/>
      </top>
      <bottom/>
      <diagonal/>
    </border>
    <border>
      <left style="thin">
        <color rgb="FF0000FF"/>
      </left>
      <right/>
      <top style="thin">
        <color theme="0" tint="-0.499984740745262"/>
      </top>
      <bottom style="thin">
        <color theme="0" tint="-0.499984740745262"/>
      </bottom>
      <diagonal/>
    </border>
    <border>
      <left/>
      <right style="thin">
        <color rgb="FF0000FF"/>
      </right>
      <top style="thin">
        <color theme="0" tint="-0.499984740745262"/>
      </top>
      <bottom style="thin">
        <color theme="0" tint="-0.499984740745262"/>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thin">
        <color rgb="FF0000FF"/>
      </left>
      <right/>
      <top style="thin">
        <color rgb="FF0000FF"/>
      </top>
      <bottom style="thin">
        <color rgb="FF0000FF"/>
      </bottom>
      <diagonal/>
    </border>
    <border>
      <left/>
      <right/>
      <top style="thin">
        <color rgb="FF0000FF"/>
      </top>
      <bottom style="thin">
        <color rgb="FF0000FF"/>
      </bottom>
      <diagonal/>
    </border>
    <border>
      <left/>
      <right style="thin">
        <color rgb="FF0000FF"/>
      </right>
      <top style="thin">
        <color rgb="FF0000FF"/>
      </top>
      <bottom style="thin">
        <color rgb="FF0000FF"/>
      </bottom>
      <diagonal/>
    </border>
    <border>
      <left style="hair">
        <color indexed="8"/>
      </left>
      <right style="hair">
        <color indexed="8"/>
      </right>
      <top style="hair">
        <color indexed="8"/>
      </top>
      <bottom style="hair">
        <color indexed="8"/>
      </bottom>
      <diagonal/>
    </border>
    <border>
      <left/>
      <right style="thin">
        <color auto="1"/>
      </right>
      <top style="thin">
        <color theme="0" tint="-0.499984740745262"/>
      </top>
      <bottom style="thin">
        <color theme="0" tint="-0.499984740745262"/>
      </bottom>
      <diagonal/>
    </border>
    <border>
      <left style="medium">
        <color indexed="64"/>
      </left>
      <right/>
      <top/>
      <bottom/>
      <diagonal/>
    </border>
  </borders>
  <cellStyleXfs count="36">
    <xf numFmtId="0" fontId="0" fillId="0" borderId="0"/>
    <xf numFmtId="0" fontId="99" fillId="0" borderId="0" applyNumberFormat="0" applyFill="0" applyBorder="0" applyAlignment="0" applyProtection="0"/>
    <xf numFmtId="43" fontId="46" fillId="0" borderId="0" applyFont="0" applyFill="0" applyBorder="0" applyAlignment="0" applyProtection="0"/>
    <xf numFmtId="9" fontId="46" fillId="0" borderId="0" applyFont="0" applyFill="0" applyBorder="0" applyAlignment="0" applyProtection="0"/>
    <xf numFmtId="0" fontId="47" fillId="0" borderId="0"/>
    <xf numFmtId="0" fontId="46" fillId="0" borderId="0"/>
    <xf numFmtId="0" fontId="47" fillId="0" borderId="0"/>
    <xf numFmtId="0" fontId="66" fillId="0" borderId="0" applyNumberFormat="0" applyFill="0" applyBorder="0" applyAlignment="0" applyProtection="0"/>
    <xf numFmtId="0" fontId="46" fillId="0" borderId="0"/>
    <xf numFmtId="0" fontId="47" fillId="0" borderId="0"/>
    <xf numFmtId="0" fontId="92" fillId="0" borderId="0" applyNumberFormat="0" applyFill="0" applyBorder="0" applyAlignment="0" applyProtection="0"/>
    <xf numFmtId="0" fontId="51" fillId="0" borderId="0" applyNumberFormat="0" applyFill="0" applyBorder="0" applyAlignment="0" applyProtection="0"/>
    <xf numFmtId="0" fontId="106" fillId="0" borderId="0"/>
    <xf numFmtId="0" fontId="107" fillId="0" borderId="0" applyNumberFormat="0" applyFill="0" applyBorder="0" applyAlignment="0" applyProtection="0">
      <alignment vertical="top"/>
      <protection locked="0"/>
    </xf>
    <xf numFmtId="0" fontId="46" fillId="0" borderId="0"/>
    <xf numFmtId="0" fontId="106" fillId="0" borderId="0"/>
    <xf numFmtId="0" fontId="6" fillId="0" borderId="0"/>
    <xf numFmtId="0" fontId="47" fillId="0" borderId="0"/>
    <xf numFmtId="172" fontId="47" fillId="0" borderId="0" applyFont="0" applyFill="0" applyBorder="0" applyAlignment="0" applyProtection="0"/>
    <xf numFmtId="172" fontId="47" fillId="0" borderId="0" applyFont="0" applyFill="0" applyBorder="0" applyAlignment="0" applyProtection="0"/>
    <xf numFmtId="173" fontId="47" fillId="0" borderId="0" applyFont="0" applyFill="0" applyBorder="0" applyAlignment="0" applyProtection="0"/>
    <xf numFmtId="164" fontId="46" fillId="0" borderId="0" applyFont="0" applyFill="0" applyBorder="0" applyAlignment="0" applyProtection="0"/>
    <xf numFmtId="0" fontId="113" fillId="0" borderId="0" applyNumberFormat="0" applyFill="0" applyBorder="0" applyAlignment="0" applyProtection="0">
      <alignment vertical="top"/>
      <protection locked="0"/>
    </xf>
    <xf numFmtId="174" fontId="114" fillId="16" borderId="0" applyNumberFormat="0" applyBorder="0">
      <alignment horizontal="right"/>
      <protection locked="0"/>
    </xf>
    <xf numFmtId="174" fontId="114" fillId="16" borderId="0" applyNumberFormat="0" applyBorder="0">
      <alignment horizontal="right"/>
      <protection locked="0"/>
    </xf>
    <xf numFmtId="174" fontId="115" fillId="16" borderId="0" applyNumberFormat="0" applyBorder="0">
      <alignment horizontal="right"/>
      <protection locked="0"/>
    </xf>
    <xf numFmtId="174" fontId="114" fillId="17" borderId="0" applyNumberFormat="0" applyBorder="0">
      <alignment horizontal="right" vertical="center"/>
      <protection locked="0"/>
    </xf>
    <xf numFmtId="174" fontId="116" fillId="18" borderId="0" applyNumberFormat="0" applyBorder="0">
      <alignment horizontal="right" vertical="center"/>
      <protection locked="0"/>
    </xf>
    <xf numFmtId="174" fontId="117" fillId="0" borderId="0" applyBorder="0"/>
    <xf numFmtId="9" fontId="46" fillId="0" borderId="0" applyFont="0" applyFill="0" applyBorder="0" applyAlignment="0" applyProtection="0"/>
    <xf numFmtId="0" fontId="118" fillId="19" borderId="60" applyNumberFormat="0" applyProtection="0">
      <alignment horizontal="center" vertical="center"/>
    </xf>
    <xf numFmtId="174" fontId="114" fillId="16" borderId="0" applyNumberFormat="0" applyBorder="0">
      <alignment horizontal="left"/>
      <protection locked="0"/>
    </xf>
    <xf numFmtId="174" fontId="119" fillId="16" borderId="0" applyNumberFormat="0" applyBorder="0">
      <alignment horizontal="left" vertical="center"/>
      <protection locked="0"/>
    </xf>
    <xf numFmtId="174" fontId="114" fillId="16" borderId="0" applyNumberFormat="0" applyBorder="0">
      <alignment horizontal="left"/>
      <protection locked="0"/>
    </xf>
    <xf numFmtId="174" fontId="120" fillId="16" borderId="0" applyNumberFormat="0" applyBorder="0">
      <alignment horizontal="left" vertical="center"/>
      <protection locked="0"/>
    </xf>
    <xf numFmtId="174" fontId="115" fillId="16" borderId="0" applyNumberFormat="0" applyBorder="0">
      <alignment horizontal="right"/>
      <protection locked="0"/>
    </xf>
  </cellStyleXfs>
  <cellXfs count="2822">
    <xf numFmtId="0" fontId="0" fillId="0" borderId="0" xfId="0"/>
    <xf numFmtId="0" fontId="1" fillId="4" borderId="0" xfId="0" applyFont="1" applyFill="1" applyAlignment="1">
      <alignment horizontal="left" vertical="top" wrapText="1"/>
    </xf>
    <xf numFmtId="0" fontId="45" fillId="4" borderId="0" xfId="0" applyFont="1" applyFill="1" applyAlignment="1">
      <alignment vertical="top"/>
    </xf>
    <xf numFmtId="0" fontId="53" fillId="6" borderId="0" xfId="0" applyFont="1" applyFill="1" applyBorder="1" applyAlignment="1">
      <alignment vertical="top"/>
    </xf>
    <xf numFmtId="0" fontId="53" fillId="6" borderId="0" xfId="0" applyFont="1" applyFill="1" applyBorder="1" applyAlignment="1">
      <alignment vertical="top" wrapText="1"/>
    </xf>
    <xf numFmtId="0" fontId="40" fillId="4" borderId="0" xfId="0" applyFont="1" applyFill="1" applyBorder="1" applyAlignment="1">
      <alignment vertical="top"/>
    </xf>
    <xf numFmtId="0" fontId="52" fillId="4" borderId="0" xfId="0" applyFont="1" applyFill="1" applyBorder="1" applyAlignment="1">
      <alignment horizontal="right" vertical="top"/>
    </xf>
    <xf numFmtId="0" fontId="40" fillId="4" borderId="0" xfId="0" applyFont="1" applyFill="1" applyAlignment="1">
      <alignment vertical="top"/>
    </xf>
    <xf numFmtId="0" fontId="51" fillId="4" borderId="0" xfId="0" applyFont="1" applyFill="1" applyAlignment="1">
      <alignment horizontal="right" vertical="top" wrapText="1"/>
    </xf>
    <xf numFmtId="0" fontId="55" fillId="4" borderId="0" xfId="0" applyFont="1" applyFill="1" applyAlignment="1">
      <alignment horizontal="right" vertical="top" wrapText="1"/>
    </xf>
    <xf numFmtId="0" fontId="40" fillId="4" borderId="0" xfId="0" applyFont="1" applyFill="1" applyBorder="1" applyAlignment="1">
      <alignment vertical="top" wrapText="1"/>
    </xf>
    <xf numFmtId="0" fontId="43" fillId="4" borderId="0" xfId="0" applyFont="1" applyFill="1" applyBorder="1" applyAlignment="1">
      <alignment vertical="top" wrapText="1"/>
    </xf>
    <xf numFmtId="0" fontId="43" fillId="4" borderId="0" xfId="0" applyFont="1" applyFill="1" applyBorder="1" applyAlignment="1">
      <alignment horizontal="left" vertical="top" wrapText="1"/>
    </xf>
    <xf numFmtId="0" fontId="56" fillId="4" borderId="0" xfId="0" applyFont="1" applyFill="1" applyAlignment="1">
      <alignment vertical="top"/>
    </xf>
    <xf numFmtId="0" fontId="40" fillId="4" borderId="0" xfId="0" applyFont="1" applyFill="1" applyAlignment="1">
      <alignment vertical="top" wrapText="1"/>
    </xf>
    <xf numFmtId="0" fontId="52" fillId="4" borderId="0" xfId="0" applyFont="1" applyFill="1" applyAlignment="1">
      <alignment vertical="top"/>
    </xf>
    <xf numFmtId="0" fontId="52" fillId="4" borderId="0" xfId="0" applyFont="1" applyFill="1" applyBorder="1" applyAlignment="1">
      <alignment vertical="top"/>
    </xf>
    <xf numFmtId="9" fontId="40" fillId="4" borderId="0" xfId="0" applyNumberFormat="1" applyFont="1" applyFill="1" applyAlignment="1">
      <alignment vertical="top"/>
    </xf>
    <xf numFmtId="3" fontId="40" fillId="4" borderId="0" xfId="0" applyNumberFormat="1" applyFont="1" applyFill="1" applyAlignment="1">
      <alignment vertical="top"/>
    </xf>
    <xf numFmtId="0" fontId="40" fillId="4" borderId="0" xfId="0" applyFont="1" applyFill="1" applyBorder="1" applyAlignment="1">
      <alignment horizontal="right" vertical="top"/>
    </xf>
    <xf numFmtId="0" fontId="44" fillId="2" borderId="0" xfId="0" applyFont="1" applyFill="1" applyBorder="1" applyAlignment="1">
      <alignment vertical="top"/>
    </xf>
    <xf numFmtId="0" fontId="44" fillId="2" borderId="0" xfId="0" applyFont="1" applyFill="1" applyAlignment="1">
      <alignment vertical="top" wrapText="1"/>
    </xf>
    <xf numFmtId="0" fontId="44" fillId="2" borderId="0" xfId="0" applyFont="1" applyFill="1" applyAlignment="1">
      <alignment vertical="top"/>
    </xf>
    <xf numFmtId="0" fontId="52" fillId="4" borderId="0" xfId="0" applyFont="1" applyFill="1" applyBorder="1" applyAlignment="1">
      <alignment horizontal="right" wrapText="1"/>
    </xf>
    <xf numFmtId="0" fontId="52" fillId="4" borderId="0" xfId="0" applyFont="1" applyFill="1" applyBorder="1" applyAlignment="1">
      <alignment horizontal="right"/>
    </xf>
    <xf numFmtId="0" fontId="41" fillId="2" borderId="0" xfId="0" applyFont="1" applyFill="1" applyBorder="1"/>
    <xf numFmtId="0" fontId="41" fillId="2" borderId="0" xfId="0" applyFont="1" applyFill="1" applyBorder="1" applyAlignment="1"/>
    <xf numFmtId="0" fontId="43" fillId="0" borderId="0" xfId="6" applyFont="1" applyFill="1" applyBorder="1" applyAlignment="1">
      <alignment vertical="center" wrapText="1"/>
    </xf>
    <xf numFmtId="3" fontId="43" fillId="0" borderId="5" xfId="6" applyNumberFormat="1" applyFont="1" applyFill="1" applyBorder="1" applyAlignment="1">
      <alignment vertical="center" wrapText="1"/>
    </xf>
    <xf numFmtId="3" fontId="43" fillId="0" borderId="0" xfId="6" applyNumberFormat="1" applyFont="1" applyFill="1" applyBorder="1" applyAlignment="1">
      <alignment vertical="center" wrapText="1"/>
    </xf>
    <xf numFmtId="3" fontId="60" fillId="0" borderId="0" xfId="6" applyNumberFormat="1" applyFont="1" applyFill="1" applyBorder="1" applyAlignment="1">
      <alignment vertical="center" wrapText="1"/>
    </xf>
    <xf numFmtId="0" fontId="43" fillId="4" borderId="0" xfId="0" applyFont="1" applyFill="1" applyAlignment="1">
      <alignment horizontal="right" vertical="top"/>
    </xf>
    <xf numFmtId="0" fontId="68" fillId="4" borderId="0" xfId="0" applyFont="1" applyFill="1" applyAlignment="1">
      <alignment vertical="top"/>
    </xf>
    <xf numFmtId="0" fontId="58" fillId="4" borderId="0" xfId="0" applyFont="1" applyFill="1" applyBorder="1" applyAlignment="1">
      <alignment horizontal="right" vertical="top"/>
    </xf>
    <xf numFmtId="0" fontId="57" fillId="4" borderId="0" xfId="0" applyFont="1" applyFill="1" applyBorder="1" applyAlignment="1">
      <alignment horizontal="right" vertical="top"/>
    </xf>
    <xf numFmtId="3" fontId="55" fillId="4" borderId="0" xfId="0" applyNumberFormat="1" applyFont="1" applyFill="1" applyAlignment="1">
      <alignment vertical="top"/>
    </xf>
    <xf numFmtId="0" fontId="55" fillId="4" borderId="0" xfId="0" applyFont="1" applyFill="1" applyAlignment="1">
      <alignment vertical="top"/>
    </xf>
    <xf numFmtId="0" fontId="43" fillId="4" borderId="11" xfId="0" applyFont="1" applyFill="1" applyBorder="1" applyAlignment="1">
      <alignment vertical="top" wrapText="1"/>
    </xf>
    <xf numFmtId="0" fontId="43" fillId="4" borderId="11" xfId="0" applyFont="1" applyFill="1" applyBorder="1" applyAlignment="1">
      <alignment horizontal="left" vertical="top" wrapText="1"/>
    </xf>
    <xf numFmtId="0" fontId="51" fillId="4" borderId="11" xfId="0" applyFont="1" applyFill="1" applyBorder="1" applyAlignment="1">
      <alignment horizontal="left" vertical="top" wrapText="1"/>
    </xf>
    <xf numFmtId="0" fontId="41" fillId="2" borderId="0" xfId="0" applyFont="1" applyFill="1" applyBorder="1" applyAlignment="1">
      <alignment vertical="center"/>
    </xf>
    <xf numFmtId="0" fontId="71" fillId="2" borderId="0" xfId="0" applyFont="1" applyFill="1" applyBorder="1" applyAlignment="1">
      <alignment vertical="center"/>
    </xf>
    <xf numFmtId="0" fontId="50" fillId="2" borderId="0" xfId="0" applyFont="1" applyFill="1" applyBorder="1" applyAlignment="1">
      <alignment horizontal="center" vertical="center" wrapText="1"/>
    </xf>
    <xf numFmtId="0" fontId="50" fillId="2" borderId="0" xfId="0" applyFont="1" applyFill="1" applyBorder="1" applyAlignment="1">
      <alignment vertical="center" wrapText="1"/>
    </xf>
    <xf numFmtId="0" fontId="41" fillId="2" borderId="0" xfId="4" applyFont="1" applyFill="1" applyBorder="1" applyAlignment="1">
      <alignment horizontal="center" vertical="center" wrapText="1"/>
    </xf>
    <xf numFmtId="0" fontId="39" fillId="4" borderId="0" xfId="0" applyFont="1" applyFill="1" applyAlignment="1">
      <alignment vertical="top"/>
    </xf>
    <xf numFmtId="0" fontId="72" fillId="4" borderId="0" xfId="0" applyFont="1" applyFill="1" applyAlignment="1">
      <alignment horizontal="left" vertical="center"/>
    </xf>
    <xf numFmtId="0" fontId="39" fillId="4" borderId="0" xfId="0" applyFont="1" applyFill="1" applyAlignment="1">
      <alignment vertical="center"/>
    </xf>
    <xf numFmtId="0" fontId="70" fillId="4" borderId="0" xfId="0" applyFont="1" applyFill="1" applyBorder="1" applyAlignment="1">
      <alignment vertical="center"/>
    </xf>
    <xf numFmtId="0" fontId="39" fillId="4" borderId="0" xfId="0" applyFont="1" applyFill="1"/>
    <xf numFmtId="0" fontId="50" fillId="2" borderId="19" xfId="0" applyFont="1" applyFill="1" applyBorder="1" applyAlignment="1">
      <alignment horizontal="center" vertical="center" wrapText="1"/>
    </xf>
    <xf numFmtId="0" fontId="50" fillId="2" borderId="19" xfId="0" applyFont="1" applyFill="1" applyBorder="1" applyAlignment="1">
      <alignment vertical="center" wrapText="1"/>
    </xf>
    <xf numFmtId="0" fontId="53" fillId="6" borderId="0" xfId="0" applyFont="1" applyFill="1"/>
    <xf numFmtId="0" fontId="39" fillId="0" borderId="17" xfId="0" applyFont="1" applyFill="1" applyBorder="1" applyAlignment="1">
      <alignment horizontal="center" vertical="center"/>
    </xf>
    <xf numFmtId="0" fontId="39" fillId="0" borderId="17" xfId="0" applyFont="1" applyFill="1" applyBorder="1" applyAlignment="1">
      <alignment horizontal="left" vertical="top" wrapText="1"/>
    </xf>
    <xf numFmtId="0" fontId="73" fillId="0" borderId="17" xfId="0" applyFont="1" applyFill="1" applyBorder="1" applyAlignment="1">
      <alignment horizontal="left" vertical="top"/>
    </xf>
    <xf numFmtId="0" fontId="73" fillId="0" borderId="20" xfId="0" applyFont="1" applyFill="1" applyBorder="1" applyAlignment="1">
      <alignment vertical="top" wrapText="1"/>
    </xf>
    <xf numFmtId="0" fontId="39" fillId="0" borderId="17" xfId="0" applyFont="1" applyFill="1" applyBorder="1"/>
    <xf numFmtId="0" fontId="39" fillId="0" borderId="17" xfId="0" applyFont="1" applyFill="1" applyBorder="1" applyAlignment="1">
      <alignment horizontal="left" wrapText="1"/>
    </xf>
    <xf numFmtId="0" fontId="73" fillId="0" borderId="17" xfId="0" applyFont="1" applyFill="1" applyBorder="1" applyAlignment="1">
      <alignment horizontal="center" vertical="center"/>
    </xf>
    <xf numFmtId="0" fontId="73" fillId="0" borderId="17" xfId="0" applyFont="1" applyFill="1" applyBorder="1"/>
    <xf numFmtId="0" fontId="73" fillId="0" borderId="17" xfId="0" applyFont="1" applyFill="1" applyBorder="1" applyAlignment="1">
      <alignment horizontal="left" wrapText="1"/>
    </xf>
    <xf numFmtId="0" fontId="39" fillId="4" borderId="0" xfId="0" applyFont="1" applyFill="1" applyBorder="1" applyAlignment="1">
      <alignment horizontal="left" vertical="top"/>
    </xf>
    <xf numFmtId="0" fontId="45" fillId="4" borderId="0" xfId="0" applyFont="1" applyFill="1" applyAlignment="1">
      <alignment horizontal="right" vertical="top"/>
    </xf>
    <xf numFmtId="0" fontId="51" fillId="4" borderId="0" xfId="0" applyFont="1" applyFill="1" applyBorder="1" applyAlignment="1">
      <alignment vertical="top"/>
    </xf>
    <xf numFmtId="0" fontId="51" fillId="4" borderId="23" xfId="0" applyFont="1" applyFill="1" applyBorder="1" applyAlignment="1">
      <alignment vertical="top"/>
    </xf>
    <xf numFmtId="0" fontId="51" fillId="4" borderId="14" xfId="0" applyFont="1" applyFill="1" applyBorder="1" applyAlignment="1">
      <alignment vertical="top"/>
    </xf>
    <xf numFmtId="0" fontId="52" fillId="4" borderId="15" xfId="0" applyFont="1" applyFill="1" applyBorder="1" applyAlignment="1">
      <alignment horizontal="right" vertical="top"/>
    </xf>
    <xf numFmtId="0" fontId="59" fillId="4" borderId="0" xfId="0" applyFont="1" applyFill="1" applyBorder="1" applyAlignment="1">
      <alignment vertical="top"/>
    </xf>
    <xf numFmtId="0" fontId="52" fillId="4" borderId="23" xfId="0" applyFont="1" applyFill="1" applyBorder="1" applyAlignment="1">
      <alignment vertical="top"/>
    </xf>
    <xf numFmtId="0" fontId="59" fillId="4" borderId="23" xfId="0" applyFont="1" applyFill="1" applyBorder="1" applyAlignment="1">
      <alignment vertical="top"/>
    </xf>
    <xf numFmtId="0" fontId="39" fillId="4" borderId="0" xfId="0" applyFont="1" applyFill="1" applyAlignment="1">
      <alignment vertical="top" wrapText="1"/>
    </xf>
    <xf numFmtId="0" fontId="44" fillId="2" borderId="0" xfId="0" applyFont="1" applyFill="1"/>
    <xf numFmtId="0" fontId="53" fillId="6" borderId="0" xfId="0" applyFont="1" applyFill="1" applyAlignment="1">
      <alignment vertical="top"/>
    </xf>
    <xf numFmtId="0" fontId="43" fillId="4" borderId="0" xfId="0" applyFont="1" applyFill="1" applyBorder="1"/>
    <xf numFmtId="0" fontId="43" fillId="4" borderId="0" xfId="0" applyFont="1" applyFill="1" applyBorder="1" applyAlignment="1"/>
    <xf numFmtId="0" fontId="60" fillId="4" borderId="0" xfId="0" applyFont="1" applyFill="1" applyBorder="1"/>
    <xf numFmtId="0" fontId="61" fillId="4" borderId="0" xfId="0" applyFont="1" applyFill="1" applyBorder="1"/>
    <xf numFmtId="0" fontId="57" fillId="4" borderId="0" xfId="5" applyFont="1" applyFill="1" applyBorder="1" applyAlignment="1">
      <alignment vertical="center" wrapText="1"/>
    </xf>
    <xf numFmtId="0" fontId="57" fillId="4" borderId="0" xfId="5" applyFont="1" applyFill="1" applyBorder="1" applyAlignment="1">
      <alignment horizontal="center" vertical="center" wrapText="1"/>
    </xf>
    <xf numFmtId="166" fontId="43" fillId="4" borderId="0" xfId="2" applyNumberFormat="1" applyFont="1" applyFill="1" applyBorder="1"/>
    <xf numFmtId="9" fontId="43" fillId="4" borderId="0" xfId="3" applyFont="1" applyFill="1" applyBorder="1"/>
    <xf numFmtId="10" fontId="43" fillId="4" borderId="0" xfId="3" applyNumberFormat="1" applyFont="1" applyFill="1" applyBorder="1"/>
    <xf numFmtId="0" fontId="67" fillId="4" borderId="0" xfId="7" applyFont="1" applyFill="1" applyAlignment="1">
      <alignment vertical="top"/>
    </xf>
    <xf numFmtId="0" fontId="39" fillId="4" borderId="0" xfId="0" applyFont="1" applyFill="1" applyAlignment="1"/>
    <xf numFmtId="0" fontId="52" fillId="4" borderId="0" xfId="0" applyFont="1" applyFill="1"/>
    <xf numFmtId="0" fontId="39" fillId="4" borderId="0" xfId="0" applyFont="1" applyFill="1" applyAlignment="1">
      <alignment horizontal="left" vertical="top" wrapText="1"/>
    </xf>
    <xf numFmtId="0" fontId="39" fillId="4" borderId="0" xfId="0" applyFont="1" applyFill="1" applyAlignment="1">
      <alignment horizontal="left" vertical="top"/>
    </xf>
    <xf numFmtId="0" fontId="43" fillId="11" borderId="0" xfId="0" applyFont="1" applyFill="1" applyBorder="1" applyAlignment="1">
      <alignment vertical="top" wrapText="1"/>
    </xf>
    <xf numFmtId="0" fontId="45" fillId="11" borderId="0" xfId="0" applyFont="1" applyFill="1" applyAlignment="1">
      <alignment vertical="top"/>
    </xf>
    <xf numFmtId="0" fontId="52" fillId="11" borderId="0" xfId="0" applyFont="1" applyFill="1" applyBorder="1" applyAlignment="1">
      <alignment horizontal="right" wrapText="1"/>
    </xf>
    <xf numFmtId="0" fontId="52" fillId="11" borderId="0" xfId="0" applyFont="1" applyFill="1" applyBorder="1" applyAlignment="1">
      <alignment horizontal="right"/>
    </xf>
    <xf numFmtId="166" fontId="43" fillId="11" borderId="0" xfId="2" applyNumberFormat="1" applyFont="1" applyFill="1" applyBorder="1" applyAlignment="1">
      <alignment vertical="top" wrapText="1"/>
    </xf>
    <xf numFmtId="166" fontId="43" fillId="11" borderId="0" xfId="2" applyNumberFormat="1" applyFont="1" applyFill="1" applyBorder="1" applyAlignment="1">
      <alignment vertical="top"/>
    </xf>
    <xf numFmtId="0" fontId="43" fillId="11" borderId="11" xfId="0" applyFont="1" applyFill="1" applyBorder="1" applyAlignment="1">
      <alignment vertical="top" wrapText="1"/>
    </xf>
    <xf numFmtId="0" fontId="57" fillId="11" borderId="0" xfId="0" applyFont="1" applyFill="1" applyBorder="1" applyAlignment="1">
      <alignment horizontal="right" vertical="top"/>
    </xf>
    <xf numFmtId="0" fontId="58" fillId="11" borderId="0" xfId="0" applyFont="1" applyFill="1" applyBorder="1" applyAlignment="1">
      <alignment horizontal="right" vertical="top"/>
    </xf>
    <xf numFmtId="0" fontId="56" fillId="4" borderId="10" xfId="0" applyFont="1" applyFill="1" applyBorder="1" applyAlignment="1">
      <alignment horizontal="right" vertical="top"/>
    </xf>
    <xf numFmtId="0" fontId="45" fillId="11" borderId="0" xfId="0" applyFont="1" applyFill="1" applyBorder="1" applyAlignment="1">
      <alignment horizontal="right" vertical="top"/>
    </xf>
    <xf numFmtId="0" fontId="45" fillId="4" borderId="0" xfId="0" applyFont="1" applyFill="1" applyBorder="1" applyAlignment="1">
      <alignment horizontal="right" vertical="top"/>
    </xf>
    <xf numFmtId="0" fontId="56" fillId="11" borderId="10" xfId="0" applyFont="1" applyFill="1" applyBorder="1" applyAlignment="1">
      <alignment horizontal="right" vertical="top"/>
    </xf>
    <xf numFmtId="0" fontId="45" fillId="11" borderId="0" xfId="0" applyFont="1" applyFill="1" applyAlignment="1">
      <alignment horizontal="right" vertical="top"/>
    </xf>
    <xf numFmtId="0" fontId="52" fillId="4" borderId="0" xfId="0" applyFont="1" applyFill="1" applyAlignment="1">
      <alignment horizontal="right"/>
    </xf>
    <xf numFmtId="0" fontId="53" fillId="4" borderId="0" xfId="0" applyFont="1" applyFill="1" applyBorder="1" applyAlignment="1">
      <alignment vertical="top"/>
    </xf>
    <xf numFmtId="0" fontId="53" fillId="4" borderId="0" xfId="0" applyFont="1" applyFill="1" applyBorder="1" applyAlignment="1">
      <alignment vertical="top" wrapText="1"/>
    </xf>
    <xf numFmtId="0" fontId="53" fillId="4" borderId="0" xfId="0" applyFont="1" applyFill="1" applyAlignment="1">
      <alignment vertical="top"/>
    </xf>
    <xf numFmtId="3" fontId="55" fillId="11" borderId="0" xfId="0" applyNumberFormat="1" applyFont="1" applyFill="1" applyAlignment="1">
      <alignment vertical="top"/>
    </xf>
    <xf numFmtId="0" fontId="52" fillId="11" borderId="0" xfId="0" applyFont="1" applyFill="1" applyAlignment="1">
      <alignment vertical="top"/>
    </xf>
    <xf numFmtId="0" fontId="52" fillId="11" borderId="0" xfId="0" applyFont="1" applyFill="1" applyBorder="1" applyAlignment="1">
      <alignment horizontal="right" vertical="top"/>
    </xf>
    <xf numFmtId="0" fontId="43" fillId="11" borderId="0" xfId="0" applyFont="1" applyFill="1" applyBorder="1" applyAlignment="1">
      <alignment horizontal="right" vertical="top"/>
    </xf>
    <xf numFmtId="0" fontId="43" fillId="11" borderId="0" xfId="6" applyFont="1" applyFill="1" applyBorder="1" applyAlignment="1">
      <alignment vertical="center"/>
    </xf>
    <xf numFmtId="0" fontId="43" fillId="11" borderId="0" xfId="6" applyFont="1" applyFill="1" applyBorder="1" applyAlignment="1">
      <alignment horizontal="right" vertical="center"/>
    </xf>
    <xf numFmtId="0" fontId="55" fillId="11" borderId="0" xfId="0" applyFont="1" applyFill="1" applyAlignment="1">
      <alignment vertical="top"/>
    </xf>
    <xf numFmtId="0" fontId="45" fillId="4" borderId="10" xfId="0" applyFont="1" applyFill="1" applyBorder="1" applyAlignment="1">
      <alignment horizontal="right" vertical="top"/>
    </xf>
    <xf numFmtId="0" fontId="45" fillId="11" borderId="10" xfId="0" applyFont="1" applyFill="1" applyBorder="1" applyAlignment="1">
      <alignment horizontal="right" vertical="top"/>
    </xf>
    <xf numFmtId="0" fontId="51" fillId="4" borderId="11" xfId="0" quotePrefix="1" applyFont="1" applyFill="1" applyBorder="1" applyAlignment="1">
      <alignment vertical="top" wrapText="1"/>
    </xf>
    <xf numFmtId="0" fontId="39" fillId="4" borderId="0" xfId="0" applyFont="1" applyFill="1" applyBorder="1" applyAlignment="1">
      <alignment horizontal="left" vertical="top" wrapText="1"/>
    </xf>
    <xf numFmtId="0" fontId="73" fillId="4" borderId="0" xfId="4" applyFont="1" applyFill="1" applyBorder="1" applyAlignment="1">
      <alignment horizontal="left" vertical="center" wrapText="1" indent="2"/>
    </xf>
    <xf numFmtId="0" fontId="44" fillId="2" borderId="7" xfId="0" applyFont="1" applyFill="1" applyBorder="1" applyAlignment="1">
      <alignment vertical="center"/>
    </xf>
    <xf numFmtId="0" fontId="0" fillId="2" borderId="4" xfId="0" applyFill="1" applyBorder="1" applyAlignment="1"/>
    <xf numFmtId="0" fontId="0" fillId="2" borderId="16" xfId="0" applyFill="1" applyBorder="1" applyAlignment="1"/>
    <xf numFmtId="0" fontId="39" fillId="4" borderId="0" xfId="0" applyFont="1" applyFill="1" applyAlignment="1">
      <alignment horizontal="right"/>
    </xf>
    <xf numFmtId="0" fontId="52" fillId="4" borderId="0" xfId="0" applyFont="1" applyFill="1" applyBorder="1" applyAlignment="1">
      <alignment horizontal="right" vertical="top" wrapText="1"/>
    </xf>
    <xf numFmtId="3" fontId="40" fillId="4" borderId="15" xfId="0" applyNumberFormat="1" applyFont="1" applyFill="1" applyBorder="1" applyAlignment="1">
      <alignment vertical="top"/>
    </xf>
    <xf numFmtId="0" fontId="54" fillId="4" borderId="0" xfId="0" applyFont="1" applyFill="1" applyBorder="1" applyAlignment="1">
      <alignment horizontal="right" vertical="top"/>
    </xf>
    <xf numFmtId="0" fontId="51" fillId="4" borderId="0" xfId="0" applyFont="1" applyFill="1" applyAlignment="1">
      <alignment horizontal="right" vertical="top"/>
    </xf>
    <xf numFmtId="0" fontId="37" fillId="4" borderId="0" xfId="0" applyFont="1" applyFill="1" applyAlignment="1">
      <alignment vertical="top"/>
    </xf>
    <xf numFmtId="0" fontId="40" fillId="9" borderId="0" xfId="0" applyFont="1" applyFill="1" applyBorder="1" applyAlignment="1">
      <alignment vertical="top"/>
    </xf>
    <xf numFmtId="0" fontId="37" fillId="9" borderId="0" xfId="0" applyFont="1" applyFill="1" applyBorder="1" applyAlignment="1">
      <alignment vertical="top"/>
    </xf>
    <xf numFmtId="0" fontId="52" fillId="9" borderId="0" xfId="0" applyFont="1" applyFill="1" applyBorder="1" applyAlignment="1">
      <alignment horizontal="right" vertical="top"/>
    </xf>
    <xf numFmtId="0" fontId="53" fillId="12" borderId="0" xfId="0" applyFont="1" applyFill="1" applyBorder="1" applyAlignment="1">
      <alignment vertical="top"/>
    </xf>
    <xf numFmtId="0" fontId="69" fillId="3" borderId="0" xfId="0" applyFont="1" applyFill="1" applyBorder="1" applyAlignment="1">
      <alignment vertical="top"/>
    </xf>
    <xf numFmtId="0" fontId="69" fillId="3" borderId="0" xfId="0" applyFont="1" applyFill="1" applyBorder="1" applyAlignment="1">
      <alignment horizontal="right" vertical="top"/>
    </xf>
    <xf numFmtId="0" fontId="75" fillId="5" borderId="0" xfId="0" applyFont="1" applyFill="1" applyBorder="1" applyAlignment="1">
      <alignment vertical="top"/>
    </xf>
    <xf numFmtId="0" fontId="69" fillId="5" borderId="0" xfId="0" applyFont="1" applyFill="1" applyBorder="1" applyAlignment="1">
      <alignment vertical="top"/>
    </xf>
    <xf numFmtId="0" fontId="75" fillId="5" borderId="0" xfId="0" applyFont="1" applyFill="1" applyBorder="1" applyAlignment="1">
      <alignment horizontal="right" vertical="top"/>
    </xf>
    <xf numFmtId="0" fontId="53" fillId="6" borderId="0" xfId="0" applyFont="1" applyFill="1" applyAlignment="1">
      <alignment horizontal="left" vertical="top"/>
    </xf>
    <xf numFmtId="166" fontId="54" fillId="4" borderId="0" xfId="2" applyNumberFormat="1" applyFont="1" applyFill="1" applyBorder="1" applyAlignment="1">
      <alignment vertical="top"/>
    </xf>
    <xf numFmtId="0" fontId="39" fillId="4" borderId="0" xfId="0" applyFont="1" applyFill="1" applyBorder="1" applyAlignment="1">
      <alignment horizontal="right" vertical="top"/>
    </xf>
    <xf numFmtId="0" fontId="73" fillId="4" borderId="0" xfId="4" applyFont="1" applyFill="1" applyBorder="1" applyAlignment="1">
      <alignment horizontal="right" vertical="center" indent="2"/>
    </xf>
    <xf numFmtId="0" fontId="37" fillId="4" borderId="0" xfId="0" applyFont="1" applyFill="1" applyBorder="1" applyAlignment="1">
      <alignment vertical="top" wrapText="1"/>
    </xf>
    <xf numFmtId="0" fontId="37" fillId="4" borderId="0" xfId="0" applyFont="1" applyFill="1" applyBorder="1" applyAlignment="1">
      <alignment vertical="top"/>
    </xf>
    <xf numFmtId="0" fontId="37" fillId="4" borderId="0" xfId="0" applyFont="1" applyFill="1" applyAlignment="1">
      <alignment horizontal="right" vertical="top"/>
    </xf>
    <xf numFmtId="0" fontId="69" fillId="4" borderId="0" xfId="0" applyFont="1" applyFill="1" applyBorder="1" applyAlignment="1">
      <alignment horizontal="left" vertical="top"/>
    </xf>
    <xf numFmtId="0" fontId="37" fillId="4" borderId="0" xfId="0" applyFont="1" applyFill="1"/>
    <xf numFmtId="0" fontId="51" fillId="4" borderId="0" xfId="0" applyFont="1" applyFill="1"/>
    <xf numFmtId="0" fontId="69" fillId="9" borderId="0" xfId="0" applyFont="1" applyFill="1" applyBorder="1" applyAlignment="1">
      <alignment vertical="top"/>
    </xf>
    <xf numFmtId="0" fontId="76" fillId="4" borderId="0" xfId="0" applyFont="1" applyFill="1" applyBorder="1" applyAlignment="1">
      <alignment vertical="top"/>
    </xf>
    <xf numFmtId="0" fontId="55" fillId="4" borderId="0" xfId="0" applyFont="1" applyFill="1" applyAlignment="1">
      <alignment horizontal="left" vertical="top"/>
    </xf>
    <xf numFmtId="0" fontId="52" fillId="9" borderId="0" xfId="0" applyFont="1" applyFill="1" applyBorder="1" applyAlignment="1">
      <alignment vertical="center"/>
    </xf>
    <xf numFmtId="0" fontId="52" fillId="9" borderId="0" xfId="0" applyFont="1" applyFill="1" applyBorder="1" applyAlignment="1">
      <alignment horizontal="right" vertical="center"/>
    </xf>
    <xf numFmtId="0" fontId="43" fillId="4" borderId="0" xfId="0" applyFont="1" applyFill="1" applyBorder="1" applyAlignment="1">
      <alignment vertical="top"/>
    </xf>
    <xf numFmtId="0" fontId="78" fillId="4" borderId="0" xfId="0" applyFont="1" applyFill="1" applyBorder="1" applyAlignment="1">
      <alignment vertical="top"/>
    </xf>
    <xf numFmtId="0" fontId="43" fillId="11" borderId="11" xfId="0" applyFont="1" applyFill="1" applyBorder="1" applyAlignment="1">
      <alignment horizontal="left" vertical="top" wrapText="1"/>
    </xf>
    <xf numFmtId="0" fontId="79" fillId="6" borderId="0" xfId="0" applyFont="1" applyFill="1" applyAlignment="1">
      <alignment vertical="top"/>
    </xf>
    <xf numFmtId="0" fontId="36" fillId="4" borderId="0" xfId="0" applyFont="1" applyFill="1" applyAlignment="1">
      <alignment vertical="top"/>
    </xf>
    <xf numFmtId="0" fontId="51" fillId="4" borderId="0" xfId="0" applyFont="1" applyFill="1" applyAlignment="1">
      <alignment vertical="top"/>
    </xf>
    <xf numFmtId="0" fontId="52" fillId="4" borderId="0" xfId="0" applyFont="1" applyFill="1" applyAlignment="1">
      <alignment horizontal="center" vertical="top"/>
    </xf>
    <xf numFmtId="0" fontId="54" fillId="4" borderId="0" xfId="0" applyFont="1" applyFill="1" applyBorder="1" applyAlignment="1">
      <alignment vertical="top"/>
    </xf>
    <xf numFmtId="0" fontId="36" fillId="4" borderId="0" xfId="0" applyFont="1" applyFill="1" applyBorder="1" applyAlignment="1">
      <alignment vertical="top"/>
    </xf>
    <xf numFmtId="9" fontId="36" fillId="4" borderId="0" xfId="0" applyNumberFormat="1" applyFont="1" applyFill="1" applyAlignment="1">
      <alignment vertical="top"/>
    </xf>
    <xf numFmtId="17" fontId="43" fillId="4" borderId="11" xfId="0" applyNumberFormat="1" applyFont="1" applyFill="1" applyBorder="1" applyAlignment="1">
      <alignment horizontal="left" vertical="top" wrapText="1"/>
    </xf>
    <xf numFmtId="3" fontId="55" fillId="4" borderId="0" xfId="0" applyNumberFormat="1" applyFont="1" applyFill="1" applyBorder="1" applyAlignment="1">
      <alignment horizontal="right" vertical="top" wrapText="1"/>
    </xf>
    <xf numFmtId="0" fontId="74" fillId="4" borderId="12" xfId="0" applyFont="1" applyFill="1" applyBorder="1" applyAlignment="1">
      <alignment horizontal="right" vertical="top"/>
    </xf>
    <xf numFmtId="9" fontId="55" fillId="4" borderId="0" xfId="0" applyNumberFormat="1" applyFont="1" applyFill="1" applyAlignment="1">
      <alignment vertical="top"/>
    </xf>
    <xf numFmtId="0" fontId="51" fillId="4" borderId="24" xfId="0" applyFont="1" applyFill="1" applyBorder="1" applyAlignment="1">
      <alignment vertical="top"/>
    </xf>
    <xf numFmtId="0" fontId="53" fillId="13" borderId="0" xfId="0" applyFont="1" applyFill="1" applyAlignment="1">
      <alignment vertical="top"/>
    </xf>
    <xf numFmtId="0" fontId="80" fillId="13" borderId="0" xfId="0" applyFont="1" applyFill="1" applyAlignment="1">
      <alignment vertical="top"/>
    </xf>
    <xf numFmtId="0" fontId="58" fillId="4" borderId="0" xfId="0" applyFont="1" applyFill="1" applyBorder="1" applyAlignment="1">
      <alignment horizontal="right" vertical="top" wrapText="1"/>
    </xf>
    <xf numFmtId="0" fontId="34" fillId="4" borderId="0" xfId="0" applyFont="1" applyFill="1" applyBorder="1" applyAlignment="1">
      <alignment vertical="top" wrapText="1"/>
    </xf>
    <xf numFmtId="0" fontId="34" fillId="4" borderId="0" xfId="0" applyFont="1" applyFill="1" applyAlignment="1">
      <alignment vertical="top"/>
    </xf>
    <xf numFmtId="0" fontId="34" fillId="4" borderId="0" xfId="0" applyFont="1" applyFill="1" applyBorder="1" applyAlignment="1">
      <alignment vertical="top"/>
    </xf>
    <xf numFmtId="0" fontId="52" fillId="11" borderId="15" xfId="0" applyFont="1" applyFill="1" applyBorder="1" applyAlignment="1">
      <alignment horizontal="right" vertical="top"/>
    </xf>
    <xf numFmtId="0" fontId="45" fillId="4" borderId="15" xfId="0" applyFont="1" applyFill="1" applyBorder="1" applyAlignment="1">
      <alignment vertical="top"/>
    </xf>
    <xf numFmtId="165" fontId="55" fillId="4" borderId="0" xfId="0" applyNumberFormat="1" applyFont="1" applyFill="1" applyBorder="1" applyAlignment="1">
      <alignment vertical="top" wrapText="1"/>
    </xf>
    <xf numFmtId="165" fontId="58" fillId="4" borderId="0" xfId="3" applyNumberFormat="1" applyFont="1" applyFill="1" applyAlignment="1">
      <alignment horizontal="right"/>
    </xf>
    <xf numFmtId="0" fontId="83" fillId="4" borderId="0" xfId="0" applyFont="1" applyFill="1" applyAlignment="1">
      <alignment vertical="top"/>
    </xf>
    <xf numFmtId="0" fontId="83" fillId="4" borderId="0" xfId="0" applyFont="1" applyFill="1" applyBorder="1" applyAlignment="1">
      <alignment vertical="top"/>
    </xf>
    <xf numFmtId="0" fontId="83" fillId="4" borderId="0" xfId="0" applyFont="1" applyFill="1" applyAlignment="1">
      <alignment vertical="top" wrapText="1"/>
    </xf>
    <xf numFmtId="3" fontId="83" fillId="4" borderId="0" xfId="0" applyNumberFormat="1" applyFont="1" applyFill="1" applyAlignment="1">
      <alignment vertical="top"/>
    </xf>
    <xf numFmtId="0" fontId="52" fillId="4" borderId="0" xfId="0" applyFont="1" applyFill="1" applyAlignment="1">
      <alignment horizontal="right" vertical="top"/>
    </xf>
    <xf numFmtId="3" fontId="43" fillId="4" borderId="0" xfId="0" applyNumberFormat="1" applyFont="1" applyFill="1" applyBorder="1" applyAlignment="1">
      <alignment horizontal="right" vertical="top"/>
    </xf>
    <xf numFmtId="3" fontId="43" fillId="4" borderId="23" xfId="0" applyNumberFormat="1" applyFont="1" applyFill="1" applyBorder="1" applyAlignment="1">
      <alignment horizontal="right" vertical="top"/>
    </xf>
    <xf numFmtId="0" fontId="82" fillId="4" borderId="0" xfId="0" applyFont="1" applyFill="1" applyBorder="1" applyAlignment="1">
      <alignment horizontal="right" vertical="top"/>
    </xf>
    <xf numFmtId="0" fontId="45" fillId="7" borderId="10" xfId="0" applyFont="1" applyFill="1" applyBorder="1" applyAlignment="1">
      <alignment horizontal="right" vertical="top"/>
    </xf>
    <xf numFmtId="0" fontId="50" fillId="12" borderId="0" xfId="0" applyFont="1" applyFill="1" applyBorder="1" applyAlignment="1">
      <alignment vertical="top"/>
    </xf>
    <xf numFmtId="0" fontId="33" fillId="11" borderId="0" xfId="0" applyFont="1" applyFill="1" applyBorder="1" applyAlignment="1">
      <alignment horizontal="right" vertical="top"/>
    </xf>
    <xf numFmtId="0" fontId="33" fillId="11" borderId="0" xfId="0" applyFont="1" applyFill="1" applyAlignment="1">
      <alignment vertical="top"/>
    </xf>
    <xf numFmtId="0" fontId="33" fillId="4" borderId="0" xfId="0" applyFont="1" applyFill="1" applyAlignment="1">
      <alignment vertical="top"/>
    </xf>
    <xf numFmtId="0" fontId="33" fillId="11" borderId="0" xfId="0" applyFont="1" applyFill="1" applyAlignment="1">
      <alignment horizontal="right" vertical="top"/>
    </xf>
    <xf numFmtId="0" fontId="33" fillId="11" borderId="0" xfId="0" applyFont="1" applyFill="1" applyBorder="1" applyAlignment="1">
      <alignment vertical="top" wrapText="1"/>
    </xf>
    <xf numFmtId="0" fontId="33" fillId="4" borderId="0" xfId="0" applyFont="1" applyFill="1" applyBorder="1" applyAlignment="1">
      <alignment vertical="top"/>
    </xf>
    <xf numFmtId="0" fontId="57" fillId="4" borderId="0" xfId="0" applyFont="1" applyFill="1" applyBorder="1" applyAlignment="1">
      <alignment vertical="top"/>
    </xf>
    <xf numFmtId="0" fontId="33" fillId="4" borderId="0" xfId="0" applyFont="1" applyFill="1" applyAlignment="1">
      <alignment horizontal="right" vertical="top"/>
    </xf>
    <xf numFmtId="0" fontId="33" fillId="4" borderId="0" xfId="0" applyFont="1" applyFill="1" applyBorder="1" applyAlignment="1">
      <alignment horizontal="right" vertical="top"/>
    </xf>
    <xf numFmtId="0" fontId="33" fillId="11" borderId="0" xfId="0" applyFont="1" applyFill="1" applyBorder="1" applyAlignment="1">
      <alignment vertical="top"/>
    </xf>
    <xf numFmtId="0" fontId="33" fillId="11" borderId="0" xfId="0" applyFont="1" applyFill="1" applyAlignment="1">
      <alignment vertical="top" wrapText="1"/>
    </xf>
    <xf numFmtId="0" fontId="33" fillId="4" borderId="0" xfId="0" applyFont="1" applyFill="1" applyAlignment="1">
      <alignment vertical="top" wrapText="1"/>
    </xf>
    <xf numFmtId="0" fontId="33" fillId="4" borderId="11" xfId="0" applyFont="1" applyFill="1" applyBorder="1" applyAlignment="1">
      <alignment vertical="top" wrapText="1"/>
    </xf>
    <xf numFmtId="0" fontId="33" fillId="4" borderId="0" xfId="0" applyFont="1" applyFill="1" applyBorder="1" applyAlignment="1">
      <alignment vertical="top" wrapText="1"/>
    </xf>
    <xf numFmtId="0" fontId="33" fillId="4" borderId="22" xfId="0" applyFont="1" applyFill="1" applyBorder="1" applyAlignment="1">
      <alignment vertical="top" wrapText="1"/>
    </xf>
    <xf numFmtId="0" fontId="52" fillId="3" borderId="0" xfId="0" applyFont="1" applyFill="1" applyBorder="1" applyAlignment="1">
      <alignment vertical="top"/>
    </xf>
    <xf numFmtId="0" fontId="33" fillId="4" borderId="15" xfId="0" applyFont="1" applyFill="1" applyBorder="1" applyAlignment="1">
      <alignment horizontal="right" vertical="top"/>
    </xf>
    <xf numFmtId="0" fontId="33" fillId="4" borderId="13" xfId="0" applyFont="1" applyFill="1" applyBorder="1" applyAlignment="1">
      <alignment horizontal="right" vertical="top"/>
    </xf>
    <xf numFmtId="0" fontId="84" fillId="5" borderId="0" xfId="0" applyFont="1" applyFill="1" applyBorder="1" applyAlignment="1">
      <alignment vertical="top"/>
    </xf>
    <xf numFmtId="0" fontId="52" fillId="5" borderId="0" xfId="0" applyFont="1" applyFill="1" applyBorder="1" applyAlignment="1">
      <alignment vertical="top"/>
    </xf>
    <xf numFmtId="0" fontId="56" fillId="4" borderId="0" xfId="0" applyFont="1" applyFill="1" applyBorder="1" applyAlignment="1">
      <alignment horizontal="right" vertical="top"/>
    </xf>
    <xf numFmtId="3" fontId="55" fillId="4" borderId="24" xfId="0" applyNumberFormat="1" applyFont="1" applyFill="1" applyBorder="1" applyAlignment="1">
      <alignment horizontal="right" vertical="top" wrapText="1"/>
    </xf>
    <xf numFmtId="0" fontId="40" fillId="4" borderId="15" xfId="0" applyFont="1" applyFill="1" applyBorder="1" applyAlignment="1">
      <alignment vertical="top"/>
    </xf>
    <xf numFmtId="9" fontId="55" fillId="4" borderId="24" xfId="0" applyNumberFormat="1" applyFont="1" applyFill="1" applyBorder="1" applyAlignment="1">
      <alignment vertical="top" wrapText="1"/>
    </xf>
    <xf numFmtId="0" fontId="33" fillId="11" borderId="11" xfId="0" applyFont="1" applyFill="1" applyBorder="1" applyAlignment="1">
      <alignment vertical="top" wrapText="1"/>
    </xf>
    <xf numFmtId="0" fontId="51" fillId="11" borderId="22" xfId="0" applyFont="1" applyFill="1" applyBorder="1" applyAlignment="1">
      <alignment vertical="top" wrapText="1"/>
    </xf>
    <xf numFmtId="0" fontId="82" fillId="4" borderId="1" xfId="0" applyFont="1" applyFill="1" applyBorder="1" applyAlignment="1">
      <alignment horizontal="right" vertical="top"/>
    </xf>
    <xf numFmtId="0" fontId="51" fillId="4" borderId="1" xfId="0" applyFont="1" applyFill="1" applyBorder="1" applyAlignment="1">
      <alignment vertical="top" wrapText="1"/>
    </xf>
    <xf numFmtId="0" fontId="51" fillId="11" borderId="0" xfId="0" applyFont="1" applyFill="1" applyBorder="1" applyAlignment="1">
      <alignment vertical="top" wrapText="1"/>
    </xf>
    <xf numFmtId="0" fontId="33" fillId="7" borderId="0" xfId="0" applyFont="1" applyFill="1"/>
    <xf numFmtId="0" fontId="54" fillId="7" borderId="0" xfId="0" applyFont="1" applyFill="1"/>
    <xf numFmtId="0" fontId="33" fillId="7" borderId="0" xfId="0" applyFont="1" applyFill="1" applyAlignment="1">
      <alignment horizontal="right"/>
    </xf>
    <xf numFmtId="0" fontId="33" fillId="4" borderId="0" xfId="0" applyFont="1" applyFill="1"/>
    <xf numFmtId="0" fontId="33" fillId="4" borderId="0" xfId="0" applyFont="1" applyFill="1" applyAlignment="1">
      <alignment horizontal="right"/>
    </xf>
    <xf numFmtId="0" fontId="54" fillId="4" borderId="0" xfId="0" applyFont="1" applyFill="1"/>
    <xf numFmtId="0" fontId="33" fillId="4" borderId="13" xfId="0" applyFont="1" applyFill="1" applyBorder="1" applyAlignment="1">
      <alignment vertical="top"/>
    </xf>
    <xf numFmtId="0" fontId="40" fillId="7" borderId="0" xfId="0" applyFont="1" applyFill="1" applyAlignment="1">
      <alignment vertical="top"/>
    </xf>
    <xf numFmtId="0" fontId="40" fillId="7" borderId="0" xfId="0" applyFont="1" applyFill="1" applyBorder="1" applyAlignment="1">
      <alignment vertical="top"/>
    </xf>
    <xf numFmtId="0" fontId="40" fillId="7" borderId="0" xfId="0" applyFont="1" applyFill="1" applyBorder="1" applyAlignment="1">
      <alignment vertical="top" wrapText="1"/>
    </xf>
    <xf numFmtId="0" fontId="43" fillId="7" borderId="11" xfId="0" applyFont="1" applyFill="1" applyBorder="1" applyAlignment="1">
      <alignment vertical="top" wrapText="1"/>
    </xf>
    <xf numFmtId="0" fontId="33" fillId="7" borderId="13" xfId="0" applyFont="1" applyFill="1" applyBorder="1" applyAlignment="1">
      <alignment vertical="top"/>
    </xf>
    <xf numFmtId="17" fontId="43" fillId="7" borderId="11" xfId="0" applyNumberFormat="1" applyFont="1" applyFill="1" applyBorder="1" applyAlignment="1">
      <alignment horizontal="left" vertical="top" wrapText="1"/>
    </xf>
    <xf numFmtId="0" fontId="36" fillId="4" borderId="13" xfId="0" applyFont="1" applyFill="1" applyBorder="1" applyAlignment="1">
      <alignment horizontal="right" vertical="top"/>
    </xf>
    <xf numFmtId="0" fontId="51" fillId="4" borderId="0" xfId="0" applyFont="1" applyFill="1" applyAlignment="1">
      <alignment horizontal="right"/>
    </xf>
    <xf numFmtId="0" fontId="33" fillId="4" borderId="0" xfId="0" applyFont="1" applyFill="1" applyAlignment="1">
      <alignment horizontal="left"/>
    </xf>
    <xf numFmtId="0" fontId="33" fillId="4" borderId="0" xfId="0" applyFont="1" applyFill="1" applyBorder="1" applyAlignment="1">
      <alignment horizontal="left" vertical="top" wrapText="1"/>
    </xf>
    <xf numFmtId="0" fontId="57" fillId="4" borderId="0" xfId="0" applyFont="1" applyFill="1" applyBorder="1" applyAlignment="1">
      <alignment horizontal="center" wrapText="1"/>
    </xf>
    <xf numFmtId="0" fontId="33" fillId="4" borderId="0" xfId="0" applyFont="1" applyFill="1" applyBorder="1"/>
    <xf numFmtId="0" fontId="33" fillId="4" borderId="23" xfId="0" applyFont="1" applyFill="1" applyBorder="1" applyAlignment="1">
      <alignment horizontal="right"/>
    </xf>
    <xf numFmtId="0" fontId="33" fillId="4" borderId="0" xfId="0" applyFont="1" applyFill="1" applyBorder="1" applyAlignment="1">
      <alignment wrapText="1"/>
    </xf>
    <xf numFmtId="0" fontId="33" fillId="4" borderId="15" xfId="0" applyFont="1" applyFill="1" applyBorder="1" applyAlignment="1">
      <alignment vertical="top"/>
    </xf>
    <xf numFmtId="3" fontId="88" fillId="0" borderId="0" xfId="6" applyNumberFormat="1" applyFont="1" applyFill="1" applyBorder="1" applyAlignment="1">
      <alignment vertical="center" wrapText="1"/>
    </xf>
    <xf numFmtId="3" fontId="88" fillId="0" borderId="5" xfId="6" applyNumberFormat="1" applyFont="1" applyFill="1" applyBorder="1" applyAlignment="1">
      <alignment vertical="center" wrapText="1"/>
    </xf>
    <xf numFmtId="0" fontId="62" fillId="4" borderId="0" xfId="0" applyFont="1" applyFill="1" applyBorder="1"/>
    <xf numFmtId="0" fontId="62" fillId="4" borderId="0" xfId="0" applyFont="1" applyFill="1" applyBorder="1" applyAlignment="1"/>
    <xf numFmtId="0" fontId="63" fillId="4" borderId="0" xfId="0" applyFont="1" applyFill="1" applyBorder="1"/>
    <xf numFmtId="0" fontId="63" fillId="4" borderId="0" xfId="0" applyFont="1" applyFill="1" applyBorder="1" applyAlignment="1"/>
    <xf numFmtId="0" fontId="43" fillId="4" borderId="0" xfId="5" applyFont="1" applyFill="1" applyBorder="1" applyAlignment="1">
      <alignment vertical="center" wrapText="1"/>
    </xf>
    <xf numFmtId="0" fontId="43" fillId="4" borderId="0" xfId="6" applyFont="1" applyFill="1" applyBorder="1" applyAlignment="1">
      <alignment horizontal="right" vertical="center"/>
    </xf>
    <xf numFmtId="0" fontId="57" fillId="4" borderId="0" xfId="5" quotePrefix="1" applyFont="1" applyFill="1" applyBorder="1" applyAlignment="1">
      <alignment horizontal="right" vertical="center"/>
    </xf>
    <xf numFmtId="166" fontId="88" fillId="4" borderId="0" xfId="2" applyNumberFormat="1" applyFont="1" applyFill="1" applyBorder="1"/>
    <xf numFmtId="0" fontId="88" fillId="4" borderId="0" xfId="0" applyFont="1" applyFill="1" applyBorder="1"/>
    <xf numFmtId="166" fontId="43" fillId="4" borderId="0" xfId="2" applyNumberFormat="1" applyFont="1" applyFill="1" applyBorder="1" applyAlignment="1"/>
    <xf numFmtId="0" fontId="89" fillId="4" borderId="0" xfId="0" applyFont="1" applyFill="1" applyBorder="1"/>
    <xf numFmtId="0" fontId="64" fillId="4" borderId="0" xfId="0" applyFont="1" applyFill="1" applyBorder="1" applyAlignment="1">
      <alignment horizontal="right"/>
    </xf>
    <xf numFmtId="3" fontId="65" fillId="4" borderId="0" xfId="0" applyNumberFormat="1" applyFont="1" applyFill="1" applyBorder="1" applyAlignment="1">
      <alignment horizontal="right"/>
    </xf>
    <xf numFmtId="0" fontId="43" fillId="4" borderId="20" xfId="0" applyFont="1" applyFill="1" applyBorder="1" applyAlignment="1">
      <alignment horizontal="right"/>
    </xf>
    <xf numFmtId="3" fontId="43" fillId="4" borderId="0" xfId="0" applyNumberFormat="1" applyFont="1" applyFill="1" applyBorder="1"/>
    <xf numFmtId="3" fontId="43" fillId="4" borderId="5" xfId="0" applyNumberFormat="1" applyFont="1" applyFill="1" applyBorder="1"/>
    <xf numFmtId="3" fontId="43" fillId="4" borderId="6" xfId="0" applyNumberFormat="1" applyFont="1" applyFill="1" applyBorder="1"/>
    <xf numFmtId="0" fontId="43" fillId="4" borderId="18" xfId="0" applyFont="1" applyFill="1" applyBorder="1" applyAlignment="1">
      <alignment horizontal="right"/>
    </xf>
    <xf numFmtId="9" fontId="43" fillId="4" borderId="4" xfId="3" applyFont="1" applyFill="1" applyBorder="1"/>
    <xf numFmtId="9" fontId="43" fillId="4" borderId="16" xfId="3" applyFont="1" applyFill="1" applyBorder="1"/>
    <xf numFmtId="9" fontId="43" fillId="4" borderId="7" xfId="3" applyFont="1" applyFill="1" applyBorder="1"/>
    <xf numFmtId="0" fontId="43" fillId="4" borderId="19" xfId="0" applyFont="1" applyFill="1" applyBorder="1" applyAlignment="1">
      <alignment horizontal="right"/>
    </xf>
    <xf numFmtId="3" fontId="43" fillId="4" borderId="3" xfId="0" applyNumberFormat="1" applyFont="1" applyFill="1" applyBorder="1"/>
    <xf numFmtId="3" fontId="57" fillId="4" borderId="9" xfId="0" applyNumberFormat="1" applyFont="1" applyFill="1" applyBorder="1"/>
    <xf numFmtId="3" fontId="57" fillId="4" borderId="8" xfId="0" applyNumberFormat="1" applyFont="1" applyFill="1" applyBorder="1"/>
    <xf numFmtId="0" fontId="43" fillId="4" borderId="18" xfId="6" applyFont="1" applyFill="1" applyBorder="1" applyAlignment="1">
      <alignment horizontal="right" vertical="center"/>
    </xf>
    <xf numFmtId="0" fontId="43" fillId="4" borderId="19" xfId="6" applyFont="1" applyFill="1" applyBorder="1" applyAlignment="1">
      <alignment horizontal="right" vertical="center"/>
    </xf>
    <xf numFmtId="3" fontId="43" fillId="4" borderId="9" xfId="0" applyNumberFormat="1" applyFont="1" applyFill="1" applyBorder="1"/>
    <xf numFmtId="3" fontId="39" fillId="4" borderId="0" xfId="0" applyNumberFormat="1" applyFont="1" applyFill="1"/>
    <xf numFmtId="0" fontId="63" fillId="4" borderId="7" xfId="0" applyFont="1" applyFill="1" applyBorder="1"/>
    <xf numFmtId="0" fontId="44" fillId="12" borderId="4" xfId="0" applyFont="1" applyFill="1" applyBorder="1" applyAlignment="1"/>
    <xf numFmtId="0" fontId="42" fillId="3" borderId="4" xfId="0" applyFont="1" applyFill="1" applyBorder="1" applyAlignment="1">
      <alignment horizontal="center"/>
    </xf>
    <xf numFmtId="0" fontId="43" fillId="0" borderId="18" xfId="6" applyFont="1" applyFill="1" applyBorder="1" applyAlignment="1">
      <alignment vertical="center" wrapText="1"/>
    </xf>
    <xf numFmtId="3" fontId="43" fillId="0" borderId="18" xfId="6" applyNumberFormat="1" applyFont="1" applyFill="1" applyBorder="1" applyAlignment="1">
      <alignment vertical="center" wrapText="1"/>
    </xf>
    <xf numFmtId="3" fontId="88" fillId="0" borderId="18" xfId="6" applyNumberFormat="1" applyFont="1" applyFill="1" applyBorder="1" applyAlignment="1">
      <alignment vertical="center" wrapText="1"/>
    </xf>
    <xf numFmtId="0" fontId="60" fillId="0" borderId="18" xfId="6" applyFont="1" applyFill="1" applyBorder="1" applyAlignment="1">
      <alignment vertical="center" wrapText="1"/>
    </xf>
    <xf numFmtId="1" fontId="88" fillId="0" borderId="18" xfId="6" applyNumberFormat="1" applyFont="1" applyFill="1" applyBorder="1" applyAlignment="1">
      <alignment vertical="center" wrapText="1"/>
    </xf>
    <xf numFmtId="0" fontId="42" fillId="3" borderId="4" xfId="0" applyFont="1" applyFill="1" applyBorder="1" applyAlignment="1"/>
    <xf numFmtId="0" fontId="44" fillId="12" borderId="7" xfId="0" applyFont="1" applyFill="1" applyBorder="1" applyAlignment="1"/>
    <xf numFmtId="0" fontId="44" fillId="12" borderId="16" xfId="0" applyFont="1" applyFill="1" applyBorder="1" applyAlignment="1"/>
    <xf numFmtId="0" fontId="43" fillId="0" borderId="6" xfId="6" applyFont="1" applyFill="1" applyBorder="1" applyAlignment="1">
      <alignment vertical="center" wrapText="1"/>
    </xf>
    <xf numFmtId="1" fontId="57" fillId="0" borderId="18" xfId="6" applyNumberFormat="1" applyFont="1" applyFill="1" applyBorder="1" applyAlignment="1">
      <alignment vertical="center" wrapText="1"/>
    </xf>
    <xf numFmtId="3" fontId="88" fillId="0" borderId="6" xfId="6" applyNumberFormat="1" applyFont="1" applyFill="1" applyBorder="1" applyAlignment="1">
      <alignment vertical="center" wrapText="1"/>
    </xf>
    <xf numFmtId="3" fontId="43" fillId="0" borderId="6" xfId="6" applyNumberFormat="1" applyFont="1" applyFill="1" applyBorder="1" applyAlignment="1">
      <alignment vertical="center" wrapText="1"/>
    </xf>
    <xf numFmtId="1" fontId="43" fillId="0" borderId="18" xfId="6" applyNumberFormat="1" applyFont="1" applyFill="1" applyBorder="1" applyAlignment="1">
      <alignment vertical="center" wrapText="1"/>
    </xf>
    <xf numFmtId="3" fontId="60" fillId="0" borderId="6" xfId="6" applyNumberFormat="1" applyFont="1" applyFill="1" applyBorder="1" applyAlignment="1">
      <alignment vertical="center" wrapText="1"/>
    </xf>
    <xf numFmtId="1" fontId="60" fillId="0" borderId="18" xfId="6" applyNumberFormat="1" applyFont="1" applyFill="1" applyBorder="1" applyAlignment="1">
      <alignment vertical="center" wrapText="1"/>
    </xf>
    <xf numFmtId="0" fontId="43" fillId="0" borderId="3" xfId="6" applyFont="1" applyFill="1" applyBorder="1" applyAlignment="1">
      <alignment vertical="center" wrapText="1"/>
    </xf>
    <xf numFmtId="0" fontId="43" fillId="0" borderId="19" xfId="6" applyFont="1" applyFill="1" applyBorder="1" applyAlignment="1">
      <alignment vertical="center" wrapText="1"/>
    </xf>
    <xf numFmtId="3" fontId="43" fillId="0" borderId="29" xfId="6" applyNumberFormat="1" applyFont="1" applyFill="1" applyBorder="1" applyAlignment="1">
      <alignment vertical="center" wrapText="1"/>
    </xf>
    <xf numFmtId="3" fontId="43" fillId="0" borderId="28" xfId="6" applyNumberFormat="1" applyFont="1" applyFill="1" applyBorder="1" applyAlignment="1">
      <alignment vertical="center" wrapText="1"/>
    </xf>
    <xf numFmtId="1" fontId="43" fillId="0" borderId="6" xfId="6" applyNumberFormat="1" applyFont="1" applyFill="1" applyBorder="1" applyAlignment="1">
      <alignment vertical="center" wrapText="1"/>
    </xf>
    <xf numFmtId="3" fontId="43" fillId="0" borderId="19" xfId="6" applyNumberFormat="1" applyFont="1" applyFill="1" applyBorder="1" applyAlignment="1">
      <alignment vertical="center" wrapText="1"/>
    </xf>
    <xf numFmtId="1" fontId="43" fillId="0" borderId="19" xfId="6" applyNumberFormat="1" applyFont="1" applyFill="1" applyBorder="1" applyAlignment="1">
      <alignment vertical="center" wrapText="1"/>
    </xf>
    <xf numFmtId="1" fontId="43" fillId="0" borderId="5" xfId="6" applyNumberFormat="1" applyFont="1" applyFill="1" applyBorder="1" applyAlignment="1">
      <alignment vertical="center" wrapText="1"/>
    </xf>
    <xf numFmtId="3" fontId="43" fillId="0" borderId="16" xfId="6" applyNumberFormat="1" applyFont="1" applyFill="1" applyBorder="1" applyAlignment="1">
      <alignment vertical="center" wrapText="1"/>
    </xf>
    <xf numFmtId="0" fontId="76" fillId="4" borderId="0" xfId="0" applyFont="1" applyFill="1" applyBorder="1" applyAlignment="1">
      <alignment horizontal="left" vertical="top"/>
    </xf>
    <xf numFmtId="0" fontId="43" fillId="11" borderId="13" xfId="0" applyFont="1" applyFill="1" applyBorder="1" applyAlignment="1">
      <alignment horizontal="right" vertical="top"/>
    </xf>
    <xf numFmtId="0" fontId="43" fillId="0" borderId="5" xfId="6" applyFont="1" applyFill="1" applyBorder="1" applyAlignment="1">
      <alignment vertical="center" wrapText="1"/>
    </xf>
    <xf numFmtId="3" fontId="43" fillId="0" borderId="21" xfId="6" applyNumberFormat="1" applyFont="1" applyFill="1" applyBorder="1" applyAlignment="1">
      <alignment vertical="center" wrapText="1"/>
    </xf>
    <xf numFmtId="0" fontId="43" fillId="4" borderId="8" xfId="5" applyFont="1" applyFill="1" applyBorder="1" applyAlignment="1">
      <alignment horizontal="center" vertical="center" wrapText="1"/>
    </xf>
    <xf numFmtId="0" fontId="43" fillId="4" borderId="3" xfId="5" applyFont="1" applyFill="1" applyBorder="1" applyAlignment="1">
      <alignment horizontal="center" vertical="center" wrapText="1"/>
    </xf>
    <xf numFmtId="0" fontId="43" fillId="4" borderId="9" xfId="5" applyFont="1" applyFill="1" applyBorder="1" applyAlignment="1">
      <alignment horizontal="center" vertical="center" wrapText="1"/>
    </xf>
    <xf numFmtId="0" fontId="91" fillId="4" borderId="0" xfId="0" applyFont="1" applyFill="1" applyAlignment="1">
      <alignment vertical="top"/>
    </xf>
    <xf numFmtId="0" fontId="57" fillId="4" borderId="20" xfId="6" applyFont="1" applyFill="1" applyBorder="1" applyAlignment="1">
      <alignment horizontal="left" vertical="center" wrapText="1"/>
    </xf>
    <xf numFmtId="0" fontId="57" fillId="4" borderId="19" xfId="6" applyFont="1" applyFill="1" applyBorder="1" applyAlignment="1">
      <alignment horizontal="left" vertical="center" wrapText="1"/>
    </xf>
    <xf numFmtId="0" fontId="66" fillId="4" borderId="0" xfId="7" applyFill="1" applyAlignment="1">
      <alignment vertical="top"/>
    </xf>
    <xf numFmtId="0" fontId="40" fillId="11" borderId="6" xfId="6" applyFont="1" applyFill="1" applyBorder="1" applyAlignment="1">
      <alignment vertical="center" wrapText="1"/>
    </xf>
    <xf numFmtId="0" fontId="43" fillId="11" borderId="0" xfId="0" applyFont="1" applyFill="1" applyBorder="1" applyAlignment="1">
      <alignment horizontal="left" vertical="top" wrapText="1"/>
    </xf>
    <xf numFmtId="166" fontId="54" fillId="11" borderId="0" xfId="2" applyNumberFormat="1" applyFont="1" applyFill="1" applyBorder="1" applyAlignment="1">
      <alignment vertical="top"/>
    </xf>
    <xf numFmtId="3" fontId="43" fillId="4" borderId="0" xfId="2" applyNumberFormat="1" applyFont="1" applyFill="1" applyBorder="1" applyAlignment="1">
      <alignment vertical="top" wrapText="1"/>
    </xf>
    <xf numFmtId="3" fontId="33" fillId="4" borderId="0" xfId="0" applyNumberFormat="1" applyFont="1" applyFill="1" applyBorder="1" applyAlignment="1">
      <alignment vertical="top"/>
    </xf>
    <xf numFmtId="0" fontId="33" fillId="7" borderId="0" xfId="0" applyFont="1" applyFill="1" applyAlignment="1">
      <alignment vertical="top"/>
    </xf>
    <xf numFmtId="0" fontId="56" fillId="7" borderId="10" xfId="0" applyFont="1" applyFill="1" applyBorder="1" applyAlignment="1">
      <alignment horizontal="right" vertical="top"/>
    </xf>
    <xf numFmtId="0" fontId="52" fillId="7" borderId="0" xfId="0" applyFont="1" applyFill="1" applyAlignment="1">
      <alignment horizontal="right" vertical="top"/>
    </xf>
    <xf numFmtId="0" fontId="33" fillId="7" borderId="0" xfId="0" applyFont="1" applyFill="1" applyBorder="1" applyAlignment="1">
      <alignment vertical="top"/>
    </xf>
    <xf numFmtId="0" fontId="43" fillId="7" borderId="11" xfId="0" applyFont="1" applyFill="1" applyBorder="1" applyAlignment="1">
      <alignment horizontal="left" vertical="top" wrapText="1"/>
    </xf>
    <xf numFmtId="0" fontId="33" fillId="7" borderId="0" xfId="0" applyFont="1" applyFill="1" applyBorder="1" applyAlignment="1">
      <alignment vertical="top" wrapText="1"/>
    </xf>
    <xf numFmtId="0" fontId="51" fillId="7" borderId="0" xfId="0" applyFont="1" applyFill="1" applyBorder="1" applyAlignment="1">
      <alignment vertical="top" wrapText="1"/>
    </xf>
    <xf numFmtId="0" fontId="58" fillId="7" borderId="0" xfId="0" applyFont="1" applyFill="1" applyBorder="1" applyAlignment="1">
      <alignment horizontal="right" vertical="top"/>
    </xf>
    <xf numFmtId="0" fontId="51" fillId="7" borderId="14" xfId="0" applyFont="1" applyFill="1" applyBorder="1" applyAlignment="1">
      <alignment vertical="top"/>
    </xf>
    <xf numFmtId="0" fontId="57" fillId="11" borderId="0" xfId="0" applyFont="1" applyFill="1" applyBorder="1" applyAlignment="1">
      <alignment horizontal="center" vertical="top" wrapText="1"/>
    </xf>
    <xf numFmtId="0" fontId="51" fillId="11" borderId="11" xfId="0" applyFont="1" applyFill="1" applyBorder="1" applyAlignment="1">
      <alignment horizontal="left" vertical="top" wrapText="1"/>
    </xf>
    <xf numFmtId="0" fontId="43" fillId="11" borderId="15" xfId="0" applyFont="1" applyFill="1" applyBorder="1" applyAlignment="1">
      <alignment vertical="top" wrapText="1"/>
    </xf>
    <xf numFmtId="0" fontId="52" fillId="11" borderId="0" xfId="0" applyFont="1" applyFill="1" applyBorder="1" applyAlignment="1">
      <alignment vertical="top"/>
    </xf>
    <xf numFmtId="0" fontId="51" fillId="11" borderId="15" xfId="0" applyFont="1" applyFill="1" applyBorder="1" applyAlignment="1">
      <alignment vertical="top"/>
    </xf>
    <xf numFmtId="0" fontId="51" fillId="11" borderId="0" xfId="0" applyFont="1" applyFill="1" applyBorder="1" applyAlignment="1">
      <alignment vertical="top"/>
    </xf>
    <xf numFmtId="0" fontId="43" fillId="11" borderId="15" xfId="0" applyFont="1" applyFill="1" applyBorder="1" applyAlignment="1">
      <alignment horizontal="right" vertical="top"/>
    </xf>
    <xf numFmtId="165" fontId="58" fillId="11" borderId="0" xfId="0" applyNumberFormat="1" applyFont="1" applyFill="1" applyBorder="1" applyAlignment="1">
      <alignment horizontal="right" vertical="top"/>
    </xf>
    <xf numFmtId="3" fontId="58" fillId="4" borderId="0" xfId="0" applyNumberFormat="1" applyFont="1" applyFill="1" applyBorder="1" applyAlignment="1">
      <alignment horizontal="right" vertical="top"/>
    </xf>
    <xf numFmtId="0" fontId="66" fillId="4" borderId="0" xfId="7" applyFill="1" applyBorder="1" applyAlignment="1">
      <alignment vertical="top"/>
    </xf>
    <xf numFmtId="0" fontId="66" fillId="4" borderId="0" xfId="7" applyFill="1" applyBorder="1" applyAlignment="1">
      <alignment vertical="top" wrapText="1"/>
    </xf>
    <xf numFmtId="0" fontId="33" fillId="7" borderId="0" xfId="0" applyFont="1" applyFill="1" applyBorder="1"/>
    <xf numFmtId="0" fontId="33" fillId="7" borderId="11" xfId="0" applyFont="1" applyFill="1" applyBorder="1" applyAlignment="1">
      <alignment vertical="top" wrapText="1"/>
    </xf>
    <xf numFmtId="0" fontId="33" fillId="7" borderId="0" xfId="0" applyFont="1" applyFill="1" applyBorder="1" applyAlignment="1">
      <alignment horizontal="left"/>
    </xf>
    <xf numFmtId="0" fontId="52" fillId="7" borderId="0" xfId="0" applyFont="1" applyFill="1" applyAlignment="1">
      <alignment horizontal="right"/>
    </xf>
    <xf numFmtId="0" fontId="74" fillId="7" borderId="12" xfId="0" applyFont="1" applyFill="1" applyBorder="1" applyAlignment="1">
      <alignment horizontal="right" vertical="top"/>
    </xf>
    <xf numFmtId="0" fontId="33" fillId="7" borderId="0" xfId="0" applyFont="1" applyFill="1" applyBorder="1" applyAlignment="1">
      <alignment horizontal="left" vertical="top" wrapText="1"/>
    </xf>
    <xf numFmtId="0" fontId="33" fillId="7" borderId="23" xfId="0" applyFont="1" applyFill="1" applyBorder="1" applyAlignment="1">
      <alignment horizontal="right"/>
    </xf>
    <xf numFmtId="0" fontId="52" fillId="7" borderId="0" xfId="0" applyFont="1" applyFill="1"/>
    <xf numFmtId="0" fontId="33" fillId="7" borderId="0" xfId="0" applyFont="1" applyFill="1" applyBorder="1" applyAlignment="1">
      <alignment wrapText="1"/>
    </xf>
    <xf numFmtId="0" fontId="87" fillId="7" borderId="0" xfId="0" applyFont="1" applyFill="1" applyAlignment="1">
      <alignment horizontal="center"/>
    </xf>
    <xf numFmtId="0" fontId="35" fillId="4" borderId="0" xfId="0" applyFont="1" applyFill="1" applyAlignment="1">
      <alignment vertical="top"/>
    </xf>
    <xf numFmtId="0" fontId="36" fillId="7" borderId="0" xfId="0" applyFont="1" applyFill="1" applyAlignment="1">
      <alignment vertical="top"/>
    </xf>
    <xf numFmtId="9" fontId="36" fillId="7" borderId="0" xfId="0" applyNumberFormat="1" applyFont="1" applyFill="1" applyAlignment="1">
      <alignment vertical="top"/>
    </xf>
    <xf numFmtId="0" fontId="82" fillId="7" borderId="0" xfId="0" applyFont="1" applyFill="1" applyBorder="1" applyAlignment="1">
      <alignment horizontal="right" vertical="top"/>
    </xf>
    <xf numFmtId="3" fontId="55" fillId="7" borderId="0" xfId="0" applyNumberFormat="1" applyFont="1" applyFill="1" applyBorder="1" applyAlignment="1">
      <alignment horizontal="right" vertical="top" wrapText="1"/>
    </xf>
    <xf numFmtId="0" fontId="51" fillId="7" borderId="0" xfId="0" applyFont="1" applyFill="1" applyAlignment="1">
      <alignment vertical="top"/>
    </xf>
    <xf numFmtId="0" fontId="35" fillId="7" borderId="0" xfId="0" applyFont="1" applyFill="1" applyAlignment="1">
      <alignment vertical="top"/>
    </xf>
    <xf numFmtId="0" fontId="52" fillId="7" borderId="0" xfId="0" applyFont="1" applyFill="1" applyAlignment="1">
      <alignment horizontal="center" vertical="top"/>
    </xf>
    <xf numFmtId="0" fontId="51" fillId="7" borderId="23" xfId="0" applyFont="1" applyFill="1" applyBorder="1" applyAlignment="1">
      <alignment vertical="top"/>
    </xf>
    <xf numFmtId="0" fontId="34" fillId="7" borderId="0" xfId="0" applyFont="1" applyFill="1" applyBorder="1" applyAlignment="1">
      <alignment vertical="top"/>
    </xf>
    <xf numFmtId="0" fontId="34" fillId="7" borderId="0" xfId="0" applyFont="1" applyFill="1" applyBorder="1" applyAlignment="1">
      <alignment vertical="top" wrapText="1"/>
    </xf>
    <xf numFmtId="0" fontId="34" fillId="7" borderId="0" xfId="0" applyFont="1" applyFill="1" applyBorder="1" applyAlignment="1">
      <alignment horizontal="right" vertical="top"/>
    </xf>
    <xf numFmtId="0" fontId="34" fillId="7" borderId="0" xfId="0" applyFont="1" applyFill="1" applyAlignment="1">
      <alignment vertical="top"/>
    </xf>
    <xf numFmtId="165" fontId="58" fillId="7" borderId="0" xfId="3" applyNumberFormat="1" applyFont="1" applyFill="1" applyAlignment="1">
      <alignment horizontal="right"/>
    </xf>
    <xf numFmtId="165" fontId="55" fillId="7" borderId="0" xfId="0" applyNumberFormat="1" applyFont="1" applyFill="1" applyBorder="1" applyAlignment="1">
      <alignment vertical="top" wrapText="1"/>
    </xf>
    <xf numFmtId="0" fontId="93" fillId="2" borderId="0" xfId="0" applyFont="1" applyFill="1" applyBorder="1" applyAlignment="1">
      <alignment vertical="center"/>
    </xf>
    <xf numFmtId="0" fontId="94" fillId="4" borderId="0" xfId="0" applyFont="1" applyFill="1" applyAlignment="1">
      <alignment horizontal="left" vertical="center"/>
    </xf>
    <xf numFmtId="0" fontId="55" fillId="4" borderId="0" xfId="0" applyFont="1" applyFill="1"/>
    <xf numFmtId="0" fontId="95" fillId="6" borderId="0" xfId="0" applyFont="1" applyFill="1"/>
    <xf numFmtId="0" fontId="45" fillId="11" borderId="12" xfId="0" applyFont="1" applyFill="1" applyBorder="1" applyAlignment="1">
      <alignment horizontal="right" vertical="top"/>
    </xf>
    <xf numFmtId="0" fontId="45" fillId="4" borderId="12" xfId="0" applyFont="1" applyFill="1" applyBorder="1" applyAlignment="1">
      <alignment horizontal="right" vertical="top"/>
    </xf>
    <xf numFmtId="0" fontId="80" fillId="12" borderId="0" xfId="0" applyFont="1" applyFill="1" applyBorder="1" applyAlignment="1">
      <alignment vertical="top"/>
    </xf>
    <xf numFmtId="0" fontId="96" fillId="3" borderId="0" xfId="0" applyFont="1" applyFill="1" applyBorder="1" applyAlignment="1">
      <alignment vertical="top"/>
    </xf>
    <xf numFmtId="0" fontId="96" fillId="5" borderId="0" xfId="0" applyFont="1" applyFill="1" applyBorder="1" applyAlignment="1">
      <alignment vertical="top"/>
    </xf>
    <xf numFmtId="0" fontId="45" fillId="4" borderId="12" xfId="0" applyFont="1" applyFill="1" applyBorder="1" applyAlignment="1">
      <alignment vertical="top"/>
    </xf>
    <xf numFmtId="0" fontId="43" fillId="4" borderId="22" xfId="0" applyFont="1" applyFill="1" applyBorder="1" applyAlignment="1">
      <alignment vertical="top" wrapText="1"/>
    </xf>
    <xf numFmtId="0" fontId="32" fillId="4" borderId="0" xfId="0" applyFont="1" applyFill="1" applyAlignment="1">
      <alignment horizontal="right" vertical="top"/>
    </xf>
    <xf numFmtId="0" fontId="57" fillId="4" borderId="0" xfId="0" applyFont="1" applyFill="1" applyBorder="1" applyAlignment="1">
      <alignment horizontal="center" vertical="top" wrapText="1"/>
    </xf>
    <xf numFmtId="0" fontId="43" fillId="4" borderId="0" xfId="0" applyFont="1" applyFill="1" applyBorder="1" applyAlignment="1">
      <alignment horizontal="right" vertical="top"/>
    </xf>
    <xf numFmtId="0" fontId="51" fillId="4" borderId="0" xfId="0" applyFont="1" applyFill="1" applyBorder="1" applyAlignment="1">
      <alignment vertical="top" wrapText="1"/>
    </xf>
    <xf numFmtId="165" fontId="58" fillId="4" borderId="0" xfId="0" applyNumberFormat="1" applyFont="1" applyFill="1" applyBorder="1" applyAlignment="1">
      <alignment horizontal="right" vertical="top"/>
    </xf>
    <xf numFmtId="0" fontId="45" fillId="11" borderId="12" xfId="0" applyFont="1" applyFill="1" applyBorder="1" applyAlignment="1">
      <alignment horizontal="right" vertical="top"/>
    </xf>
    <xf numFmtId="0" fontId="51" fillId="11" borderId="23" xfId="0" applyFont="1" applyFill="1" applyBorder="1" applyAlignment="1">
      <alignment vertical="top"/>
    </xf>
    <xf numFmtId="0" fontId="31" fillId="4" borderId="0" xfId="0" applyFont="1" applyFill="1" applyBorder="1" applyAlignment="1">
      <alignment horizontal="right" vertical="top"/>
    </xf>
    <xf numFmtId="0" fontId="33" fillId="11" borderId="13" xfId="0" applyFont="1" applyFill="1" applyBorder="1" applyAlignment="1">
      <alignment vertical="top"/>
    </xf>
    <xf numFmtId="0" fontId="52" fillId="11" borderId="23" xfId="0" applyFont="1" applyFill="1" applyBorder="1" applyAlignment="1">
      <alignment vertical="top"/>
    </xf>
    <xf numFmtId="0" fontId="32" fillId="11" borderId="15" xfId="0" applyFont="1" applyFill="1" applyBorder="1" applyAlignment="1">
      <alignment horizontal="right" vertical="top"/>
    </xf>
    <xf numFmtId="0" fontId="32" fillId="11" borderId="13" xfId="0" applyFont="1" applyFill="1" applyBorder="1" applyAlignment="1">
      <alignment horizontal="right" vertical="top"/>
    </xf>
    <xf numFmtId="0" fontId="33" fillId="11" borderId="15" xfId="0" applyFont="1" applyFill="1" applyBorder="1" applyAlignment="1">
      <alignment vertical="top"/>
    </xf>
    <xf numFmtId="0" fontId="31" fillId="11" borderId="0" xfId="0" applyFont="1" applyFill="1" applyBorder="1" applyAlignment="1">
      <alignment horizontal="right" vertical="top"/>
    </xf>
    <xf numFmtId="0" fontId="58" fillId="11" borderId="0" xfId="0" applyFont="1" applyFill="1" applyBorder="1" applyAlignment="1">
      <alignment horizontal="right" vertical="top" wrapText="1"/>
    </xf>
    <xf numFmtId="165" fontId="55" fillId="11" borderId="0" xfId="0" applyNumberFormat="1" applyFont="1" applyFill="1" applyBorder="1" applyAlignment="1">
      <alignment vertical="top" wrapText="1"/>
    </xf>
    <xf numFmtId="165" fontId="33" fillId="11" borderId="12" xfId="3" applyNumberFormat="1" applyFont="1" applyFill="1" applyBorder="1" applyAlignment="1">
      <alignment vertical="top"/>
    </xf>
    <xf numFmtId="165" fontId="33" fillId="11" borderId="22" xfId="3" applyNumberFormat="1" applyFont="1" applyFill="1" applyBorder="1" applyAlignment="1">
      <alignment vertical="top"/>
    </xf>
    <xf numFmtId="165" fontId="33" fillId="11" borderId="15" xfId="3" applyNumberFormat="1" applyFont="1" applyFill="1" applyBorder="1" applyAlignment="1">
      <alignment vertical="top"/>
    </xf>
    <xf numFmtId="165" fontId="33" fillId="11" borderId="23" xfId="3" applyNumberFormat="1" applyFont="1" applyFill="1" applyBorder="1" applyAlignment="1">
      <alignment vertical="top"/>
    </xf>
    <xf numFmtId="165" fontId="33" fillId="11" borderId="13" xfId="3" applyNumberFormat="1" applyFont="1" applyFill="1" applyBorder="1" applyAlignment="1">
      <alignment vertical="top"/>
    </xf>
    <xf numFmtId="165" fontId="33" fillId="11" borderId="14" xfId="3" applyNumberFormat="1" applyFont="1" applyFill="1" applyBorder="1" applyAlignment="1">
      <alignment vertical="top"/>
    </xf>
    <xf numFmtId="0" fontId="30" fillId="4" borderId="0" xfId="0" applyFont="1" applyFill="1" applyAlignment="1">
      <alignment vertical="top"/>
    </xf>
    <xf numFmtId="0" fontId="51" fillId="4" borderId="11" xfId="0" applyFont="1" applyFill="1" applyBorder="1" applyAlignment="1">
      <alignment vertical="top"/>
    </xf>
    <xf numFmtId="0" fontId="59" fillId="11" borderId="23" xfId="0" applyFont="1" applyFill="1" applyBorder="1" applyAlignment="1">
      <alignment vertical="top"/>
    </xf>
    <xf numFmtId="165" fontId="54" fillId="11" borderId="0" xfId="0" applyNumberFormat="1" applyFont="1" applyFill="1" applyBorder="1" applyAlignment="1" applyProtection="1">
      <alignment horizontal="right" vertical="top"/>
      <protection locked="0"/>
    </xf>
    <xf numFmtId="165" fontId="54" fillId="11" borderId="12" xfId="0" applyNumberFormat="1" applyFont="1" applyFill="1" applyBorder="1" applyAlignment="1" applyProtection="1">
      <alignment horizontal="right" vertical="top"/>
      <protection locked="0"/>
    </xf>
    <xf numFmtId="165" fontId="54" fillId="11" borderId="24" xfId="0" applyNumberFormat="1" applyFont="1" applyFill="1" applyBorder="1" applyAlignment="1" applyProtection="1">
      <alignment horizontal="right" vertical="top"/>
      <protection locked="0"/>
    </xf>
    <xf numFmtId="165" fontId="54" fillId="11" borderId="22" xfId="0" applyNumberFormat="1" applyFont="1" applyFill="1" applyBorder="1" applyAlignment="1" applyProtection="1">
      <alignment horizontal="right" vertical="top"/>
      <protection locked="0"/>
    </xf>
    <xf numFmtId="165" fontId="54" fillId="11" borderId="15" xfId="0" applyNumberFormat="1" applyFont="1" applyFill="1" applyBorder="1" applyAlignment="1" applyProtection="1">
      <alignment horizontal="right" vertical="top"/>
      <protection locked="0"/>
    </xf>
    <xf numFmtId="165" fontId="54" fillId="11" borderId="23" xfId="0" applyNumberFormat="1" applyFont="1" applyFill="1" applyBorder="1" applyAlignment="1" applyProtection="1">
      <alignment horizontal="right" vertical="top"/>
      <protection locked="0"/>
    </xf>
    <xf numFmtId="165" fontId="54" fillId="11" borderId="13" xfId="0" applyNumberFormat="1" applyFont="1" applyFill="1" applyBorder="1" applyAlignment="1" applyProtection="1">
      <alignment horizontal="right" vertical="top"/>
      <protection locked="0"/>
    </xf>
    <xf numFmtId="165" fontId="54" fillId="11" borderId="1" xfId="0" applyNumberFormat="1" applyFont="1" applyFill="1" applyBorder="1" applyAlignment="1" applyProtection="1">
      <alignment horizontal="right" vertical="top"/>
      <protection locked="0"/>
    </xf>
    <xf numFmtId="165" fontId="54" fillId="11" borderId="14" xfId="0" applyNumberFormat="1" applyFont="1" applyFill="1" applyBorder="1" applyAlignment="1" applyProtection="1">
      <alignment horizontal="right" vertical="top"/>
      <protection locked="0"/>
    </xf>
    <xf numFmtId="9" fontId="54" fillId="4" borderId="10" xfId="0" applyNumberFormat="1" applyFont="1" applyFill="1" applyBorder="1" applyAlignment="1">
      <alignment horizontal="right" vertical="top"/>
    </xf>
    <xf numFmtId="9" fontId="54" fillId="4" borderId="11" xfId="0" applyNumberFormat="1" applyFont="1" applyFill="1" applyBorder="1" applyAlignment="1">
      <alignment horizontal="right" vertical="top"/>
    </xf>
    <xf numFmtId="166" fontId="54" fillId="4" borderId="10" xfId="2" applyNumberFormat="1" applyFont="1" applyFill="1" applyBorder="1" applyAlignment="1">
      <alignment vertical="top"/>
    </xf>
    <xf numFmtId="166" fontId="54" fillId="4" borderId="11" xfId="2" applyNumberFormat="1" applyFont="1" applyFill="1" applyBorder="1" applyAlignment="1">
      <alignment vertical="top"/>
    </xf>
    <xf numFmtId="3" fontId="54" fillId="4" borderId="12" xfId="0" applyNumberFormat="1" applyFont="1" applyFill="1" applyBorder="1" applyAlignment="1">
      <alignment vertical="top"/>
    </xf>
    <xf numFmtId="3" fontId="54" fillId="4" borderId="24" xfId="0" applyNumberFormat="1" applyFont="1" applyFill="1" applyBorder="1" applyAlignment="1">
      <alignment vertical="top"/>
    </xf>
    <xf numFmtId="3" fontId="54" fillId="4" borderId="22" xfId="0" applyNumberFormat="1" applyFont="1" applyFill="1" applyBorder="1" applyAlignment="1">
      <alignment vertical="top"/>
    </xf>
    <xf numFmtId="3" fontId="54" fillId="4" borderId="15" xfId="0" applyNumberFormat="1" applyFont="1" applyFill="1" applyBorder="1" applyAlignment="1">
      <alignment vertical="top"/>
    </xf>
    <xf numFmtId="3" fontId="54" fillId="4" borderId="0" xfId="0" applyNumberFormat="1" applyFont="1" applyFill="1" applyBorder="1" applyAlignment="1">
      <alignment vertical="top"/>
    </xf>
    <xf numFmtId="3" fontId="54" fillId="4" borderId="23" xfId="0" applyNumberFormat="1" applyFont="1" applyFill="1" applyBorder="1" applyAlignment="1">
      <alignment vertical="top"/>
    </xf>
    <xf numFmtId="3" fontId="54" fillId="4" borderId="13" xfId="0" applyNumberFormat="1" applyFont="1" applyFill="1" applyBorder="1" applyAlignment="1">
      <alignment vertical="top"/>
    </xf>
    <xf numFmtId="3" fontId="54" fillId="4" borderId="1" xfId="0" applyNumberFormat="1" applyFont="1" applyFill="1" applyBorder="1" applyAlignment="1">
      <alignment vertical="top"/>
    </xf>
    <xf numFmtId="3" fontId="54" fillId="4" borderId="14" xfId="0" applyNumberFormat="1" applyFont="1" applyFill="1" applyBorder="1" applyAlignment="1">
      <alignment vertical="top"/>
    </xf>
    <xf numFmtId="3" fontId="54" fillId="11" borderId="10" xfId="0" applyNumberFormat="1" applyFont="1" applyFill="1" applyBorder="1" applyAlignment="1">
      <alignment vertical="top"/>
    </xf>
    <xf numFmtId="3" fontId="54" fillId="11" borderId="2" xfId="0" applyNumberFormat="1" applyFont="1" applyFill="1" applyBorder="1" applyAlignment="1">
      <alignment vertical="top"/>
    </xf>
    <xf numFmtId="3" fontId="54" fillId="11" borderId="11" xfId="0" applyNumberFormat="1" applyFont="1" applyFill="1" applyBorder="1" applyAlignment="1">
      <alignment vertical="top"/>
    </xf>
    <xf numFmtId="3" fontId="40" fillId="4" borderId="12" xfId="0" applyNumberFormat="1" applyFont="1" applyFill="1" applyBorder="1" applyAlignment="1">
      <alignment vertical="top"/>
    </xf>
    <xf numFmtId="3" fontId="40" fillId="4" borderId="24" xfId="0" applyNumberFormat="1" applyFont="1" applyFill="1" applyBorder="1" applyAlignment="1">
      <alignment vertical="top"/>
    </xf>
    <xf numFmtId="3" fontId="40" fillId="4" borderId="22" xfId="0" applyNumberFormat="1" applyFont="1" applyFill="1" applyBorder="1" applyAlignment="1">
      <alignment vertical="top"/>
    </xf>
    <xf numFmtId="3" fontId="40" fillId="4" borderId="0" xfId="0" applyNumberFormat="1" applyFont="1" applyFill="1" applyBorder="1" applyAlignment="1">
      <alignment vertical="top"/>
    </xf>
    <xf numFmtId="3" fontId="40" fillId="4" borderId="23" xfId="0" applyNumberFormat="1" applyFont="1" applyFill="1" applyBorder="1" applyAlignment="1">
      <alignment vertical="top"/>
    </xf>
    <xf numFmtId="3" fontId="40" fillId="4" borderId="13" xfId="0" applyNumberFormat="1" applyFont="1" applyFill="1" applyBorder="1" applyAlignment="1">
      <alignment vertical="top"/>
    </xf>
    <xf numFmtId="3" fontId="40" fillId="4" borderId="1" xfId="0" applyNumberFormat="1" applyFont="1" applyFill="1" applyBorder="1" applyAlignment="1">
      <alignment vertical="top"/>
    </xf>
    <xf numFmtId="3" fontId="40" fillId="4" borderId="14" xfId="0" applyNumberFormat="1" applyFont="1" applyFill="1" applyBorder="1" applyAlignment="1">
      <alignment vertical="top"/>
    </xf>
    <xf numFmtId="3" fontId="33" fillId="11" borderId="0" xfId="0" applyNumberFormat="1" applyFont="1" applyFill="1" applyBorder="1" applyAlignment="1">
      <alignment vertical="top"/>
    </xf>
    <xf numFmtId="165" fontId="33" fillId="11" borderId="24" xfId="3" applyNumberFormat="1" applyFont="1" applyFill="1" applyBorder="1" applyAlignment="1">
      <alignment vertical="top"/>
    </xf>
    <xf numFmtId="165" fontId="33" fillId="11" borderId="0" xfId="3" applyNumberFormat="1" applyFont="1" applyFill="1" applyBorder="1" applyAlignment="1">
      <alignment vertical="top"/>
    </xf>
    <xf numFmtId="165" fontId="33" fillId="11" borderId="1" xfId="3" applyNumberFormat="1" applyFont="1" applyFill="1" applyBorder="1" applyAlignment="1">
      <alignment vertical="top"/>
    </xf>
    <xf numFmtId="3" fontId="43" fillId="4" borderId="10" xfId="2" applyNumberFormat="1" applyFont="1" applyFill="1" applyBorder="1" applyAlignment="1">
      <alignment vertical="top" wrapText="1"/>
    </xf>
    <xf numFmtId="3" fontId="43" fillId="4" borderId="2" xfId="2" applyNumberFormat="1" applyFont="1" applyFill="1" applyBorder="1" applyAlignment="1">
      <alignment vertical="top" wrapText="1"/>
    </xf>
    <xf numFmtId="3" fontId="33" fillId="4" borderId="11" xfId="0" applyNumberFormat="1" applyFont="1" applyFill="1" applyBorder="1" applyAlignment="1">
      <alignment vertical="top"/>
    </xf>
    <xf numFmtId="166" fontId="43" fillId="11" borderId="10" xfId="2" applyNumberFormat="1" applyFont="1" applyFill="1" applyBorder="1" applyAlignment="1">
      <alignment horizontal="right" vertical="top" wrapText="1"/>
    </xf>
    <xf numFmtId="166" fontId="43" fillId="11" borderId="11" xfId="2" applyNumberFormat="1" applyFont="1" applyFill="1" applyBorder="1" applyAlignment="1">
      <alignment horizontal="right" vertical="top" wrapText="1"/>
    </xf>
    <xf numFmtId="0" fontId="50" fillId="12" borderId="12" xfId="0" applyFont="1" applyFill="1" applyBorder="1" applyAlignment="1">
      <alignment horizontal="right" vertical="top"/>
    </xf>
    <xf numFmtId="0" fontId="52" fillId="3" borderId="24" xfId="0" applyFont="1" applyFill="1" applyBorder="1" applyAlignment="1">
      <alignment horizontal="right" vertical="top"/>
    </xf>
    <xf numFmtId="0" fontId="52" fillId="5" borderId="22" xfId="0" applyFont="1" applyFill="1" applyBorder="1" applyAlignment="1">
      <alignment horizontal="right" vertical="top"/>
    </xf>
    <xf numFmtId="0" fontId="51" fillId="11" borderId="15" xfId="0" applyFont="1" applyFill="1" applyBorder="1" applyAlignment="1">
      <alignment vertical="top" wrapText="1"/>
    </xf>
    <xf numFmtId="0" fontId="51" fillId="11" borderId="11" xfId="0" applyFont="1" applyFill="1" applyBorder="1" applyAlignment="1">
      <alignment vertical="top"/>
    </xf>
    <xf numFmtId="0" fontId="97" fillId="11" borderId="23" xfId="0" applyFont="1" applyFill="1" applyBorder="1" applyAlignment="1">
      <alignment horizontal="left" vertical="top" indent="1"/>
    </xf>
    <xf numFmtId="0" fontId="59" fillId="11" borderId="14" xfId="0" applyFont="1" applyFill="1" applyBorder="1" applyAlignment="1">
      <alignment vertical="top"/>
    </xf>
    <xf numFmtId="0" fontId="59" fillId="4" borderId="14" xfId="0" applyFont="1" applyFill="1" applyBorder="1" applyAlignment="1">
      <alignment vertical="top"/>
    </xf>
    <xf numFmtId="0" fontId="30" fillId="4" borderId="0" xfId="0" applyFont="1" applyFill="1" applyBorder="1"/>
    <xf numFmtId="0" fontId="30" fillId="4" borderId="0" xfId="0" applyFont="1" applyFill="1" applyBorder="1" applyAlignment="1">
      <alignment vertical="top"/>
    </xf>
    <xf numFmtId="0" fontId="39" fillId="4" borderId="5" xfId="0" applyFont="1" applyFill="1" applyBorder="1" applyAlignment="1">
      <alignment horizontal="center" vertical="top"/>
    </xf>
    <xf numFmtId="0" fontId="40" fillId="4" borderId="23" xfId="0" applyFont="1" applyFill="1" applyBorder="1" applyAlignment="1">
      <alignment vertical="top"/>
    </xf>
    <xf numFmtId="0" fontId="40" fillId="4" borderId="13" xfId="0" applyFont="1" applyFill="1" applyBorder="1" applyAlignment="1">
      <alignment vertical="top"/>
    </xf>
    <xf numFmtId="0" fontId="40" fillId="4" borderId="24" xfId="0" applyFont="1" applyFill="1" applyBorder="1" applyAlignment="1">
      <alignment vertical="top"/>
    </xf>
    <xf numFmtId="9" fontId="58" fillId="7" borderId="0" xfId="0" applyNumberFormat="1" applyFont="1" applyFill="1" applyAlignment="1">
      <alignment vertical="top"/>
    </xf>
    <xf numFmtId="0" fontId="45" fillId="7" borderId="0" xfId="0" applyFont="1" applyFill="1" applyAlignment="1">
      <alignment vertical="top"/>
    </xf>
    <xf numFmtId="0" fontId="40" fillId="7" borderId="15" xfId="0" applyFont="1" applyFill="1" applyBorder="1" applyAlignment="1">
      <alignment vertical="top"/>
    </xf>
    <xf numFmtId="0" fontId="40" fillId="7" borderId="13" xfId="0" applyFont="1" applyFill="1" applyBorder="1" applyAlignment="1">
      <alignment vertical="top"/>
    </xf>
    <xf numFmtId="0" fontId="45" fillId="7" borderId="15" xfId="0" applyFont="1" applyFill="1" applyBorder="1" applyAlignment="1">
      <alignment vertical="top"/>
    </xf>
    <xf numFmtId="0" fontId="76" fillId="4" borderId="0" xfId="0" applyFont="1" applyFill="1" applyBorder="1" applyAlignment="1">
      <alignment horizontal="left" vertical="top"/>
    </xf>
    <xf numFmtId="0" fontId="43" fillId="11" borderId="6" xfId="6" applyFont="1" applyFill="1" applyBorder="1" applyAlignment="1">
      <alignment horizontal="left" vertical="center" wrapText="1"/>
    </xf>
    <xf numFmtId="0" fontId="98" fillId="9" borderId="0" xfId="0" applyFont="1" applyFill="1" applyBorder="1" applyAlignment="1">
      <alignment vertical="top"/>
    </xf>
    <xf numFmtId="166" fontId="54" fillId="4" borderId="2" xfId="2" applyNumberFormat="1" applyFont="1" applyFill="1" applyBorder="1" applyAlignment="1">
      <alignment vertical="top"/>
    </xf>
    <xf numFmtId="0" fontId="76" fillId="4" borderId="0" xfId="0" applyFont="1" applyFill="1" applyBorder="1" applyAlignment="1">
      <alignment vertical="top" wrapText="1"/>
    </xf>
    <xf numFmtId="165" fontId="54" fillId="4" borderId="0" xfId="0" applyNumberFormat="1" applyFont="1" applyFill="1" applyBorder="1" applyAlignment="1" applyProtection="1">
      <alignment horizontal="right" vertical="top"/>
      <protection locked="0"/>
    </xf>
    <xf numFmtId="0" fontId="63" fillId="4" borderId="5" xfId="0" applyFont="1" applyFill="1" applyBorder="1" applyAlignment="1">
      <alignment vertical="center" textRotation="90"/>
    </xf>
    <xf numFmtId="0" fontId="76" fillId="4" borderId="0" xfId="0" applyFont="1" applyFill="1" applyBorder="1" applyAlignment="1">
      <alignment horizontal="left" vertical="top"/>
    </xf>
    <xf numFmtId="0" fontId="45" fillId="11" borderId="12" xfId="0" applyFont="1" applyFill="1" applyBorder="1" applyAlignment="1">
      <alignment horizontal="right" vertical="top"/>
    </xf>
    <xf numFmtId="0" fontId="51" fillId="4" borderId="11" xfId="0" applyFont="1" applyFill="1" applyBorder="1" applyAlignment="1">
      <alignment horizontal="left" vertical="top" wrapText="1"/>
    </xf>
    <xf numFmtId="0" fontId="51" fillId="11" borderId="11" xfId="0" applyFont="1" applyFill="1" applyBorder="1" applyAlignment="1">
      <alignment horizontal="left" vertical="top" wrapText="1"/>
    </xf>
    <xf numFmtId="0" fontId="43" fillId="11" borderId="6" xfId="6" applyFont="1" applyFill="1" applyBorder="1" applyAlignment="1">
      <alignment vertical="center" wrapText="1"/>
    </xf>
    <xf numFmtId="0" fontId="43" fillId="4" borderId="6" xfId="6" applyFont="1" applyFill="1" applyBorder="1" applyAlignment="1">
      <alignment vertical="center" wrapText="1"/>
    </xf>
    <xf numFmtId="0" fontId="43" fillId="4" borderId="7" xfId="6" applyFont="1" applyFill="1" applyBorder="1" applyAlignment="1">
      <alignment vertical="center" wrapText="1"/>
    </xf>
    <xf numFmtId="0" fontId="76" fillId="4" borderId="6" xfId="6" applyFont="1" applyFill="1" applyBorder="1" applyAlignment="1">
      <alignment vertical="center" wrapText="1"/>
    </xf>
    <xf numFmtId="0" fontId="65" fillId="11" borderId="6" xfId="6" applyFont="1" applyFill="1" applyBorder="1" applyAlignment="1">
      <alignment vertical="center" wrapText="1"/>
    </xf>
    <xf numFmtId="0" fontId="76" fillId="4" borderId="0" xfId="0" applyFont="1" applyFill="1" applyBorder="1" applyAlignment="1">
      <alignment horizontal="left" vertical="top"/>
    </xf>
    <xf numFmtId="0" fontId="56" fillId="4" borderId="12" xfId="0" applyFont="1" applyFill="1" applyBorder="1" applyAlignment="1">
      <alignment horizontal="right" vertical="top"/>
    </xf>
    <xf numFmtId="0" fontId="28" fillId="4" borderId="0" xfId="0" applyFont="1" applyFill="1" applyAlignment="1">
      <alignment vertical="top"/>
    </xf>
    <xf numFmtId="0" fontId="28" fillId="4" borderId="0" xfId="0" applyFont="1" applyFill="1" applyBorder="1" applyAlignment="1">
      <alignment vertical="top"/>
    </xf>
    <xf numFmtId="0" fontId="43" fillId="10" borderId="18" xfId="0" applyFont="1" applyFill="1" applyBorder="1" applyAlignment="1">
      <alignment vertical="top" wrapText="1"/>
    </xf>
    <xf numFmtId="166" fontId="54" fillId="4" borderId="30" xfId="2" applyNumberFormat="1" applyFont="1" applyFill="1" applyBorder="1" applyAlignment="1">
      <alignment vertical="top"/>
    </xf>
    <xf numFmtId="0" fontId="28" fillId="11" borderId="0" xfId="0" applyFont="1" applyFill="1" applyAlignment="1">
      <alignment vertical="top"/>
    </xf>
    <xf numFmtId="0" fontId="28" fillId="11" borderId="0" xfId="0" applyFont="1" applyFill="1" applyAlignment="1">
      <alignment horizontal="right" vertical="top"/>
    </xf>
    <xf numFmtId="0" fontId="28" fillId="11" borderId="13" xfId="0" applyFont="1" applyFill="1" applyBorder="1" applyAlignment="1">
      <alignment vertical="top"/>
    </xf>
    <xf numFmtId="0" fontId="28" fillId="4" borderId="0" xfId="0" applyFont="1" applyFill="1" applyAlignment="1">
      <alignment horizontal="right" vertical="top"/>
    </xf>
    <xf numFmtId="0" fontId="52" fillId="11" borderId="0" xfId="0" applyFont="1" applyFill="1" applyAlignment="1">
      <alignment horizontal="right" vertical="top"/>
    </xf>
    <xf numFmtId="0" fontId="28" fillId="11" borderId="0" xfId="0" applyFont="1" applyFill="1" applyBorder="1" applyAlignment="1">
      <alignment vertical="top"/>
    </xf>
    <xf numFmtId="0" fontId="33" fillId="11" borderId="13" xfId="0" applyFont="1" applyFill="1" applyBorder="1" applyAlignment="1">
      <alignment horizontal="right" vertical="top"/>
    </xf>
    <xf numFmtId="3" fontId="33" fillId="11" borderId="30" xfId="0" applyNumberFormat="1" applyFont="1" applyFill="1" applyBorder="1" applyAlignment="1">
      <alignment vertical="top" wrapText="1"/>
    </xf>
    <xf numFmtId="169" fontId="33" fillId="4" borderId="0" xfId="0" applyNumberFormat="1" applyFont="1" applyFill="1" applyBorder="1" applyAlignment="1">
      <alignment vertical="top"/>
    </xf>
    <xf numFmtId="3" fontId="33" fillId="4" borderId="10" xfId="0" applyNumberFormat="1" applyFont="1" applyFill="1" applyBorder="1" applyAlignment="1">
      <alignment vertical="top" wrapText="1"/>
    </xf>
    <xf numFmtId="3" fontId="33" fillId="4" borderId="2" xfId="0" applyNumberFormat="1" applyFont="1" applyFill="1" applyBorder="1" applyAlignment="1">
      <alignment vertical="top" wrapText="1"/>
    </xf>
    <xf numFmtId="3" fontId="33" fillId="4" borderId="11" xfId="0" applyNumberFormat="1" applyFont="1" applyFill="1" applyBorder="1" applyAlignment="1">
      <alignment vertical="top" wrapText="1"/>
    </xf>
    <xf numFmtId="0" fontId="45" fillId="4" borderId="24" xfId="0" applyFont="1" applyFill="1" applyBorder="1" applyAlignment="1">
      <alignment horizontal="right" vertical="top"/>
    </xf>
    <xf numFmtId="0" fontId="43" fillId="4" borderId="0" xfId="0" applyFont="1" applyFill="1" applyBorder="1" applyAlignment="1">
      <alignment horizontal="right" vertical="top" wrapText="1"/>
    </xf>
    <xf numFmtId="0" fontId="43" fillId="4" borderId="0" xfId="4" applyFont="1" applyFill="1" applyBorder="1" applyAlignment="1">
      <alignment horizontal="right" vertical="top"/>
    </xf>
    <xf numFmtId="0" fontId="43" fillId="11" borderId="0" xfId="4" applyFont="1" applyFill="1" applyBorder="1" applyAlignment="1">
      <alignment horizontal="right" vertical="top"/>
    </xf>
    <xf numFmtId="0" fontId="27" fillId="11" borderId="0" xfId="0" applyFont="1" applyFill="1" applyBorder="1" applyAlignment="1">
      <alignment horizontal="right" vertical="top"/>
    </xf>
    <xf numFmtId="0" fontId="52" fillId="4" borderId="22" xfId="0" applyFont="1" applyFill="1" applyBorder="1" applyAlignment="1">
      <alignment vertical="top"/>
    </xf>
    <xf numFmtId="0" fontId="27" fillId="4" borderId="0" xfId="0" applyFont="1" applyFill="1" applyBorder="1" applyAlignment="1">
      <alignment vertical="top"/>
    </xf>
    <xf numFmtId="0" fontId="27" fillId="4" borderId="0" xfId="0" applyFont="1" applyFill="1" applyBorder="1" applyAlignment="1">
      <alignment horizontal="right" vertical="top"/>
    </xf>
    <xf numFmtId="0" fontId="57" fillId="4" borderId="0" xfId="4" applyFont="1" applyFill="1" applyBorder="1" applyAlignment="1">
      <alignment horizontal="right"/>
    </xf>
    <xf numFmtId="0" fontId="57" fillId="11" borderId="0" xfId="4" applyFont="1" applyFill="1" applyBorder="1" applyAlignment="1">
      <alignment horizontal="right"/>
    </xf>
    <xf numFmtId="9" fontId="58" fillId="4" borderId="0" xfId="0" applyNumberFormat="1" applyFont="1" applyFill="1" applyBorder="1" applyAlignment="1">
      <alignment vertical="top" wrapText="1"/>
    </xf>
    <xf numFmtId="0" fontId="43" fillId="11" borderId="8" xfId="6" applyFont="1" applyFill="1" applyBorder="1" applyAlignment="1">
      <alignment vertical="center" wrapText="1"/>
    </xf>
    <xf numFmtId="0" fontId="99" fillId="4" borderId="5" xfId="1" applyFill="1" applyBorder="1" applyAlignment="1">
      <alignment vertical="center" textRotation="90"/>
    </xf>
    <xf numFmtId="166" fontId="99" fillId="4" borderId="0" xfId="1" applyNumberFormat="1" applyFill="1" applyBorder="1"/>
    <xf numFmtId="0" fontId="99" fillId="4" borderId="0" xfId="1" applyFill="1" applyBorder="1"/>
    <xf numFmtId="0" fontId="76" fillId="4" borderId="0" xfId="0" applyFont="1" applyFill="1" applyBorder="1" applyAlignment="1">
      <alignment horizontal="left" vertical="top"/>
    </xf>
    <xf numFmtId="9" fontId="51" fillId="4" borderId="11" xfId="0" applyNumberFormat="1" applyFont="1" applyFill="1" applyBorder="1" applyAlignment="1">
      <alignment vertical="top" wrapText="1"/>
    </xf>
    <xf numFmtId="0" fontId="30" fillId="11" borderId="0" xfId="0" applyFont="1" applyFill="1" applyBorder="1"/>
    <xf numFmtId="0" fontId="30" fillId="11" borderId="0" xfId="0" applyFont="1" applyFill="1" applyAlignment="1">
      <alignment vertical="top"/>
    </xf>
    <xf numFmtId="166" fontId="54" fillId="11" borderId="10" xfId="2" applyNumberFormat="1" applyFont="1" applyFill="1" applyBorder="1" applyAlignment="1">
      <alignment vertical="top"/>
    </xf>
    <xf numFmtId="0" fontId="100" fillId="4" borderId="0" xfId="0" applyFont="1" applyFill="1" applyAlignment="1">
      <alignment wrapText="1"/>
    </xf>
    <xf numFmtId="0" fontId="56" fillId="11" borderId="0" xfId="0" applyFont="1" applyFill="1" applyBorder="1" applyAlignment="1">
      <alignment horizontal="right" vertical="top"/>
    </xf>
    <xf numFmtId="0" fontId="76" fillId="4" borderId="0" xfId="0" applyFont="1" applyFill="1" applyBorder="1" applyAlignment="1">
      <alignment horizontal="left" vertical="top"/>
    </xf>
    <xf numFmtId="0" fontId="45" fillId="4" borderId="12" xfId="0" applyFont="1" applyFill="1" applyBorder="1" applyAlignment="1">
      <alignment horizontal="right" vertical="top"/>
    </xf>
    <xf numFmtId="0" fontId="45" fillId="4" borderId="15" xfId="0" applyFont="1" applyFill="1" applyBorder="1" applyAlignment="1">
      <alignment horizontal="right" vertical="top"/>
    </xf>
    <xf numFmtId="0" fontId="43" fillId="4" borderId="0" xfId="5" applyFont="1" applyFill="1" applyBorder="1" applyAlignment="1">
      <alignment horizontal="center" vertical="center"/>
    </xf>
    <xf numFmtId="0" fontId="26" fillId="4" borderId="0" xfId="0" applyFont="1" applyFill="1" applyBorder="1" applyAlignment="1">
      <alignment vertical="top"/>
    </xf>
    <xf numFmtId="0" fontId="57" fillId="4" borderId="0" xfId="6" applyFont="1" applyFill="1" applyBorder="1" applyAlignment="1">
      <alignment horizontal="right" vertical="center"/>
    </xf>
    <xf numFmtId="0" fontId="43" fillId="4" borderId="0" xfId="6" applyFont="1" applyFill="1" applyBorder="1" applyAlignment="1">
      <alignment vertical="center"/>
    </xf>
    <xf numFmtId="0" fontId="74" fillId="4" borderId="0" xfId="6" applyFont="1" applyFill="1" applyBorder="1" applyAlignment="1">
      <alignment vertical="center"/>
    </xf>
    <xf numFmtId="0" fontId="74" fillId="4" borderId="24" xfId="6" applyFont="1" applyFill="1" applyBorder="1" applyAlignment="1">
      <alignment vertical="center"/>
    </xf>
    <xf numFmtId="0" fontId="74" fillId="4" borderId="1" xfId="6" applyFont="1" applyFill="1" applyBorder="1" applyAlignment="1">
      <alignment vertical="center"/>
    </xf>
    <xf numFmtId="0" fontId="74" fillId="4" borderId="0" xfId="0" applyFont="1" applyFill="1" applyBorder="1" applyAlignment="1"/>
    <xf numFmtId="0" fontId="26" fillId="4" borderId="15" xfId="0" applyFont="1" applyFill="1" applyBorder="1" applyAlignment="1">
      <alignment horizontal="right" vertical="top"/>
    </xf>
    <xf numFmtId="0" fontId="103" fillId="2" borderId="0" xfId="0" applyFont="1" applyFill="1"/>
    <xf numFmtId="0" fontId="57" fillId="4" borderId="0" xfId="0" applyFont="1" applyFill="1" applyBorder="1" applyAlignment="1">
      <alignment horizontal="center" vertical="center"/>
    </xf>
    <xf numFmtId="0" fontId="0" fillId="4" borderId="0" xfId="0" applyFont="1" applyFill="1"/>
    <xf numFmtId="0" fontId="43" fillId="4" borderId="0" xfId="0" applyFont="1" applyFill="1" applyBorder="1" applyAlignment="1">
      <alignment horizontal="right" vertical="center"/>
    </xf>
    <xf numFmtId="0" fontId="57" fillId="4" borderId="24" xfId="0" applyFont="1" applyFill="1" applyBorder="1" applyAlignment="1">
      <alignment horizontal="right" vertical="center"/>
    </xf>
    <xf numFmtId="0" fontId="26" fillId="4" borderId="0" xfId="0" applyFont="1" applyFill="1"/>
    <xf numFmtId="0" fontId="57" fillId="4" borderId="22" xfId="0" applyFont="1" applyFill="1" applyBorder="1" applyAlignment="1">
      <alignment horizontal="right" vertical="center"/>
    </xf>
    <xf numFmtId="0" fontId="57" fillId="4" borderId="0" xfId="0" applyFont="1" applyFill="1" applyBorder="1" applyAlignment="1">
      <alignment horizontal="right" vertical="center"/>
    </xf>
    <xf numFmtId="0" fontId="43" fillId="4" borderId="0" xfId="11" applyFont="1" applyFill="1" applyBorder="1" applyAlignment="1">
      <alignment horizontal="right"/>
    </xf>
    <xf numFmtId="0" fontId="26" fillId="4" borderId="12" xfId="0" applyFont="1" applyFill="1" applyBorder="1"/>
    <xf numFmtId="9" fontId="26" fillId="4" borderId="0" xfId="3" applyFont="1" applyFill="1" applyBorder="1"/>
    <xf numFmtId="9" fontId="26" fillId="4" borderId="23" xfId="3" applyFont="1" applyFill="1" applyBorder="1"/>
    <xf numFmtId="9" fontId="26" fillId="4" borderId="1" xfId="3" applyFont="1" applyFill="1" applyBorder="1"/>
    <xf numFmtId="9" fontId="26" fillId="4" borderId="14" xfId="3" applyFont="1" applyFill="1" applyBorder="1"/>
    <xf numFmtId="0" fontId="58" fillId="4" borderId="0" xfId="0" applyFont="1" applyFill="1" applyAlignment="1">
      <alignment horizontal="right"/>
    </xf>
    <xf numFmtId="165" fontId="58" fillId="4" borderId="0" xfId="0" applyNumberFormat="1" applyFont="1" applyFill="1" applyAlignment="1">
      <alignment horizontal="right"/>
    </xf>
    <xf numFmtId="165" fontId="58" fillId="4" borderId="0" xfId="0" applyNumberFormat="1" applyFont="1" applyFill="1"/>
    <xf numFmtId="0" fontId="26" fillId="4" borderId="0" xfId="0" applyFont="1" applyFill="1" applyAlignment="1">
      <alignment horizontal="right"/>
    </xf>
    <xf numFmtId="0" fontId="45" fillId="4" borderId="0" xfId="0" applyFont="1" applyFill="1"/>
    <xf numFmtId="0" fontId="25" fillId="4" borderId="0" xfId="0" applyFont="1" applyFill="1" applyAlignment="1">
      <alignment horizontal="right"/>
    </xf>
    <xf numFmtId="165" fontId="58" fillId="7" borderId="0" xfId="0" applyNumberFormat="1" applyFont="1" applyFill="1" applyAlignment="1">
      <alignment vertical="top"/>
    </xf>
    <xf numFmtId="165" fontId="52" fillId="7" borderId="0" xfId="0" applyNumberFormat="1" applyFont="1" applyFill="1" applyAlignment="1">
      <alignment horizontal="right" vertical="top"/>
    </xf>
    <xf numFmtId="0" fontId="57" fillId="7" borderId="0" xfId="4" applyFont="1" applyFill="1" applyBorder="1"/>
    <xf numFmtId="3" fontId="43" fillId="4" borderId="0" xfId="4" applyNumberFormat="1" applyFont="1" applyFill="1" applyBorder="1" applyAlignment="1">
      <alignment horizontal="right"/>
    </xf>
    <xf numFmtId="3" fontId="24" fillId="4" borderId="0" xfId="3" applyNumberFormat="1" applyFont="1" applyFill="1" applyBorder="1" applyAlignment="1">
      <alignment horizontal="center"/>
    </xf>
    <xf numFmtId="0" fontId="33" fillId="4" borderId="23" xfId="0" applyFont="1" applyFill="1" applyBorder="1" applyAlignment="1">
      <alignment horizontal="right" vertical="top"/>
    </xf>
    <xf numFmtId="0" fontId="30" fillId="4" borderId="23" xfId="0" applyFont="1" applyFill="1" applyBorder="1" applyAlignment="1">
      <alignment horizontal="right" vertical="top"/>
    </xf>
    <xf numFmtId="0" fontId="33" fillId="7" borderId="23" xfId="0" applyFont="1" applyFill="1" applyBorder="1" applyAlignment="1">
      <alignment horizontal="right" vertical="top"/>
    </xf>
    <xf numFmtId="0" fontId="43" fillId="7" borderId="23" xfId="6" applyFont="1" applyFill="1" applyBorder="1" applyAlignment="1">
      <alignment horizontal="right" vertical="center" indent="1"/>
    </xf>
    <xf numFmtId="0" fontId="30" fillId="7" borderId="23" xfId="0" applyFont="1" applyFill="1" applyBorder="1" applyAlignment="1">
      <alignment horizontal="right" vertical="top"/>
    </xf>
    <xf numFmtId="0" fontId="45" fillId="7" borderId="23" xfId="0" applyFont="1" applyFill="1" applyBorder="1" applyAlignment="1">
      <alignment horizontal="right" vertical="top"/>
    </xf>
    <xf numFmtId="0" fontId="43" fillId="7" borderId="14" xfId="6" applyFont="1" applyFill="1" applyBorder="1" applyAlignment="1">
      <alignment horizontal="right" vertical="center"/>
    </xf>
    <xf numFmtId="0" fontId="34" fillId="4" borderId="23" xfId="0" applyFont="1" applyFill="1" applyBorder="1" applyAlignment="1">
      <alignment horizontal="right" vertical="top" wrapText="1"/>
    </xf>
    <xf numFmtId="0" fontId="34" fillId="7" borderId="23" xfId="0" applyFont="1" applyFill="1" applyBorder="1" applyAlignment="1">
      <alignment horizontal="right" vertical="top" wrapText="1"/>
    </xf>
    <xf numFmtId="0" fontId="81" fillId="4" borderId="23" xfId="0" applyFont="1" applyFill="1" applyBorder="1" applyAlignment="1">
      <alignment horizontal="right" vertical="top"/>
    </xf>
    <xf numFmtId="0" fontId="82" fillId="4" borderId="23" xfId="0" applyFont="1" applyFill="1" applyBorder="1" applyAlignment="1">
      <alignment horizontal="right" vertical="top"/>
    </xf>
    <xf numFmtId="0" fontId="81" fillId="4" borderId="0" xfId="0" applyFont="1" applyFill="1" applyBorder="1" applyAlignment="1">
      <alignment horizontal="right" vertical="top"/>
    </xf>
    <xf numFmtId="0" fontId="82" fillId="7" borderId="23" xfId="0" applyFont="1" applyFill="1" applyBorder="1" applyAlignment="1">
      <alignment horizontal="right" vertical="top"/>
    </xf>
    <xf numFmtId="0" fontId="52" fillId="4" borderId="1" xfId="0" applyFont="1" applyFill="1" applyBorder="1" applyAlignment="1">
      <alignment horizontal="right" wrapText="1"/>
    </xf>
    <xf numFmtId="0" fontId="52" fillId="4" borderId="1" xfId="0" applyFont="1" applyFill="1" applyBorder="1" applyAlignment="1">
      <alignment horizontal="right"/>
    </xf>
    <xf numFmtId="0" fontId="52" fillId="7" borderId="1" xfId="0" applyFont="1" applyFill="1" applyBorder="1" applyAlignment="1">
      <alignment horizontal="right"/>
    </xf>
    <xf numFmtId="0" fontId="57" fillId="10" borderId="0" xfId="4" applyFont="1" applyFill="1" applyBorder="1"/>
    <xf numFmtId="0" fontId="57" fillId="10" borderId="1" xfId="4" applyFont="1" applyFill="1" applyBorder="1" applyAlignment="1">
      <alignment horizontal="right"/>
    </xf>
    <xf numFmtId="0" fontId="57" fillId="10" borderId="1" xfId="9" applyFont="1" applyFill="1" applyBorder="1" applyAlignment="1">
      <alignment horizontal="right"/>
    </xf>
    <xf numFmtId="0" fontId="57" fillId="7" borderId="1" xfId="4" applyFont="1" applyFill="1" applyBorder="1" applyAlignment="1">
      <alignment horizontal="right"/>
    </xf>
    <xf numFmtId="0" fontId="57" fillId="7" borderId="1" xfId="9" applyFont="1" applyFill="1" applyBorder="1" applyAlignment="1">
      <alignment horizontal="right"/>
    </xf>
    <xf numFmtId="0" fontId="52" fillId="7" borderId="0" xfId="0" applyFont="1" applyFill="1" applyBorder="1" applyAlignment="1">
      <alignment horizontal="right" vertical="top"/>
    </xf>
    <xf numFmtId="0" fontId="52" fillId="4" borderId="23" xfId="0" applyFont="1" applyFill="1" applyBorder="1" applyAlignment="1">
      <alignment horizontal="right" vertical="top"/>
    </xf>
    <xf numFmtId="0" fontId="82" fillId="4" borderId="14" xfId="0" applyFont="1" applyFill="1" applyBorder="1" applyAlignment="1">
      <alignment horizontal="right" vertical="top"/>
    </xf>
    <xf numFmtId="0" fontId="57" fillId="4" borderId="1" xfId="4" applyFont="1" applyFill="1" applyBorder="1" applyAlignment="1">
      <alignment horizontal="right"/>
    </xf>
    <xf numFmtId="0" fontId="57" fillId="4" borderId="1" xfId="9" applyFont="1" applyFill="1" applyBorder="1" applyAlignment="1">
      <alignment horizontal="right"/>
    </xf>
    <xf numFmtId="0" fontId="52" fillId="7" borderId="0" xfId="0" applyFont="1" applyFill="1" applyBorder="1" applyAlignment="1">
      <alignment horizontal="center" vertical="top"/>
    </xf>
    <xf numFmtId="0" fontId="52" fillId="7" borderId="1" xfId="0" applyFont="1" applyFill="1" applyBorder="1" applyAlignment="1">
      <alignment horizontal="center"/>
    </xf>
    <xf numFmtId="0" fontId="35" fillId="7" borderId="1" xfId="0" applyFont="1" applyFill="1" applyBorder="1" applyAlignment="1">
      <alignment horizontal="left" vertical="top"/>
    </xf>
    <xf numFmtId="0" fontId="81" fillId="4" borderId="1" xfId="0" applyFont="1" applyFill="1" applyBorder="1" applyAlignment="1">
      <alignment horizontal="right" vertical="top" wrapText="1"/>
    </xf>
    <xf numFmtId="0" fontId="81" fillId="4" borderId="1" xfId="0" applyFont="1" applyFill="1" applyBorder="1" applyAlignment="1">
      <alignment horizontal="right" vertical="top"/>
    </xf>
    <xf numFmtId="0" fontId="36" fillId="7" borderId="0" xfId="0" applyFont="1" applyFill="1" applyBorder="1" applyAlignment="1">
      <alignment vertical="top"/>
    </xf>
    <xf numFmtId="0" fontId="81" fillId="7" borderId="0" xfId="0" applyFont="1" applyFill="1" applyBorder="1" applyAlignment="1">
      <alignment horizontal="right" vertical="top"/>
    </xf>
    <xf numFmtId="3" fontId="52" fillId="4" borderId="0" xfId="0" applyNumberFormat="1" applyFont="1" applyFill="1" applyBorder="1" applyAlignment="1">
      <alignment horizontal="right" vertical="top" wrapText="1"/>
    </xf>
    <xf numFmtId="0" fontId="57" fillId="4" borderId="0" xfId="0" applyFont="1" applyFill="1" applyBorder="1" applyAlignment="1">
      <alignment horizontal="right" vertical="top" wrapText="1"/>
    </xf>
    <xf numFmtId="0" fontId="24" fillId="4" borderId="23" xfId="0" applyFont="1" applyFill="1" applyBorder="1" applyAlignment="1">
      <alignment horizontal="right"/>
    </xf>
    <xf numFmtId="0" fontId="43" fillId="4" borderId="0" xfId="0" applyFont="1" applyFill="1" applyBorder="1" applyAlignment="1">
      <alignment horizontal="left" vertical="top" wrapText="1"/>
    </xf>
    <xf numFmtId="0" fontId="45" fillId="11" borderId="12" xfId="0" applyFont="1" applyFill="1" applyBorder="1" applyAlignment="1">
      <alignment horizontal="right" vertical="top"/>
    </xf>
    <xf numFmtId="0" fontId="51" fillId="11" borderId="11" xfId="0" applyFont="1" applyFill="1" applyBorder="1" applyAlignment="1">
      <alignment horizontal="left" vertical="top" wrapText="1"/>
    </xf>
    <xf numFmtId="0" fontId="45" fillId="4" borderId="12" xfId="0" applyFont="1" applyFill="1" applyBorder="1" applyAlignment="1">
      <alignment horizontal="right" vertical="top"/>
    </xf>
    <xf numFmtId="0" fontId="43" fillId="4" borderId="0" xfId="0" applyFont="1" applyFill="1" applyBorder="1" applyAlignment="1">
      <alignment horizontal="left" vertical="top" wrapText="1"/>
    </xf>
    <xf numFmtId="0" fontId="45" fillId="11" borderId="15" xfId="0" applyFont="1" applyFill="1" applyBorder="1" applyAlignment="1">
      <alignment horizontal="right" vertical="top"/>
    </xf>
    <xf numFmtId="0" fontId="45" fillId="4" borderId="12" xfId="0" applyFont="1" applyFill="1" applyBorder="1" applyAlignment="1">
      <alignment horizontal="right" vertical="top"/>
    </xf>
    <xf numFmtId="0" fontId="45" fillId="11" borderId="12" xfId="0" applyFont="1" applyFill="1" applyBorder="1" applyAlignment="1">
      <alignment horizontal="right" vertical="top"/>
    </xf>
    <xf numFmtId="0" fontId="43" fillId="4" borderId="0" xfId="0" applyFont="1" applyFill="1" applyBorder="1" applyAlignment="1">
      <alignment horizontal="left" vertical="top" wrapText="1"/>
    </xf>
    <xf numFmtId="0" fontId="51" fillId="4" borderId="24" xfId="0" applyFont="1" applyFill="1" applyBorder="1" applyAlignment="1">
      <alignment horizontal="left" vertical="top" wrapText="1"/>
    </xf>
    <xf numFmtId="3" fontId="33" fillId="11" borderId="10" xfId="0" applyNumberFormat="1" applyFont="1" applyFill="1" applyBorder="1" applyAlignment="1">
      <alignment vertical="top" wrapText="1"/>
    </xf>
    <xf numFmtId="3" fontId="33" fillId="11" borderId="2" xfId="0" applyNumberFormat="1" applyFont="1" applyFill="1" applyBorder="1" applyAlignment="1">
      <alignment vertical="top" wrapText="1"/>
    </xf>
    <xf numFmtId="3" fontId="33" fillId="11" borderId="11" xfId="0" applyNumberFormat="1" applyFont="1" applyFill="1" applyBorder="1" applyAlignment="1">
      <alignment vertical="top" wrapText="1"/>
    </xf>
    <xf numFmtId="0" fontId="22" fillId="7" borderId="0" xfId="0" applyFont="1" applyFill="1" applyBorder="1" applyAlignment="1">
      <alignment horizontal="right" vertical="top"/>
    </xf>
    <xf numFmtId="0" fontId="74" fillId="4" borderId="0" xfId="0" applyFont="1" applyFill="1" applyBorder="1" applyAlignment="1">
      <alignment horizontal="right" vertical="top"/>
    </xf>
    <xf numFmtId="165" fontId="22" fillId="4" borderId="0" xfId="0" applyNumberFormat="1" applyFont="1" applyFill="1" applyBorder="1" applyAlignment="1">
      <alignment horizontal="right" vertical="top"/>
    </xf>
    <xf numFmtId="0" fontId="22" fillId="4" borderId="0" xfId="0" applyFont="1" applyFill="1" applyBorder="1" applyAlignment="1">
      <alignment horizontal="right" vertical="top"/>
    </xf>
    <xf numFmtId="165" fontId="33" fillId="4" borderId="12" xfId="3" applyNumberFormat="1" applyFont="1" applyFill="1" applyBorder="1" applyAlignment="1">
      <alignment vertical="top"/>
    </xf>
    <xf numFmtId="165" fontId="33" fillId="4" borderId="15" xfId="3" applyNumberFormat="1" applyFont="1" applyFill="1" applyBorder="1" applyAlignment="1">
      <alignment vertical="top"/>
    </xf>
    <xf numFmtId="165" fontId="33" fillId="4" borderId="13" xfId="3" applyNumberFormat="1" applyFont="1" applyFill="1" applyBorder="1" applyAlignment="1">
      <alignment vertical="top"/>
    </xf>
    <xf numFmtId="165" fontId="43" fillId="4" borderId="22" xfId="3" applyNumberFormat="1" applyFont="1" applyFill="1" applyBorder="1" applyAlignment="1">
      <alignment horizontal="right" vertical="top"/>
    </xf>
    <xf numFmtId="165" fontId="43" fillId="4" borderId="23" xfId="3" applyNumberFormat="1" applyFont="1" applyFill="1" applyBorder="1" applyAlignment="1">
      <alignment horizontal="right" vertical="top"/>
    </xf>
    <xf numFmtId="165" fontId="43" fillId="4" borderId="14" xfId="3" applyNumberFormat="1" applyFont="1" applyFill="1" applyBorder="1" applyAlignment="1">
      <alignment horizontal="right" vertical="top"/>
    </xf>
    <xf numFmtId="165" fontId="43" fillId="11" borderId="22" xfId="3" applyNumberFormat="1" applyFont="1" applyFill="1" applyBorder="1" applyAlignment="1">
      <alignment horizontal="right" vertical="top"/>
    </xf>
    <xf numFmtId="165" fontId="43" fillId="11" borderId="23" xfId="3" applyNumberFormat="1" applyFont="1" applyFill="1" applyBorder="1" applyAlignment="1">
      <alignment horizontal="right" vertical="top"/>
    </xf>
    <xf numFmtId="165" fontId="43" fillId="11" borderId="14" xfId="3" applyNumberFormat="1" applyFont="1" applyFill="1" applyBorder="1" applyAlignment="1">
      <alignment horizontal="right" vertical="top"/>
    </xf>
    <xf numFmtId="0" fontId="57" fillId="11" borderId="0" xfId="0" applyFont="1" applyFill="1" applyBorder="1" applyAlignment="1">
      <alignment vertical="top" wrapText="1"/>
    </xf>
    <xf numFmtId="3" fontId="43" fillId="4" borderId="12" xfId="2" applyNumberFormat="1" applyFont="1" applyFill="1" applyBorder="1" applyAlignment="1">
      <alignment vertical="top" wrapText="1"/>
    </xf>
    <xf numFmtId="3" fontId="43" fillId="4" borderId="24" xfId="2" applyNumberFormat="1" applyFont="1" applyFill="1" applyBorder="1" applyAlignment="1">
      <alignment vertical="top" wrapText="1"/>
    </xf>
    <xf numFmtId="3" fontId="43" fillId="4" borderId="22" xfId="2" applyNumberFormat="1" applyFont="1" applyFill="1" applyBorder="1" applyAlignment="1">
      <alignment vertical="top" wrapText="1"/>
    </xf>
    <xf numFmtId="3" fontId="43" fillId="4" borderId="15" xfId="2" applyNumberFormat="1" applyFont="1" applyFill="1" applyBorder="1" applyAlignment="1">
      <alignment vertical="top" wrapText="1"/>
    </xf>
    <xf numFmtId="3" fontId="43" fillId="4" borderId="23" xfId="2" applyNumberFormat="1" applyFont="1" applyFill="1" applyBorder="1" applyAlignment="1">
      <alignment vertical="top" wrapText="1"/>
    </xf>
    <xf numFmtId="3" fontId="43" fillId="4" borderId="13" xfId="2" applyNumberFormat="1" applyFont="1" applyFill="1" applyBorder="1" applyAlignment="1">
      <alignment vertical="top" wrapText="1"/>
    </xf>
    <xf numFmtId="3" fontId="43" fillId="4" borderId="1" xfId="2" applyNumberFormat="1" applyFont="1" applyFill="1" applyBorder="1" applyAlignment="1">
      <alignment vertical="top" wrapText="1"/>
    </xf>
    <xf numFmtId="3" fontId="43" fillId="4" borderId="14" xfId="2" applyNumberFormat="1" applyFont="1" applyFill="1" applyBorder="1" applyAlignment="1">
      <alignment vertical="top" wrapText="1"/>
    </xf>
    <xf numFmtId="0" fontId="81" fillId="4" borderId="0" xfId="0" applyFont="1" applyFill="1" applyBorder="1" applyAlignment="1">
      <alignment horizontal="right" vertical="top" wrapText="1"/>
    </xf>
    <xf numFmtId="0" fontId="40" fillId="4" borderId="23" xfId="0" applyFont="1" applyFill="1" applyBorder="1" applyAlignment="1">
      <alignment vertical="top" wrapText="1"/>
    </xf>
    <xf numFmtId="9" fontId="55" fillId="4" borderId="24" xfId="0" applyNumberFormat="1" applyFont="1" applyFill="1" applyBorder="1" applyAlignment="1">
      <alignment horizontal="right" vertical="top" wrapText="1"/>
    </xf>
    <xf numFmtId="3" fontId="58" fillId="11" borderId="0" xfId="0" applyNumberFormat="1" applyFont="1" applyFill="1" applyBorder="1" applyAlignment="1">
      <alignment horizontal="right" vertical="top"/>
    </xf>
    <xf numFmtId="3" fontId="43" fillId="11" borderId="0" xfId="2" applyNumberFormat="1" applyFont="1" applyFill="1" applyBorder="1" applyAlignment="1">
      <alignment vertical="top" wrapText="1"/>
    </xf>
    <xf numFmtId="0" fontId="22" fillId="11" borderId="0" xfId="0" applyFont="1" applyFill="1" applyBorder="1" applyAlignment="1">
      <alignment horizontal="right" vertical="top"/>
    </xf>
    <xf numFmtId="0" fontId="22" fillId="4" borderId="0" xfId="0" applyFont="1" applyFill="1" applyAlignment="1">
      <alignment vertical="top"/>
    </xf>
    <xf numFmtId="0" fontId="62" fillId="4" borderId="0" xfId="0" applyFont="1" applyFill="1" applyAlignment="1">
      <alignment horizontal="right" vertical="top"/>
    </xf>
    <xf numFmtId="0" fontId="67" fillId="4" borderId="15" xfId="7" applyFont="1" applyFill="1" applyBorder="1" applyAlignment="1">
      <alignment horizontal="center" vertical="center" wrapText="1"/>
    </xf>
    <xf numFmtId="165" fontId="45" fillId="11" borderId="0" xfId="0" applyNumberFormat="1" applyFont="1" applyFill="1" applyBorder="1" applyAlignment="1">
      <alignment horizontal="right" vertical="top"/>
    </xf>
    <xf numFmtId="0" fontId="67" fillId="11" borderId="15" xfId="7" applyFont="1" applyFill="1" applyBorder="1" applyAlignment="1">
      <alignment horizontal="center" vertical="center" wrapText="1"/>
    </xf>
    <xf numFmtId="0" fontId="30" fillId="11" borderId="12" xfId="0" applyFont="1" applyFill="1" applyBorder="1" applyAlignment="1">
      <alignment horizontal="right" wrapText="1" indent="1"/>
    </xf>
    <xf numFmtId="0" fontId="51" fillId="11" borderId="22" xfId="0" applyFont="1" applyFill="1" applyBorder="1"/>
    <xf numFmtId="0" fontId="30" fillId="11" borderId="0" xfId="0" applyFont="1" applyFill="1" applyBorder="1" applyAlignment="1">
      <alignment vertical="top"/>
    </xf>
    <xf numFmtId="0" fontId="30" fillId="11" borderId="15" xfId="0" applyFont="1" applyFill="1" applyBorder="1" applyAlignment="1">
      <alignment horizontal="right" wrapText="1" indent="1"/>
    </xf>
    <xf numFmtId="0" fontId="51" fillId="11" borderId="23" xfId="0" applyFont="1" applyFill="1" applyBorder="1"/>
    <xf numFmtId="0" fontId="30" fillId="11" borderId="15" xfId="0" applyFont="1" applyFill="1" applyBorder="1" applyAlignment="1">
      <alignment horizontal="right" wrapText="1"/>
    </xf>
    <xf numFmtId="0" fontId="59" fillId="11" borderId="23" xfId="0" applyFont="1" applyFill="1" applyBorder="1"/>
    <xf numFmtId="0" fontId="23" fillId="11" borderId="15" xfId="0" applyFont="1" applyFill="1" applyBorder="1" applyAlignment="1">
      <alignment horizontal="right" wrapText="1"/>
    </xf>
    <xf numFmtId="0" fontId="30" fillId="11" borderId="13" xfId="0" applyFont="1" applyFill="1" applyBorder="1" applyAlignment="1">
      <alignment horizontal="right" wrapText="1"/>
    </xf>
    <xf numFmtId="0" fontId="59" fillId="11" borderId="14" xfId="0" applyFont="1" applyFill="1" applyBorder="1"/>
    <xf numFmtId="0" fontId="43" fillId="4" borderId="0" xfId="0" applyFont="1" applyFill="1" applyBorder="1" applyAlignment="1">
      <alignment horizontal="left" vertical="top"/>
    </xf>
    <xf numFmtId="0" fontId="43" fillId="11" borderId="0" xfId="0" applyFont="1" applyFill="1" applyBorder="1" applyAlignment="1">
      <alignment horizontal="left" vertical="top"/>
    </xf>
    <xf numFmtId="0" fontId="62" fillId="11" borderId="11" xfId="0" applyFont="1" applyFill="1" applyBorder="1" applyAlignment="1">
      <alignment vertical="top"/>
    </xf>
    <xf numFmtId="0" fontId="43" fillId="0" borderId="4" xfId="6" applyFont="1" applyFill="1" applyBorder="1" applyAlignment="1">
      <alignment vertical="center" wrapText="1"/>
    </xf>
    <xf numFmtId="0" fontId="43" fillId="4" borderId="16" xfId="6" applyFont="1" applyFill="1" applyBorder="1" applyAlignment="1">
      <alignment horizontal="right" vertical="center"/>
    </xf>
    <xf numFmtId="0" fontId="43" fillId="4" borderId="5" xfId="6" applyFont="1" applyFill="1" applyBorder="1" applyAlignment="1">
      <alignment horizontal="right" vertical="center"/>
    </xf>
    <xf numFmtId="0" fontId="90" fillId="4" borderId="5" xfId="6" applyFont="1" applyFill="1" applyBorder="1" applyAlignment="1">
      <alignment horizontal="right" vertical="center"/>
    </xf>
    <xf numFmtId="0" fontId="43" fillId="11" borderId="5" xfId="6" applyFont="1" applyFill="1" applyBorder="1" applyAlignment="1">
      <alignment horizontal="right" vertical="center"/>
    </xf>
    <xf numFmtId="0" fontId="90" fillId="11" borderId="5" xfId="6" applyFont="1" applyFill="1" applyBorder="1" applyAlignment="1">
      <alignment horizontal="right" vertical="center"/>
    </xf>
    <xf numFmtId="0" fontId="60" fillId="4" borderId="5" xfId="6" applyFont="1" applyFill="1" applyBorder="1" applyAlignment="1">
      <alignment horizontal="right" vertical="center" wrapText="1"/>
    </xf>
    <xf numFmtId="0" fontId="40" fillId="11" borderId="5" xfId="6" applyFont="1" applyFill="1" applyBorder="1" applyAlignment="1">
      <alignment horizontal="right" vertical="center"/>
    </xf>
    <xf numFmtId="0" fontId="60" fillId="11" borderId="5" xfId="6" applyFont="1" applyFill="1" applyBorder="1" applyAlignment="1">
      <alignment horizontal="right" vertical="center" wrapText="1"/>
    </xf>
    <xf numFmtId="0" fontId="90" fillId="11" borderId="5" xfId="6" applyFont="1" applyFill="1" applyBorder="1" applyAlignment="1">
      <alignment horizontal="right" vertical="center" wrapText="1"/>
    </xf>
    <xf numFmtId="0" fontId="87" fillId="4" borderId="0" xfId="0" applyFont="1" applyFill="1" applyBorder="1" applyAlignment="1">
      <alignment horizontal="right" vertical="top" wrapText="1"/>
    </xf>
    <xf numFmtId="3" fontId="33" fillId="4" borderId="0" xfId="0" applyNumberFormat="1" applyFont="1" applyFill="1" applyAlignment="1">
      <alignment vertical="top"/>
    </xf>
    <xf numFmtId="0" fontId="33" fillId="11" borderId="15" xfId="0" applyFont="1" applyFill="1" applyBorder="1" applyAlignment="1">
      <alignment horizontal="right" vertical="top"/>
    </xf>
    <xf numFmtId="0" fontId="28" fillId="11" borderId="0" xfId="0" applyFont="1" applyFill="1" applyAlignment="1">
      <alignment horizontal="right"/>
    </xf>
    <xf numFmtId="0" fontId="28" fillId="11" borderId="15" xfId="0" applyFont="1" applyFill="1" applyBorder="1" applyAlignment="1">
      <alignment vertical="top"/>
    </xf>
    <xf numFmtId="0" fontId="27" fillId="4" borderId="11" xfId="0" applyFont="1" applyFill="1" applyBorder="1" applyAlignment="1">
      <alignment vertical="top" wrapText="1"/>
    </xf>
    <xf numFmtId="3" fontId="40" fillId="4" borderId="12" xfId="3" applyNumberFormat="1" applyFont="1" applyFill="1" applyBorder="1" applyAlignment="1">
      <alignment vertical="top" wrapText="1"/>
    </xf>
    <xf numFmtId="3" fontId="40" fillId="4" borderId="24" xfId="3" applyNumberFormat="1" applyFont="1" applyFill="1" applyBorder="1" applyAlignment="1">
      <alignment vertical="top" wrapText="1"/>
    </xf>
    <xf numFmtId="3" fontId="40" fillId="4" borderId="22" xfId="3" applyNumberFormat="1" applyFont="1" applyFill="1" applyBorder="1" applyAlignment="1">
      <alignment vertical="top" wrapText="1"/>
    </xf>
    <xf numFmtId="3" fontId="40" fillId="4" borderId="15" xfId="3" applyNumberFormat="1" applyFont="1" applyFill="1" applyBorder="1" applyAlignment="1">
      <alignment vertical="top" wrapText="1"/>
    </xf>
    <xf numFmtId="3" fontId="40" fillId="4" borderId="0" xfId="3" applyNumberFormat="1" applyFont="1" applyFill="1" applyBorder="1" applyAlignment="1">
      <alignment vertical="top" wrapText="1"/>
    </xf>
    <xf numFmtId="3" fontId="40" fillId="4" borderId="23" xfId="3" applyNumberFormat="1" applyFont="1" applyFill="1" applyBorder="1" applyAlignment="1">
      <alignment vertical="top" wrapText="1"/>
    </xf>
    <xf numFmtId="0" fontId="43" fillId="4" borderId="23" xfId="6" applyFont="1" applyFill="1" applyBorder="1" applyAlignment="1">
      <alignment horizontal="right" vertical="center" indent="1"/>
    </xf>
    <xf numFmtId="3" fontId="40" fillId="4" borderId="13" xfId="3" applyNumberFormat="1" applyFont="1" applyFill="1" applyBorder="1" applyAlignment="1">
      <alignment vertical="top" wrapText="1"/>
    </xf>
    <xf numFmtId="3" fontId="40" fillId="4" borderId="1" xfId="3" applyNumberFormat="1" applyFont="1" applyFill="1" applyBorder="1" applyAlignment="1">
      <alignment vertical="top" wrapText="1"/>
    </xf>
    <xf numFmtId="3" fontId="40" fillId="4" borderId="14" xfId="3" applyNumberFormat="1" applyFont="1" applyFill="1" applyBorder="1" applyAlignment="1">
      <alignment vertical="top" wrapText="1"/>
    </xf>
    <xf numFmtId="0" fontId="87" fillId="4" borderId="0" xfId="0" applyFont="1" applyFill="1" applyBorder="1" applyAlignment="1">
      <alignment horizontal="right" vertical="top"/>
    </xf>
    <xf numFmtId="165" fontId="54" fillId="4" borderId="12" xfId="0" applyNumberFormat="1" applyFont="1" applyFill="1" applyBorder="1" applyAlignment="1" applyProtection="1">
      <alignment horizontal="right" vertical="top"/>
      <protection locked="0"/>
    </xf>
    <xf numFmtId="165" fontId="54" fillId="4" borderId="24" xfId="0" applyNumberFormat="1" applyFont="1" applyFill="1" applyBorder="1" applyAlignment="1" applyProtection="1">
      <alignment horizontal="right" vertical="top"/>
      <protection locked="0"/>
    </xf>
    <xf numFmtId="165" fontId="33" fillId="4" borderId="22" xfId="0" applyNumberFormat="1" applyFont="1" applyFill="1" applyBorder="1" applyAlignment="1">
      <alignment vertical="top"/>
    </xf>
    <xf numFmtId="165" fontId="54" fillId="4" borderId="15" xfId="0" applyNumberFormat="1" applyFont="1" applyFill="1" applyBorder="1" applyAlignment="1" applyProtection="1">
      <alignment horizontal="right" vertical="top"/>
      <protection locked="0"/>
    </xf>
    <xf numFmtId="165" fontId="33" fillId="4" borderId="23" xfId="0" applyNumberFormat="1" applyFont="1" applyFill="1" applyBorder="1" applyAlignment="1">
      <alignment vertical="top"/>
    </xf>
    <xf numFmtId="165" fontId="54" fillId="4" borderId="13" xfId="0" applyNumberFormat="1" applyFont="1" applyFill="1" applyBorder="1" applyAlignment="1" applyProtection="1">
      <alignment horizontal="right" vertical="top"/>
      <protection locked="0"/>
    </xf>
    <xf numFmtId="165" fontId="54" fillId="4" borderId="1" xfId="0" applyNumberFormat="1" applyFont="1" applyFill="1" applyBorder="1" applyAlignment="1" applyProtection="1">
      <alignment horizontal="right" vertical="top"/>
      <protection locked="0"/>
    </xf>
    <xf numFmtId="165" fontId="33" fillId="4" borderId="14" xfId="0" applyNumberFormat="1" applyFont="1" applyFill="1" applyBorder="1" applyAlignment="1">
      <alignment vertical="top"/>
    </xf>
    <xf numFmtId="0" fontId="45" fillId="0" borderId="0" xfId="0" applyFont="1" applyFill="1" applyBorder="1" applyAlignment="1">
      <alignment horizontal="right" vertical="top"/>
    </xf>
    <xf numFmtId="0" fontId="33" fillId="14" borderId="0" xfId="0" applyFont="1" applyFill="1" applyAlignment="1">
      <alignment vertical="top"/>
    </xf>
    <xf numFmtId="0" fontId="52" fillId="14" borderId="0" xfId="0" applyFont="1" applyFill="1" applyBorder="1" applyAlignment="1">
      <alignment horizontal="right" wrapText="1"/>
    </xf>
    <xf numFmtId="0" fontId="52" fillId="14" borderId="0" xfId="0" applyFont="1" applyFill="1" applyBorder="1" applyAlignment="1">
      <alignment horizontal="right"/>
    </xf>
    <xf numFmtId="0" fontId="33" fillId="14" borderId="0" xfId="0" applyFont="1" applyFill="1" applyAlignment="1">
      <alignment horizontal="right" vertical="top"/>
    </xf>
    <xf numFmtId="0" fontId="45" fillId="14" borderId="0" xfId="0" applyFont="1" applyFill="1" applyAlignment="1">
      <alignment horizontal="right" vertical="top"/>
    </xf>
    <xf numFmtId="166" fontId="43" fillId="14" borderId="10" xfId="2" applyNumberFormat="1" applyFont="1" applyFill="1" applyBorder="1" applyAlignment="1">
      <alignment horizontal="right" vertical="top" wrapText="1"/>
    </xf>
    <xf numFmtId="166" fontId="43" fillId="14" borderId="11" xfId="2" applyNumberFormat="1" applyFont="1" applyFill="1" applyBorder="1" applyAlignment="1">
      <alignment horizontal="right" vertical="top" wrapText="1"/>
    </xf>
    <xf numFmtId="166" fontId="43" fillId="14" borderId="2" xfId="2" applyNumberFormat="1" applyFont="1" applyFill="1" applyBorder="1" applyAlignment="1">
      <alignment horizontal="right" vertical="top" wrapText="1"/>
    </xf>
    <xf numFmtId="0" fontId="43" fillId="11" borderId="0" xfId="0" applyFont="1" applyFill="1" applyBorder="1" applyAlignment="1">
      <alignment vertical="top"/>
    </xf>
    <xf numFmtId="0" fontId="26" fillId="11" borderId="0" xfId="0" applyFont="1" applyFill="1" applyBorder="1" applyAlignment="1">
      <alignment vertical="top"/>
    </xf>
    <xf numFmtId="0" fontId="74" fillId="11" borderId="0" xfId="6" applyFont="1" applyFill="1" applyBorder="1" applyAlignment="1">
      <alignment vertical="center"/>
    </xf>
    <xf numFmtId="3" fontId="21" fillId="11" borderId="0" xfId="3" applyNumberFormat="1" applyFont="1" applyFill="1" applyBorder="1" applyAlignment="1">
      <alignment vertical="center"/>
    </xf>
    <xf numFmtId="0" fontId="102" fillId="11" borderId="0" xfId="7" applyFont="1" applyFill="1" applyBorder="1" applyAlignment="1" applyProtection="1">
      <alignment vertical="top" wrapText="1"/>
    </xf>
    <xf numFmtId="3" fontId="43" fillId="4" borderId="0" xfId="0" applyNumberFormat="1" applyFont="1" applyFill="1" applyBorder="1" applyAlignment="1">
      <alignment vertical="top" wrapText="1"/>
    </xf>
    <xf numFmtId="0" fontId="21" fillId="4" borderId="0" xfId="0" applyFont="1" applyFill="1" applyAlignment="1">
      <alignment horizontal="left" vertical="top"/>
    </xf>
    <xf numFmtId="0" fontId="67" fillId="11" borderId="0" xfId="7" applyFont="1" applyFill="1" applyBorder="1" applyAlignment="1">
      <alignment horizontal="center" vertical="center" wrapText="1"/>
    </xf>
    <xf numFmtId="0" fontId="52" fillId="11" borderId="0" xfId="0" applyFont="1" applyFill="1" applyBorder="1" applyAlignment="1">
      <alignment horizontal="right" vertical="top" wrapText="1"/>
    </xf>
    <xf numFmtId="0" fontId="33" fillId="11" borderId="23" xfId="0" applyFont="1" applyFill="1" applyBorder="1" applyAlignment="1">
      <alignment horizontal="right" vertical="top"/>
    </xf>
    <xf numFmtId="0" fontId="43" fillId="11" borderId="23" xfId="6" applyFont="1" applyFill="1" applyBorder="1" applyAlignment="1">
      <alignment horizontal="right" vertical="center" indent="1"/>
    </xf>
    <xf numFmtId="0" fontId="30" fillId="11" borderId="23" xfId="0" applyFont="1" applyFill="1" applyBorder="1" applyAlignment="1">
      <alignment horizontal="right" vertical="top"/>
    </xf>
    <xf numFmtId="0" fontId="43" fillId="4" borderId="0" xfId="6" applyFont="1" applyFill="1" applyBorder="1" applyAlignment="1">
      <alignment horizontal="right" vertical="center" indent="1"/>
    </xf>
    <xf numFmtId="0" fontId="30" fillId="4" borderId="0" xfId="0" applyFont="1" applyFill="1" applyBorder="1" applyAlignment="1">
      <alignment horizontal="right" vertical="top"/>
    </xf>
    <xf numFmtId="3" fontId="40" fillId="11" borderId="12" xfId="3" applyNumberFormat="1" applyFont="1" applyFill="1" applyBorder="1" applyAlignment="1">
      <alignment vertical="top" wrapText="1"/>
    </xf>
    <xf numFmtId="3" fontId="40" fillId="11" borderId="24" xfId="3" applyNumberFormat="1" applyFont="1" applyFill="1" applyBorder="1" applyAlignment="1">
      <alignment vertical="top" wrapText="1"/>
    </xf>
    <xf numFmtId="3" fontId="40" fillId="11" borderId="22" xfId="3" applyNumberFormat="1" applyFont="1" applyFill="1" applyBorder="1" applyAlignment="1">
      <alignment vertical="top" wrapText="1"/>
    </xf>
    <xf numFmtId="3" fontId="40" fillId="11" borderId="15" xfId="3" applyNumberFormat="1" applyFont="1" applyFill="1" applyBorder="1" applyAlignment="1">
      <alignment vertical="top" wrapText="1"/>
    </xf>
    <xf numFmtId="3" fontId="40" fillId="11" borderId="0" xfId="3" applyNumberFormat="1" applyFont="1" applyFill="1" applyBorder="1" applyAlignment="1">
      <alignment vertical="top" wrapText="1"/>
    </xf>
    <xf numFmtId="3" fontId="40" fillId="11" borderId="23" xfId="3" applyNumberFormat="1" applyFont="1" applyFill="1" applyBorder="1" applyAlignment="1">
      <alignment vertical="top" wrapText="1"/>
    </xf>
    <xf numFmtId="3" fontId="40" fillId="11" borderId="13" xfId="3" applyNumberFormat="1" applyFont="1" applyFill="1" applyBorder="1" applyAlignment="1">
      <alignment vertical="top" wrapText="1"/>
    </xf>
    <xf numFmtId="3" fontId="40" fillId="11" borderId="1" xfId="3" applyNumberFormat="1" applyFont="1" applyFill="1" applyBorder="1" applyAlignment="1">
      <alignment vertical="top" wrapText="1"/>
    </xf>
    <xf numFmtId="3" fontId="40" fillId="11" borderId="14" xfId="3" applyNumberFormat="1" applyFont="1" applyFill="1" applyBorder="1" applyAlignment="1">
      <alignment vertical="top" wrapText="1"/>
    </xf>
    <xf numFmtId="0" fontId="27" fillId="4" borderId="0" xfId="0" applyFont="1" applyFill="1" applyAlignment="1">
      <alignment horizontal="right" vertical="top" wrapText="1"/>
    </xf>
    <xf numFmtId="0" fontId="51" fillId="4" borderId="0" xfId="0" applyFont="1" applyFill="1" applyBorder="1" applyAlignment="1">
      <alignment horizontal="left" vertical="top" wrapText="1"/>
    </xf>
    <xf numFmtId="3" fontId="33" fillId="4" borderId="30" xfId="0" applyNumberFormat="1" applyFont="1" applyFill="1" applyBorder="1" applyAlignment="1">
      <alignment vertical="top" wrapText="1"/>
    </xf>
    <xf numFmtId="0" fontId="43" fillId="4" borderId="0" xfId="4" applyFont="1" applyFill="1" applyBorder="1" applyAlignment="1">
      <alignment vertical="top"/>
    </xf>
    <xf numFmtId="0" fontId="57" fillId="4" borderId="0" xfId="4" applyFont="1" applyFill="1" applyBorder="1" applyAlignment="1">
      <alignment horizontal="right" vertical="top"/>
    </xf>
    <xf numFmtId="0" fontId="57" fillId="4" borderId="0" xfId="4" applyFont="1" applyFill="1" applyBorder="1" applyAlignment="1">
      <alignment horizontal="right" vertical="top" wrapText="1"/>
    </xf>
    <xf numFmtId="0" fontId="27" fillId="4" borderId="0" xfId="0" applyFont="1" applyFill="1" applyAlignment="1">
      <alignment vertical="top"/>
    </xf>
    <xf numFmtId="0" fontId="27" fillId="4" borderId="0" xfId="0" applyFont="1" applyFill="1" applyAlignment="1">
      <alignment horizontal="right" vertical="top"/>
    </xf>
    <xf numFmtId="2" fontId="33" fillId="4" borderId="24" xfId="0" applyNumberFormat="1" applyFont="1" applyFill="1" applyBorder="1" applyAlignment="1">
      <alignment vertical="top"/>
    </xf>
    <xf numFmtId="9" fontId="33" fillId="4" borderId="22" xfId="3" applyFont="1" applyFill="1" applyBorder="1" applyAlignment="1">
      <alignment vertical="top"/>
    </xf>
    <xf numFmtId="2" fontId="33" fillId="4" borderId="0" xfId="0" applyNumberFormat="1" applyFont="1" applyFill="1" applyBorder="1" applyAlignment="1">
      <alignment vertical="top"/>
    </xf>
    <xf numFmtId="9" fontId="33" fillId="4" borderId="23" xfId="3" applyFont="1" applyFill="1" applyBorder="1" applyAlignment="1">
      <alignment vertical="top"/>
    </xf>
    <xf numFmtId="0" fontId="51" fillId="4" borderId="2" xfId="0" applyFont="1" applyFill="1" applyBorder="1" applyAlignment="1">
      <alignment vertical="top"/>
    </xf>
    <xf numFmtId="9" fontId="51" fillId="4" borderId="11" xfId="3" applyFont="1" applyFill="1" applyBorder="1" applyAlignment="1">
      <alignment vertical="top" wrapText="1"/>
    </xf>
    <xf numFmtId="0" fontId="51" fillId="4" borderId="15" xfId="0" applyFont="1" applyFill="1" applyBorder="1" applyAlignment="1">
      <alignment vertical="top" wrapText="1"/>
    </xf>
    <xf numFmtId="0" fontId="33" fillId="4" borderId="13" xfId="0" applyFont="1" applyFill="1" applyBorder="1" applyAlignment="1">
      <alignment vertical="top" wrapText="1"/>
    </xf>
    <xf numFmtId="2" fontId="33" fillId="4" borderId="23" xfId="0" applyNumberFormat="1" applyFont="1" applyFill="1" applyBorder="1" applyAlignment="1">
      <alignment vertical="top"/>
    </xf>
    <xf numFmtId="2" fontId="33" fillId="4" borderId="1" xfId="0" applyNumberFormat="1" applyFont="1" applyFill="1" applyBorder="1" applyAlignment="1">
      <alignment vertical="top"/>
    </xf>
    <xf numFmtId="2" fontId="33" fillId="4" borderId="14" xfId="0" applyNumberFormat="1" applyFont="1" applyFill="1" applyBorder="1" applyAlignment="1">
      <alignment vertical="top"/>
    </xf>
    <xf numFmtId="0" fontId="27" fillId="11" borderId="0" xfId="0" applyFont="1" applyFill="1" applyBorder="1" applyAlignment="1">
      <alignment vertical="top"/>
    </xf>
    <xf numFmtId="0" fontId="27" fillId="11" borderId="0" xfId="0" applyFont="1" applyFill="1"/>
    <xf numFmtId="0" fontId="43" fillId="11" borderId="0" xfId="4" applyFont="1" applyFill="1" applyBorder="1" applyAlignment="1">
      <alignment horizontal="right"/>
    </xf>
    <xf numFmtId="0" fontId="27" fillId="11" borderId="13" xfId="0" applyFont="1" applyFill="1" applyBorder="1" applyAlignment="1">
      <alignment vertical="top"/>
    </xf>
    <xf numFmtId="0" fontId="52" fillId="11" borderId="12" xfId="0" applyFont="1" applyFill="1" applyBorder="1" applyAlignment="1">
      <alignment horizontal="right" vertical="top"/>
    </xf>
    <xf numFmtId="0" fontId="52" fillId="11" borderId="22" xfId="0" applyFont="1" applyFill="1" applyBorder="1" applyAlignment="1">
      <alignment vertical="top"/>
    </xf>
    <xf numFmtId="0" fontId="43" fillId="11" borderId="15" xfId="4" applyFont="1" applyFill="1" applyBorder="1" applyAlignment="1">
      <alignment horizontal="right"/>
    </xf>
    <xf numFmtId="0" fontId="51" fillId="11" borderId="23" xfId="11" applyFont="1" applyFill="1" applyBorder="1" applyAlignment="1">
      <alignment horizontal="left"/>
    </xf>
    <xf numFmtId="0" fontId="51" fillId="11" borderId="23" xfId="4" applyFont="1" applyFill="1" applyBorder="1" applyAlignment="1">
      <alignment horizontal="left" vertical="top"/>
    </xf>
    <xf numFmtId="10" fontId="43" fillId="11" borderId="0" xfId="4" applyNumberFormat="1" applyFont="1" applyFill="1" applyBorder="1" applyAlignment="1">
      <alignment horizontal="right"/>
    </xf>
    <xf numFmtId="10" fontId="43" fillId="11" borderId="15" xfId="4" applyNumberFormat="1" applyFont="1" applyFill="1" applyBorder="1" applyAlignment="1">
      <alignment horizontal="right"/>
    </xf>
    <xf numFmtId="0" fontId="43" fillId="11" borderId="15" xfId="4" applyFont="1" applyFill="1" applyBorder="1" applyAlignment="1">
      <alignment horizontal="right" vertical="top"/>
    </xf>
    <xf numFmtId="0" fontId="43" fillId="11" borderId="13" xfId="4" applyFont="1" applyFill="1" applyBorder="1" applyAlignment="1">
      <alignment horizontal="right"/>
    </xf>
    <xf numFmtId="3" fontId="54" fillId="14" borderId="30" xfId="0" applyNumberFormat="1" applyFont="1" applyFill="1" applyBorder="1" applyAlignment="1">
      <alignment horizontal="right" vertical="top" wrapText="1"/>
    </xf>
    <xf numFmtId="166" fontId="43" fillId="14" borderId="30" xfId="2" applyNumberFormat="1" applyFont="1" applyFill="1" applyBorder="1" applyAlignment="1">
      <alignment horizontal="right" vertical="top" wrapText="1"/>
    </xf>
    <xf numFmtId="0" fontId="45" fillId="14" borderId="12" xfId="0" applyFont="1" applyFill="1" applyBorder="1" applyAlignment="1">
      <alignment horizontal="right" vertical="top"/>
    </xf>
    <xf numFmtId="0" fontId="27" fillId="14" borderId="15" xfId="0" applyFont="1" applyFill="1" applyBorder="1" applyAlignment="1">
      <alignment vertical="top"/>
    </xf>
    <xf numFmtId="0" fontId="27" fillId="14" borderId="13" xfId="0" applyFont="1" applyFill="1" applyBorder="1" applyAlignment="1">
      <alignment vertical="top"/>
    </xf>
    <xf numFmtId="3" fontId="27" fillId="4" borderId="12" xfId="3" applyNumberFormat="1" applyFont="1" applyFill="1" applyBorder="1" applyAlignment="1">
      <alignment vertical="top"/>
    </xf>
    <xf numFmtId="3" fontId="27" fillId="4" borderId="15" xfId="3" applyNumberFormat="1" applyFont="1" applyFill="1" applyBorder="1" applyAlignment="1">
      <alignment vertical="top"/>
    </xf>
    <xf numFmtId="3" fontId="27" fillId="4" borderId="13" xfId="3" applyNumberFormat="1" applyFont="1" applyFill="1" applyBorder="1" applyAlignment="1">
      <alignment vertical="top"/>
    </xf>
    <xf numFmtId="0" fontId="52" fillId="4" borderId="1" xfId="0" applyFont="1" applyFill="1" applyBorder="1" applyAlignment="1">
      <alignment horizontal="right" vertical="top"/>
    </xf>
    <xf numFmtId="0" fontId="45" fillId="4" borderId="12" xfId="0" applyFont="1" applyFill="1" applyBorder="1" applyAlignment="1">
      <alignment horizontal="right" vertical="top"/>
    </xf>
    <xf numFmtId="0" fontId="45" fillId="4" borderId="13" xfId="0" applyFont="1" applyFill="1" applyBorder="1" applyAlignment="1">
      <alignment horizontal="right" vertical="top"/>
    </xf>
    <xf numFmtId="0" fontId="51" fillId="4" borderId="11" xfId="0" applyFont="1" applyFill="1" applyBorder="1" applyAlignment="1">
      <alignment horizontal="left" vertical="top" wrapText="1"/>
    </xf>
    <xf numFmtId="0" fontId="51" fillId="4" borderId="14" xfId="0" applyFont="1" applyFill="1" applyBorder="1" applyAlignment="1">
      <alignment horizontal="left" vertical="top" wrapText="1"/>
    </xf>
    <xf numFmtId="0" fontId="51" fillId="11" borderId="14" xfId="0" applyFont="1" applyFill="1" applyBorder="1" applyAlignment="1">
      <alignment horizontal="left" vertical="top" wrapText="1"/>
    </xf>
    <xf numFmtId="0" fontId="43" fillId="4" borderId="0" xfId="0" applyFont="1" applyFill="1" applyBorder="1" applyAlignment="1">
      <alignment horizontal="left" vertical="top" wrapText="1"/>
    </xf>
    <xf numFmtId="0" fontId="45" fillId="11" borderId="12" xfId="0" applyFont="1" applyFill="1" applyBorder="1" applyAlignment="1">
      <alignment horizontal="right" vertical="top"/>
    </xf>
    <xf numFmtId="0" fontId="45" fillId="11" borderId="13" xfId="0" applyFont="1" applyFill="1" applyBorder="1" applyAlignment="1">
      <alignment horizontal="right" vertical="top"/>
    </xf>
    <xf numFmtId="0" fontId="43" fillId="11" borderId="0" xfId="0" applyFont="1" applyFill="1" applyBorder="1" applyAlignment="1">
      <alignment horizontal="left" vertical="top" wrapText="1"/>
    </xf>
    <xf numFmtId="0" fontId="56" fillId="4" borderId="12" xfId="0" applyFont="1" applyFill="1" applyBorder="1" applyAlignment="1">
      <alignment horizontal="right" vertical="top"/>
    </xf>
    <xf numFmtId="0" fontId="45" fillId="11" borderId="12" xfId="0" applyFont="1" applyFill="1" applyBorder="1" applyAlignment="1">
      <alignment vertical="top"/>
    </xf>
    <xf numFmtId="0" fontId="45" fillId="11" borderId="15" xfId="0" applyFont="1" applyFill="1" applyBorder="1" applyAlignment="1">
      <alignment vertical="top"/>
    </xf>
    <xf numFmtId="0" fontId="52" fillId="11" borderId="1" xfId="0" applyFont="1" applyFill="1" applyBorder="1" applyAlignment="1">
      <alignment horizontal="right"/>
    </xf>
    <xf numFmtId="0" fontId="87" fillId="11" borderId="0" xfId="0" applyFont="1" applyFill="1" applyBorder="1" applyAlignment="1">
      <alignment horizontal="right" vertical="top"/>
    </xf>
    <xf numFmtId="0" fontId="87" fillId="11" borderId="0" xfId="0" applyFont="1" applyFill="1" applyBorder="1" applyAlignment="1">
      <alignment horizontal="right" vertical="top" wrapText="1"/>
    </xf>
    <xf numFmtId="0" fontId="20" fillId="11" borderId="11" xfId="0" applyFont="1" applyFill="1" applyBorder="1" applyAlignment="1">
      <alignment vertical="top" wrapText="1"/>
    </xf>
    <xf numFmtId="0" fontId="20" fillId="14" borderId="0" xfId="0" applyFont="1" applyFill="1" applyAlignment="1">
      <alignment horizontal="right" vertical="top" indent="1"/>
    </xf>
    <xf numFmtId="166" fontId="54" fillId="11" borderId="24" xfId="2" applyNumberFormat="1" applyFont="1" applyFill="1" applyBorder="1" applyAlignment="1">
      <alignment vertical="top"/>
    </xf>
    <xf numFmtId="3" fontId="54" fillId="11" borderId="12" xfId="0" applyNumberFormat="1" applyFont="1" applyFill="1" applyBorder="1" applyAlignment="1">
      <alignment horizontal="right" vertical="top" wrapText="1"/>
    </xf>
    <xf numFmtId="3" fontId="54" fillId="11" borderId="22" xfId="0" applyNumberFormat="1" applyFont="1" applyFill="1" applyBorder="1" applyAlignment="1">
      <alignment horizontal="right" vertical="top" wrapText="1"/>
    </xf>
    <xf numFmtId="3" fontId="54" fillId="11" borderId="13" xfId="0" applyNumberFormat="1" applyFont="1" applyFill="1" applyBorder="1" applyAlignment="1">
      <alignment horizontal="right" vertical="top" wrapText="1"/>
    </xf>
    <xf numFmtId="3" fontId="54" fillId="11" borderId="14" xfId="0" applyNumberFormat="1" applyFont="1" applyFill="1" applyBorder="1" applyAlignment="1">
      <alignment horizontal="right" vertical="top" wrapText="1"/>
    </xf>
    <xf numFmtId="0" fontId="20" fillId="4" borderId="11" xfId="0" applyFont="1" applyFill="1" applyBorder="1" applyAlignment="1">
      <alignment vertical="top" wrapText="1"/>
    </xf>
    <xf numFmtId="0" fontId="43" fillId="4" borderId="24" xfId="0" applyFont="1" applyFill="1" applyBorder="1" applyAlignment="1">
      <alignment vertical="top" wrapText="1"/>
    </xf>
    <xf numFmtId="0" fontId="43" fillId="11" borderId="22" xfId="0" applyFont="1" applyFill="1" applyBorder="1" applyAlignment="1">
      <alignment vertical="top" wrapText="1"/>
    </xf>
    <xf numFmtId="0" fontId="82" fillId="4" borderId="0" xfId="0" applyFont="1" applyFill="1" applyAlignment="1">
      <alignment horizontal="right" wrapText="1"/>
    </xf>
    <xf numFmtId="169" fontId="20" fillId="11" borderId="10" xfId="2" applyNumberFormat="1" applyFont="1" applyFill="1" applyBorder="1" applyAlignment="1">
      <alignment vertical="top"/>
    </xf>
    <xf numFmtId="169" fontId="20" fillId="11" borderId="11" xfId="2" applyNumberFormat="1" applyFont="1" applyFill="1" applyBorder="1" applyAlignment="1">
      <alignment vertical="top"/>
    </xf>
    <xf numFmtId="0" fontId="74" fillId="11" borderId="0" xfId="0" applyFont="1" applyFill="1" applyBorder="1" applyAlignment="1">
      <alignment horizontal="right" vertical="top" wrapText="1"/>
    </xf>
    <xf numFmtId="0" fontId="34" fillId="4" borderId="0" xfId="0" applyFont="1" applyFill="1" applyBorder="1" applyAlignment="1">
      <alignment horizontal="right" vertical="top" wrapText="1"/>
    </xf>
    <xf numFmtId="3" fontId="34" fillId="4" borderId="0" xfId="3" applyNumberFormat="1" applyFont="1" applyFill="1" applyBorder="1" applyAlignment="1">
      <alignment vertical="top"/>
    </xf>
    <xf numFmtId="0" fontId="52" fillId="7" borderId="0" xfId="0" applyFont="1" applyFill="1" applyAlignment="1">
      <alignment vertical="top"/>
    </xf>
    <xf numFmtId="166" fontId="52" fillId="4" borderId="0" xfId="0" applyNumberFormat="1" applyFont="1" applyFill="1" applyAlignment="1">
      <alignment vertical="top"/>
    </xf>
    <xf numFmtId="0" fontId="51" fillId="4" borderId="23" xfId="0" applyFont="1" applyFill="1" applyBorder="1" applyAlignment="1">
      <alignment horizontal="left"/>
    </xf>
    <xf numFmtId="0" fontId="51" fillId="4" borderId="0" xfId="0" applyFont="1" applyFill="1" applyAlignment="1">
      <alignment horizontal="left" vertical="top"/>
    </xf>
    <xf numFmtId="0" fontId="52" fillId="4" borderId="12" xfId="0" applyFont="1" applyFill="1" applyBorder="1" applyAlignment="1">
      <alignment horizontal="right" vertical="top"/>
    </xf>
    <xf numFmtId="0" fontId="43" fillId="4" borderId="15" xfId="6" applyFont="1" applyFill="1" applyBorder="1" applyAlignment="1">
      <alignment horizontal="right" vertical="center"/>
    </xf>
    <xf numFmtId="0" fontId="51" fillId="4" borderId="23" xfId="6" applyFont="1" applyFill="1" applyBorder="1" applyAlignment="1">
      <alignment horizontal="left" vertical="center"/>
    </xf>
    <xf numFmtId="0" fontId="20" fillId="4" borderId="15" xfId="0" applyFont="1" applyFill="1" applyBorder="1" applyAlignment="1">
      <alignment horizontal="right" vertical="top"/>
    </xf>
    <xf numFmtId="0" fontId="51" fillId="4" borderId="23" xfId="0" applyFont="1" applyFill="1" applyBorder="1" applyAlignment="1">
      <alignment horizontal="left" vertical="top"/>
    </xf>
    <xf numFmtId="0" fontId="43" fillId="4" borderId="0" xfId="6" applyFont="1" applyFill="1" applyBorder="1" applyAlignment="1">
      <alignment horizontal="right"/>
    </xf>
    <xf numFmtId="0" fontId="20" fillId="4" borderId="0" xfId="0" applyFont="1" applyFill="1" applyBorder="1" applyAlignment="1">
      <alignment horizontal="right"/>
    </xf>
    <xf numFmtId="0" fontId="57" fillId="4" borderId="0" xfId="0" applyFont="1" applyFill="1" applyBorder="1" applyAlignment="1">
      <alignment horizontal="right" wrapText="1"/>
    </xf>
    <xf numFmtId="0" fontId="43" fillId="4" borderId="24" xfId="6" applyFont="1" applyFill="1" applyBorder="1" applyAlignment="1">
      <alignment horizontal="right" vertical="center"/>
    </xf>
    <xf numFmtId="0" fontId="57" fillId="4" borderId="1" xfId="6" applyFont="1" applyFill="1" applyBorder="1" applyAlignment="1">
      <alignment horizontal="right" vertical="center"/>
    </xf>
    <xf numFmtId="9" fontId="58" fillId="4" borderId="0" xfId="0" applyNumberFormat="1" applyFont="1" applyFill="1" applyBorder="1" applyAlignment="1">
      <alignment horizontal="right" vertical="top" wrapText="1"/>
    </xf>
    <xf numFmtId="0" fontId="45" fillId="4" borderId="12" xfId="0" applyFont="1" applyFill="1" applyBorder="1" applyAlignment="1">
      <alignment horizontal="right" vertical="top"/>
    </xf>
    <xf numFmtId="0" fontId="45" fillId="4" borderId="15" xfId="0" applyFont="1" applyFill="1" applyBorder="1" applyAlignment="1">
      <alignment horizontal="right" vertical="top"/>
    </xf>
    <xf numFmtId="0" fontId="51" fillId="4" borderId="11" xfId="0" applyFont="1" applyFill="1" applyBorder="1" applyAlignment="1">
      <alignment horizontal="left" vertical="top" wrapText="1"/>
    </xf>
    <xf numFmtId="0" fontId="45" fillId="11" borderId="12" xfId="0" applyFont="1" applyFill="1" applyBorder="1" applyAlignment="1">
      <alignment horizontal="right" vertical="top"/>
    </xf>
    <xf numFmtId="0" fontId="56" fillId="4" borderId="12" xfId="0" applyFont="1" applyFill="1" applyBorder="1" applyAlignment="1">
      <alignment horizontal="right" vertical="top"/>
    </xf>
    <xf numFmtId="0" fontId="56" fillId="4" borderId="13" xfId="0" applyFont="1" applyFill="1" applyBorder="1" applyAlignment="1">
      <alignment horizontal="right" vertical="top"/>
    </xf>
    <xf numFmtId="0" fontId="45" fillId="4" borderId="12" xfId="0" applyFont="1" applyFill="1" applyBorder="1" applyAlignment="1">
      <alignment horizontal="right" vertical="top"/>
    </xf>
    <xf numFmtId="0" fontId="45" fillId="4" borderId="15" xfId="0" applyFont="1" applyFill="1" applyBorder="1" applyAlignment="1">
      <alignment horizontal="right" vertical="top"/>
    </xf>
    <xf numFmtId="0" fontId="51" fillId="4" borderId="11" xfId="0" applyFont="1" applyFill="1" applyBorder="1" applyAlignment="1">
      <alignment horizontal="left" vertical="top" wrapText="1"/>
    </xf>
    <xf numFmtId="0" fontId="51" fillId="11" borderId="11" xfId="0" applyFont="1" applyFill="1" applyBorder="1" applyAlignment="1">
      <alignment horizontal="left" vertical="top" wrapText="1"/>
    </xf>
    <xf numFmtId="0" fontId="45" fillId="11" borderId="12" xfId="0" applyFont="1" applyFill="1" applyBorder="1" applyAlignment="1">
      <alignment horizontal="right" vertical="top"/>
    </xf>
    <xf numFmtId="0" fontId="56" fillId="11" borderId="12" xfId="0" applyFont="1" applyFill="1" applyBorder="1" applyAlignment="1">
      <alignment horizontal="right" vertical="top"/>
    </xf>
    <xf numFmtId="0" fontId="19" fillId="11" borderId="11" xfId="0" applyFont="1" applyFill="1" applyBorder="1" applyAlignment="1">
      <alignment vertical="top" wrapText="1"/>
    </xf>
    <xf numFmtId="0" fontId="51" fillId="11" borderId="0" xfId="0" applyFont="1" applyFill="1" applyBorder="1" applyAlignment="1">
      <alignment horizontal="left" vertical="top" wrapText="1"/>
    </xf>
    <xf numFmtId="0" fontId="33" fillId="10" borderId="0" xfId="0" applyFont="1" applyFill="1" applyAlignment="1">
      <alignment vertical="top"/>
    </xf>
    <xf numFmtId="0" fontId="57" fillId="10" borderId="0" xfId="0" applyFont="1" applyFill="1" applyBorder="1" applyAlignment="1">
      <alignment horizontal="right" vertical="top"/>
    </xf>
    <xf numFmtId="0" fontId="43" fillId="10" borderId="0" xfId="0" applyFont="1" applyFill="1" applyBorder="1" applyAlignment="1">
      <alignment vertical="top" wrapText="1"/>
    </xf>
    <xf numFmtId="171" fontId="40" fillId="7" borderId="0" xfId="0" applyNumberFormat="1" applyFont="1" applyFill="1" applyAlignment="1">
      <alignment vertical="top"/>
    </xf>
    <xf numFmtId="0" fontId="33" fillId="11" borderId="0" xfId="0" applyFont="1" applyFill="1" applyBorder="1" applyAlignment="1">
      <alignment horizontal="right" vertical="top" indent="1"/>
    </xf>
    <xf numFmtId="0" fontId="22" fillId="11" borderId="0" xfId="0" applyFont="1" applyFill="1" applyBorder="1" applyAlignment="1">
      <alignment horizontal="right" vertical="top" indent="1"/>
    </xf>
    <xf numFmtId="0" fontId="59" fillId="4" borderId="23" xfId="0" applyFont="1" applyFill="1" applyBorder="1" applyAlignment="1">
      <alignment horizontal="left"/>
    </xf>
    <xf numFmtId="0" fontId="62" fillId="4" borderId="11" xfId="0" applyFont="1" applyFill="1" applyBorder="1" applyAlignment="1">
      <alignment vertical="top"/>
    </xf>
    <xf numFmtId="0" fontId="19" fillId="4" borderId="15" xfId="0" applyFont="1" applyFill="1" applyBorder="1" applyAlignment="1">
      <alignment horizontal="right" vertical="top"/>
    </xf>
    <xf numFmtId="0" fontId="30" fillId="4" borderId="13" xfId="0" applyFont="1" applyFill="1" applyBorder="1" applyAlignment="1">
      <alignment vertical="top"/>
    </xf>
    <xf numFmtId="0" fontId="58" fillId="4" borderId="0" xfId="0" applyFont="1" applyFill="1" applyAlignment="1">
      <alignment horizontal="right" vertical="top"/>
    </xf>
    <xf numFmtId="0" fontId="58" fillId="4" borderId="0" xfId="0" applyFont="1" applyFill="1" applyAlignment="1">
      <alignment vertical="top"/>
    </xf>
    <xf numFmtId="3" fontId="33" fillId="4" borderId="0" xfId="0" applyNumberFormat="1" applyFont="1" applyFill="1" applyBorder="1" applyAlignment="1">
      <alignment vertical="top" wrapText="1"/>
    </xf>
    <xf numFmtId="0" fontId="67" fillId="4" borderId="0" xfId="7" applyFont="1" applyFill="1" applyBorder="1" applyAlignment="1">
      <alignment horizontal="center" vertical="center" wrapText="1"/>
    </xf>
    <xf numFmtId="0" fontId="43" fillId="11" borderId="0" xfId="4" applyFont="1" applyFill="1" applyBorder="1" applyAlignment="1">
      <alignment vertical="top"/>
    </xf>
    <xf numFmtId="0" fontId="28" fillId="10" borderId="0" xfId="0" applyFont="1" applyFill="1" applyAlignment="1">
      <alignment vertical="top"/>
    </xf>
    <xf numFmtId="0" fontId="52" fillId="10" borderId="0" xfId="0" applyFont="1" applyFill="1" applyBorder="1" applyAlignment="1">
      <alignment horizontal="right"/>
    </xf>
    <xf numFmtId="0" fontId="58" fillId="10" borderId="0" xfId="0" applyFont="1" applyFill="1" applyBorder="1" applyAlignment="1">
      <alignment horizontal="right" wrapText="1"/>
    </xf>
    <xf numFmtId="0" fontId="88" fillId="11" borderId="5" xfId="6" applyFont="1" applyFill="1" applyBorder="1" applyAlignment="1">
      <alignment horizontal="right" vertical="center" wrapText="1"/>
    </xf>
    <xf numFmtId="0" fontId="45" fillId="14" borderId="15" xfId="0" applyFont="1" applyFill="1" applyBorder="1" applyAlignment="1">
      <alignment horizontal="right" vertical="top"/>
    </xf>
    <xf numFmtId="0" fontId="33" fillId="14" borderId="15" xfId="0" applyFont="1" applyFill="1" applyBorder="1" applyAlignment="1">
      <alignment vertical="top"/>
    </xf>
    <xf numFmtId="0" fontId="51" fillId="14" borderId="15" xfId="0" applyFont="1" applyFill="1" applyBorder="1" applyAlignment="1">
      <alignment vertical="top"/>
    </xf>
    <xf numFmtId="0" fontId="51" fillId="14" borderId="15" xfId="0" applyFont="1" applyFill="1" applyBorder="1" applyAlignment="1">
      <alignment vertical="top" wrapText="1"/>
    </xf>
    <xf numFmtId="0" fontId="33" fillId="14" borderId="13" xfId="0" applyFont="1" applyFill="1" applyBorder="1" applyAlignment="1">
      <alignment vertical="top"/>
    </xf>
    <xf numFmtId="0" fontId="27" fillId="11" borderId="15" xfId="0" applyFont="1" applyFill="1" applyBorder="1" applyAlignment="1">
      <alignment vertical="top"/>
    </xf>
    <xf numFmtId="2" fontId="43" fillId="4" borderId="0" xfId="0" applyNumberFormat="1" applyFont="1" applyFill="1" applyBorder="1" applyAlignment="1">
      <alignment vertical="top" wrapText="1"/>
    </xf>
    <xf numFmtId="0" fontId="18" fillId="4" borderId="0" xfId="0" applyFont="1" applyFill="1" applyBorder="1" applyAlignment="1">
      <alignment horizontal="right" vertical="top"/>
    </xf>
    <xf numFmtId="0" fontId="27" fillId="4" borderId="0" xfId="0" applyFont="1" applyFill="1" applyBorder="1" applyAlignment="1">
      <alignment horizontal="right" vertical="top" indent="1"/>
    </xf>
    <xf numFmtId="0" fontId="18" fillId="4" borderId="0" xfId="0" applyFont="1" applyFill="1" applyBorder="1" applyAlignment="1">
      <alignment horizontal="right" vertical="top" indent="1"/>
    </xf>
    <xf numFmtId="0" fontId="27" fillId="11" borderId="0" xfId="0" applyFont="1" applyFill="1" applyBorder="1" applyAlignment="1">
      <alignment horizontal="right" vertical="top" indent="1"/>
    </xf>
    <xf numFmtId="0" fontId="18" fillId="11" borderId="0" xfId="0" applyFont="1" applyFill="1" applyBorder="1" applyAlignment="1">
      <alignment horizontal="right" vertical="top" indent="1"/>
    </xf>
    <xf numFmtId="9" fontId="43" fillId="11" borderId="12" xfId="3" applyFont="1" applyFill="1" applyBorder="1" applyAlignment="1">
      <alignment vertical="top" wrapText="1"/>
    </xf>
    <xf numFmtId="9" fontId="43" fillId="11" borderId="15" xfId="3" applyFont="1" applyFill="1" applyBorder="1" applyAlignment="1">
      <alignment vertical="top" wrapText="1"/>
    </xf>
    <xf numFmtId="9" fontId="43" fillId="11" borderId="13" xfId="3" applyFont="1" applyFill="1" applyBorder="1" applyAlignment="1">
      <alignment vertical="top" wrapText="1"/>
    </xf>
    <xf numFmtId="9" fontId="104" fillId="11" borderId="0" xfId="0" applyNumberFormat="1" applyFont="1" applyFill="1" applyBorder="1" applyAlignment="1">
      <alignment vertical="top" wrapText="1"/>
    </xf>
    <xf numFmtId="0" fontId="18" fillId="11" borderId="0" xfId="0" applyFont="1" applyFill="1" applyBorder="1" applyAlignment="1">
      <alignment horizontal="right" vertical="top"/>
    </xf>
    <xf numFmtId="9" fontId="27" fillId="11" borderId="22" xfId="0" applyNumberFormat="1" applyFont="1" applyFill="1" applyBorder="1" applyAlignment="1">
      <alignment vertical="top"/>
    </xf>
    <xf numFmtId="9" fontId="27" fillId="11" borderId="23" xfId="0" applyNumberFormat="1" applyFont="1" applyFill="1" applyBorder="1" applyAlignment="1">
      <alignment vertical="top"/>
    </xf>
    <xf numFmtId="9" fontId="27" fillId="11" borderId="14" xfId="0" applyNumberFormat="1" applyFont="1" applyFill="1" applyBorder="1" applyAlignment="1">
      <alignment vertical="top"/>
    </xf>
    <xf numFmtId="3" fontId="43" fillId="4" borderId="24" xfId="0" applyNumberFormat="1" applyFont="1" applyFill="1" applyBorder="1" applyAlignment="1">
      <alignment horizontal="right" vertical="top"/>
    </xf>
    <xf numFmtId="3" fontId="43" fillId="4" borderId="22" xfId="0" applyNumberFormat="1" applyFont="1" applyFill="1" applyBorder="1" applyAlignment="1">
      <alignment horizontal="right" vertical="top"/>
    </xf>
    <xf numFmtId="3" fontId="43" fillId="4" borderId="1" xfId="0" applyNumberFormat="1" applyFont="1" applyFill="1" applyBorder="1" applyAlignment="1">
      <alignment horizontal="right" vertical="top"/>
    </xf>
    <xf numFmtId="3" fontId="43" fillId="4" borderId="14" xfId="0" applyNumberFormat="1" applyFont="1" applyFill="1" applyBorder="1" applyAlignment="1">
      <alignment horizontal="right" vertical="top"/>
    </xf>
    <xf numFmtId="9" fontId="87" fillId="11" borderId="0" xfId="0" applyNumberFormat="1" applyFont="1" applyFill="1" applyBorder="1" applyAlignment="1">
      <alignment vertical="top" wrapText="1"/>
    </xf>
    <xf numFmtId="0" fontId="56" fillId="4" borderId="12" xfId="0" applyFont="1" applyFill="1" applyBorder="1" applyAlignment="1">
      <alignment horizontal="right" vertical="top"/>
    </xf>
    <xf numFmtId="0" fontId="45" fillId="4" borderId="12" xfId="0" applyFont="1" applyFill="1" applyBorder="1" applyAlignment="1">
      <alignment horizontal="right" vertical="top"/>
    </xf>
    <xf numFmtId="0" fontId="51" fillId="11" borderId="11" xfId="0" applyFont="1" applyFill="1" applyBorder="1" applyAlignment="1">
      <alignment horizontal="left" vertical="top" wrapText="1"/>
    </xf>
    <xf numFmtId="0" fontId="45" fillId="11" borderId="12" xfId="0" applyFont="1" applyFill="1" applyBorder="1" applyAlignment="1">
      <alignment horizontal="right" vertical="top"/>
    </xf>
    <xf numFmtId="0" fontId="43" fillId="11" borderId="0" xfId="0" applyFont="1" applyFill="1" applyBorder="1" applyAlignment="1">
      <alignment horizontal="left" vertical="top" wrapText="1"/>
    </xf>
    <xf numFmtId="0" fontId="56" fillId="4" borderId="12" xfId="0" applyFont="1" applyFill="1" applyBorder="1" applyAlignment="1">
      <alignment horizontal="right" vertical="top"/>
    </xf>
    <xf numFmtId="3" fontId="43" fillId="4" borderId="12" xfId="3" applyNumberFormat="1" applyFont="1" applyFill="1" applyBorder="1" applyAlignment="1">
      <alignment vertical="center"/>
    </xf>
    <xf numFmtId="3" fontId="43" fillId="4" borderId="24" xfId="3" applyNumberFormat="1" applyFont="1" applyFill="1" applyBorder="1" applyAlignment="1">
      <alignment vertical="center"/>
    </xf>
    <xf numFmtId="3" fontId="43" fillId="4" borderId="22" xfId="3" applyNumberFormat="1" applyFont="1" applyFill="1" applyBorder="1" applyAlignment="1">
      <alignment vertical="center"/>
    </xf>
    <xf numFmtId="3" fontId="43" fillId="4" borderId="15" xfId="3" applyNumberFormat="1" applyFont="1" applyFill="1" applyBorder="1" applyAlignment="1">
      <alignment vertical="center"/>
    </xf>
    <xf numFmtId="3" fontId="43" fillId="4" borderId="0" xfId="3" applyNumberFormat="1" applyFont="1" applyFill="1" applyBorder="1" applyAlignment="1">
      <alignment vertical="center"/>
    </xf>
    <xf numFmtId="3" fontId="43" fillId="4" borderId="23" xfId="3" applyNumberFormat="1" applyFont="1" applyFill="1" applyBorder="1" applyAlignment="1">
      <alignment vertical="center"/>
    </xf>
    <xf numFmtId="0" fontId="45" fillId="4" borderId="12" xfId="0" applyFont="1" applyFill="1" applyBorder="1" applyAlignment="1">
      <alignment horizontal="right" vertical="top"/>
    </xf>
    <xf numFmtId="0" fontId="56" fillId="4" borderId="13" xfId="0" applyFont="1" applyFill="1" applyBorder="1" applyAlignment="1">
      <alignment horizontal="right" vertical="top"/>
    </xf>
    <xf numFmtId="3" fontId="54" fillId="0" borderId="17" xfId="0" applyNumberFormat="1" applyFont="1" applyFill="1" applyBorder="1" applyAlignment="1">
      <alignment horizontal="right" vertical="center"/>
    </xf>
    <xf numFmtId="0" fontId="108" fillId="6" borderId="0" xfId="0" applyFont="1" applyFill="1"/>
    <xf numFmtId="3" fontId="40" fillId="10" borderId="0" xfId="3" applyNumberFormat="1" applyFont="1" applyFill="1" applyBorder="1" applyAlignment="1">
      <alignment vertical="top" wrapText="1"/>
    </xf>
    <xf numFmtId="0" fontId="17" fillId="7" borderId="0" xfId="0" applyFont="1" applyFill="1" applyBorder="1" applyAlignment="1">
      <alignment horizontal="right" vertical="top"/>
    </xf>
    <xf numFmtId="0" fontId="17" fillId="7" borderId="0" xfId="0" applyFont="1" applyFill="1" applyAlignment="1">
      <alignment horizontal="right" vertical="top"/>
    </xf>
    <xf numFmtId="0" fontId="33" fillId="7" borderId="15" xfId="0" applyFont="1" applyFill="1" applyBorder="1" applyAlignment="1">
      <alignment vertical="top"/>
    </xf>
    <xf numFmtId="0" fontId="45" fillId="4" borderId="10" xfId="0" applyFont="1" applyFill="1" applyBorder="1" applyAlignment="1">
      <alignment horizontal="right" vertical="center"/>
    </xf>
    <xf numFmtId="0" fontId="17" fillId="11" borderId="0" xfId="0" applyFont="1" applyFill="1" applyAlignment="1">
      <alignment horizontal="right" vertical="top"/>
    </xf>
    <xf numFmtId="0" fontId="17" fillId="4" borderId="0" xfId="0" applyFont="1" applyFill="1" applyAlignment="1">
      <alignment horizontal="right" vertical="top"/>
    </xf>
    <xf numFmtId="0" fontId="28" fillId="11" borderId="24" xfId="0" applyFont="1" applyFill="1" applyBorder="1" applyAlignment="1">
      <alignment vertical="top"/>
    </xf>
    <xf numFmtId="0" fontId="51" fillId="11" borderId="24" xfId="0" applyFont="1" applyFill="1" applyBorder="1" applyAlignment="1">
      <alignment vertical="top"/>
    </xf>
    <xf numFmtId="0" fontId="45" fillId="4" borderId="12" xfId="0" applyFont="1" applyFill="1" applyBorder="1" applyAlignment="1">
      <alignment horizontal="right" vertical="top"/>
    </xf>
    <xf numFmtId="0" fontId="45" fillId="4" borderId="13" xfId="0" applyFont="1" applyFill="1" applyBorder="1" applyAlignment="1">
      <alignment horizontal="right" vertical="top"/>
    </xf>
    <xf numFmtId="0" fontId="43" fillId="4" borderId="0" xfId="0" applyFont="1" applyFill="1" applyBorder="1" applyAlignment="1">
      <alignment horizontal="left" vertical="top" wrapText="1"/>
    </xf>
    <xf numFmtId="0" fontId="45" fillId="11" borderId="12" xfId="0" applyFont="1" applyFill="1" applyBorder="1" applyAlignment="1">
      <alignment horizontal="right" vertical="top"/>
    </xf>
    <xf numFmtId="0" fontId="56" fillId="11" borderId="12" xfId="0" applyFont="1" applyFill="1" applyBorder="1" applyAlignment="1">
      <alignment horizontal="right" vertical="top"/>
    </xf>
    <xf numFmtId="0" fontId="43" fillId="4" borderId="8" xfId="5" applyFont="1" applyFill="1" applyBorder="1" applyAlignment="1">
      <alignment horizontal="center" vertical="center" wrapText="1"/>
    </xf>
    <xf numFmtId="0" fontId="16" fillId="11" borderId="0" xfId="0" applyFont="1" applyFill="1" applyAlignment="1">
      <alignment horizontal="right"/>
    </xf>
    <xf numFmtId="0" fontId="45" fillId="11" borderId="12" xfId="0" applyFont="1" applyFill="1" applyBorder="1" applyAlignment="1">
      <alignment horizontal="right" vertical="top"/>
    </xf>
    <xf numFmtId="0" fontId="45" fillId="11" borderId="13" xfId="0" applyFont="1" applyFill="1" applyBorder="1" applyAlignment="1">
      <alignment horizontal="right" vertical="top"/>
    </xf>
    <xf numFmtId="0" fontId="56" fillId="11" borderId="12" xfId="0" applyFont="1" applyFill="1" applyBorder="1" applyAlignment="1">
      <alignment horizontal="right" vertical="top"/>
    </xf>
    <xf numFmtId="0" fontId="56" fillId="11" borderId="13" xfId="0" applyFont="1" applyFill="1" applyBorder="1" applyAlignment="1">
      <alignment horizontal="right" vertical="top"/>
    </xf>
    <xf numFmtId="0" fontId="15" fillId="11" borderId="0" xfId="0" applyFont="1" applyFill="1" applyAlignment="1">
      <alignment horizontal="right"/>
    </xf>
    <xf numFmtId="0" fontId="15" fillId="11" borderId="0" xfId="0" applyFont="1" applyFill="1" applyBorder="1" applyAlignment="1">
      <alignment horizontal="right"/>
    </xf>
    <xf numFmtId="3" fontId="43" fillId="11" borderId="22" xfId="0" applyNumberFormat="1" applyFont="1" applyFill="1" applyBorder="1" applyAlignment="1">
      <alignment wrapText="1"/>
    </xf>
    <xf numFmtId="3" fontId="43" fillId="11" borderId="23" xfId="0" applyNumberFormat="1" applyFont="1" applyFill="1" applyBorder="1" applyAlignment="1">
      <alignment wrapText="1"/>
    </xf>
    <xf numFmtId="0" fontId="20" fillId="4" borderId="0" xfId="6" applyFont="1" applyFill="1" applyBorder="1" applyAlignment="1">
      <alignment horizontal="right"/>
    </xf>
    <xf numFmtId="0" fontId="30" fillId="4" borderId="0" xfId="0" applyFont="1" applyFill="1" applyAlignment="1">
      <alignment horizontal="right"/>
    </xf>
    <xf numFmtId="0" fontId="43" fillId="11" borderId="24" xfId="0" applyFont="1" applyFill="1" applyBorder="1" applyAlignment="1">
      <alignment vertical="top" wrapText="1"/>
    </xf>
    <xf numFmtId="0" fontId="15" fillId="4" borderId="0" xfId="0" applyFont="1" applyFill="1" applyAlignment="1">
      <alignment horizontal="right" vertical="top" wrapText="1"/>
    </xf>
    <xf numFmtId="3" fontId="20" fillId="4" borderId="26" xfId="0" applyNumberFormat="1" applyFont="1" applyFill="1" applyBorder="1" applyAlignment="1">
      <alignment horizontal="right" vertical="top"/>
    </xf>
    <xf numFmtId="3" fontId="20" fillId="4" borderId="27" xfId="0" applyNumberFormat="1" applyFont="1" applyFill="1" applyBorder="1" applyAlignment="1">
      <alignment horizontal="right" vertical="top"/>
    </xf>
    <xf numFmtId="3" fontId="20" fillId="4" borderId="25" xfId="0" applyNumberFormat="1" applyFont="1" applyFill="1" applyBorder="1" applyAlignment="1">
      <alignment horizontal="right" vertical="top"/>
    </xf>
    <xf numFmtId="0" fontId="57" fillId="11" borderId="0" xfId="0" applyFont="1" applyFill="1" applyBorder="1" applyAlignment="1">
      <alignment horizontal="right" wrapText="1"/>
    </xf>
    <xf numFmtId="0" fontId="43" fillId="11" borderId="0" xfId="6" applyFont="1" applyFill="1" applyBorder="1" applyAlignment="1">
      <alignment horizontal="right"/>
    </xf>
    <xf numFmtId="0" fontId="20" fillId="11" borderId="0" xfId="6" applyFont="1" applyFill="1" applyBorder="1" applyAlignment="1">
      <alignment horizontal="right"/>
    </xf>
    <xf numFmtId="0" fontId="30" fillId="11" borderId="0" xfId="0" applyFont="1" applyFill="1" applyAlignment="1">
      <alignment horizontal="right"/>
    </xf>
    <xf numFmtId="0" fontId="57" fillId="4" borderId="4" xfId="0" applyFont="1" applyFill="1" applyBorder="1" applyAlignment="1">
      <alignment horizontal="right"/>
    </xf>
    <xf numFmtId="0" fontId="43" fillId="0" borderId="8" xfId="6" applyFont="1" applyFill="1" applyBorder="1" applyAlignment="1">
      <alignment vertical="center" wrapText="1"/>
    </xf>
    <xf numFmtId="3" fontId="43" fillId="10" borderId="6" xfId="6" applyNumberFormat="1" applyFont="1" applyFill="1" applyBorder="1" applyAlignment="1">
      <alignment vertical="center" wrapText="1"/>
    </xf>
    <xf numFmtId="3" fontId="43" fillId="10" borderId="0" xfId="6" applyNumberFormat="1" applyFont="1" applyFill="1" applyBorder="1" applyAlignment="1">
      <alignment vertical="center" wrapText="1"/>
    </xf>
    <xf numFmtId="3" fontId="43" fillId="10" borderId="5" xfId="6" applyNumberFormat="1" applyFont="1" applyFill="1" applyBorder="1" applyAlignment="1">
      <alignment vertical="center" wrapText="1"/>
    </xf>
    <xf numFmtId="3" fontId="43" fillId="11" borderId="6" xfId="6" applyNumberFormat="1" applyFont="1" applyFill="1" applyBorder="1" applyAlignment="1">
      <alignment vertical="center" wrapText="1"/>
    </xf>
    <xf numFmtId="3" fontId="43" fillId="11" borderId="0" xfId="6" applyNumberFormat="1" applyFont="1" applyFill="1" applyBorder="1" applyAlignment="1">
      <alignment vertical="center" wrapText="1"/>
    </xf>
    <xf numFmtId="3" fontId="43" fillId="11" borderId="5" xfId="6" applyNumberFormat="1" applyFont="1" applyFill="1" applyBorder="1" applyAlignment="1">
      <alignment vertical="center" wrapText="1"/>
    </xf>
    <xf numFmtId="0" fontId="43" fillId="11" borderId="0" xfId="6" applyFont="1" applyFill="1" applyBorder="1" applyAlignment="1">
      <alignment vertical="center" wrapText="1"/>
    </xf>
    <xf numFmtId="3" fontId="88" fillId="11" borderId="0" xfId="6" applyNumberFormat="1" applyFont="1" applyFill="1" applyBorder="1" applyAlignment="1">
      <alignment vertical="center" wrapText="1"/>
    </xf>
    <xf numFmtId="0" fontId="43" fillId="4" borderId="0" xfId="6" applyFont="1" applyFill="1" applyBorder="1" applyAlignment="1">
      <alignment vertical="center" wrapText="1"/>
    </xf>
    <xf numFmtId="3" fontId="88" fillId="4" borderId="0" xfId="6" applyNumberFormat="1" applyFont="1" applyFill="1" applyBorder="1" applyAlignment="1">
      <alignment vertical="center" wrapText="1"/>
    </xf>
    <xf numFmtId="3" fontId="43" fillId="4" borderId="7" xfId="6" applyNumberFormat="1" applyFont="1" applyFill="1" applyBorder="1" applyAlignment="1">
      <alignment vertical="center" wrapText="1"/>
    </xf>
    <xf numFmtId="3" fontId="43" fillId="4" borderId="4" xfId="6" applyNumberFormat="1" applyFont="1" applyFill="1" applyBorder="1" applyAlignment="1">
      <alignment vertical="center" wrapText="1"/>
    </xf>
    <xf numFmtId="0" fontId="43" fillId="4" borderId="16" xfId="6" applyFont="1" applyFill="1" applyBorder="1" applyAlignment="1">
      <alignment vertical="center" wrapText="1"/>
    </xf>
    <xf numFmtId="0" fontId="43" fillId="4" borderId="5" xfId="6" applyFont="1" applyFill="1" applyBorder="1" applyAlignment="1">
      <alignment vertical="center" wrapText="1"/>
    </xf>
    <xf numFmtId="3" fontId="88" fillId="4" borderId="6" xfId="6" applyNumberFormat="1" applyFont="1" applyFill="1" applyBorder="1" applyAlignment="1">
      <alignment vertical="center" wrapText="1"/>
    </xf>
    <xf numFmtId="3" fontId="88" fillId="4" borderId="5" xfId="6" applyNumberFormat="1" applyFont="1" applyFill="1" applyBorder="1" applyAlignment="1">
      <alignment vertical="center" wrapText="1"/>
    </xf>
    <xf numFmtId="0" fontId="43" fillId="4" borderId="18" xfId="6" applyFont="1" applyFill="1" applyBorder="1" applyAlignment="1">
      <alignment vertical="center" wrapText="1"/>
    </xf>
    <xf numFmtId="0" fontId="88" fillId="4" borderId="18" xfId="6" applyFont="1" applyFill="1" applyBorder="1" applyAlignment="1">
      <alignment vertical="center" wrapText="1"/>
    </xf>
    <xf numFmtId="3" fontId="60" fillId="0" borderId="18" xfId="6" applyNumberFormat="1" applyFont="1" applyFill="1" applyBorder="1" applyAlignment="1">
      <alignment vertical="center" wrapText="1"/>
    </xf>
    <xf numFmtId="0" fontId="43" fillId="11" borderId="5" xfId="6" applyFont="1" applyFill="1" applyBorder="1" applyAlignment="1">
      <alignment vertical="center" wrapText="1"/>
    </xf>
    <xf numFmtId="0" fontId="43" fillId="11" borderId="18" xfId="6" applyFont="1" applyFill="1" applyBorder="1" applyAlignment="1">
      <alignment vertical="center" wrapText="1"/>
    </xf>
    <xf numFmtId="3" fontId="88" fillId="11" borderId="6" xfId="6" applyNumberFormat="1" applyFont="1" applyFill="1" applyBorder="1" applyAlignment="1">
      <alignment vertical="center" wrapText="1"/>
    </xf>
    <xf numFmtId="3" fontId="88" fillId="11" borderId="5" xfId="6" applyNumberFormat="1" applyFont="1" applyFill="1" applyBorder="1" applyAlignment="1">
      <alignment vertical="center" wrapText="1"/>
    </xf>
    <xf numFmtId="0" fontId="88" fillId="11" borderId="18" xfId="6" applyFont="1" applyFill="1" applyBorder="1" applyAlignment="1">
      <alignment vertical="center" wrapText="1"/>
    </xf>
    <xf numFmtId="0" fontId="43" fillId="11" borderId="0" xfId="0" applyFont="1" applyFill="1" applyBorder="1"/>
    <xf numFmtId="0" fontId="43" fillId="11" borderId="5" xfId="0" applyFont="1" applyFill="1" applyBorder="1"/>
    <xf numFmtId="0" fontId="88" fillId="11" borderId="0" xfId="6" applyFont="1" applyFill="1" applyBorder="1" applyAlignment="1">
      <alignment vertical="center" wrapText="1"/>
    </xf>
    <xf numFmtId="0" fontId="88" fillId="11" borderId="5" xfId="6" applyFont="1" applyFill="1" applyBorder="1" applyAlignment="1">
      <alignment vertical="center" wrapText="1"/>
    </xf>
    <xf numFmtId="0" fontId="88" fillId="11" borderId="0" xfId="0" applyFont="1" applyFill="1" applyBorder="1"/>
    <xf numFmtId="0" fontId="88" fillId="11" borderId="5" xfId="0" applyFont="1" applyFill="1" applyBorder="1"/>
    <xf numFmtId="0" fontId="43" fillId="11" borderId="6" xfId="0" applyFont="1" applyFill="1" applyBorder="1" applyAlignment="1"/>
    <xf numFmtId="0" fontId="43" fillId="11" borderId="8" xfId="0" applyFont="1" applyFill="1" applyBorder="1" applyAlignment="1"/>
    <xf numFmtId="9" fontId="43" fillId="4" borderId="18" xfId="0" applyNumberFormat="1" applyFont="1" applyFill="1" applyBorder="1"/>
    <xf numFmtId="9" fontId="43" fillId="4" borderId="19" xfId="0" applyNumberFormat="1" applyFont="1" applyFill="1" applyBorder="1"/>
    <xf numFmtId="0" fontId="43" fillId="11" borderId="19" xfId="0" applyFont="1" applyFill="1" applyBorder="1" applyAlignment="1"/>
    <xf numFmtId="0" fontId="43" fillId="11" borderId="7" xfId="0" applyFont="1" applyFill="1" applyBorder="1"/>
    <xf numFmtId="0" fontId="43" fillId="11" borderId="16" xfId="0" applyFont="1" applyFill="1" applyBorder="1"/>
    <xf numFmtId="0" fontId="43" fillId="11" borderId="6" xfId="0" applyFont="1" applyFill="1" applyBorder="1" applyAlignment="1">
      <alignment horizontal="right" wrapText="1"/>
    </xf>
    <xf numFmtId="0" fontId="57" fillId="11" borderId="8" xfId="0" applyFont="1" applyFill="1" applyBorder="1" applyAlignment="1">
      <alignment horizontal="right"/>
    </xf>
    <xf numFmtId="0" fontId="57" fillId="11" borderId="3" xfId="0" applyFont="1" applyFill="1" applyBorder="1" applyAlignment="1">
      <alignment horizontal="right"/>
    </xf>
    <xf numFmtId="0" fontId="57" fillId="11" borderId="9" xfId="0" applyFont="1" applyFill="1" applyBorder="1" applyAlignment="1">
      <alignment horizontal="right"/>
    </xf>
    <xf numFmtId="0" fontId="57" fillId="11" borderId="3" xfId="0" applyFont="1" applyFill="1" applyBorder="1" applyAlignment="1">
      <alignment horizontal="right" wrapText="1"/>
    </xf>
    <xf numFmtId="0" fontId="57" fillId="11" borderId="9" xfId="0" applyFont="1" applyFill="1" applyBorder="1" applyAlignment="1">
      <alignment horizontal="right" wrapText="1"/>
    </xf>
    <xf numFmtId="0" fontId="57" fillId="11" borderId="19" xfId="0" applyFont="1" applyFill="1" applyBorder="1" applyAlignment="1">
      <alignment horizontal="right" wrapText="1"/>
    </xf>
    <xf numFmtId="3" fontId="60" fillId="0" borderId="0" xfId="0" applyNumberFormat="1" applyFont="1" applyFill="1" applyBorder="1"/>
    <xf numFmtId="0" fontId="43" fillId="4" borderId="19" xfId="6" applyFont="1" applyFill="1" applyBorder="1" applyAlignment="1">
      <alignment horizontal="right" vertical="center" wrapText="1"/>
    </xf>
    <xf numFmtId="0" fontId="15" fillId="4" borderId="0" xfId="0" applyFont="1" applyFill="1" applyBorder="1" applyAlignment="1">
      <alignment horizontal="right" vertical="top" wrapText="1"/>
    </xf>
    <xf numFmtId="0" fontId="34" fillId="4" borderId="0" xfId="0" applyFont="1" applyFill="1" applyBorder="1" applyAlignment="1">
      <alignment horizontal="right" vertical="top" wrapText="1" indent="1"/>
    </xf>
    <xf numFmtId="0" fontId="15" fillId="4" borderId="0" xfId="0" applyFont="1" applyFill="1" applyBorder="1" applyAlignment="1">
      <alignment horizontal="right" vertical="top" wrapText="1" indent="1"/>
    </xf>
    <xf numFmtId="0" fontId="58" fillId="4" borderId="0" xfId="0" applyFont="1" applyFill="1" applyBorder="1" applyAlignment="1">
      <alignment horizontal="right"/>
    </xf>
    <xf numFmtId="0" fontId="58" fillId="4" borderId="0" xfId="0" applyFont="1" applyFill="1" applyBorder="1"/>
    <xf numFmtId="0" fontId="58" fillId="4" borderId="0" xfId="0" applyFont="1" applyFill="1" applyBorder="1" applyAlignment="1">
      <alignment horizontal="left"/>
    </xf>
    <xf numFmtId="3" fontId="43" fillId="0" borderId="7" xfId="6" applyNumberFormat="1" applyFont="1" applyFill="1" applyBorder="1" applyAlignment="1">
      <alignment vertical="center" wrapText="1"/>
    </xf>
    <xf numFmtId="3" fontId="43" fillId="0" borderId="20" xfId="6" applyNumberFormat="1" applyFont="1" applyFill="1" applyBorder="1" applyAlignment="1">
      <alignment vertical="center" wrapText="1"/>
    </xf>
    <xf numFmtId="0" fontId="43" fillId="0" borderId="33" xfId="6" applyFont="1" applyFill="1" applyBorder="1" applyAlignment="1">
      <alignment vertical="center" wrapText="1"/>
    </xf>
    <xf numFmtId="0" fontId="43" fillId="0" borderId="24" xfId="6" applyFont="1" applyFill="1" applyBorder="1" applyAlignment="1">
      <alignment vertical="center" wrapText="1"/>
    </xf>
    <xf numFmtId="1" fontId="57" fillId="0" borderId="34" xfId="6" applyNumberFormat="1" applyFont="1" applyFill="1" applyBorder="1" applyAlignment="1">
      <alignment vertical="center" wrapText="1"/>
    </xf>
    <xf numFmtId="3" fontId="43" fillId="0" borderId="24" xfId="6" applyNumberFormat="1" applyFont="1" applyFill="1" applyBorder="1" applyAlignment="1">
      <alignment vertical="center" wrapText="1"/>
    </xf>
    <xf numFmtId="3" fontId="43" fillId="0" borderId="34" xfId="6" applyNumberFormat="1" applyFont="1" applyFill="1" applyBorder="1" applyAlignment="1">
      <alignment vertical="center" wrapText="1"/>
    </xf>
    <xf numFmtId="3" fontId="88" fillId="0" borderId="35" xfId="6" applyNumberFormat="1" applyFont="1" applyFill="1" applyBorder="1" applyAlignment="1">
      <alignment vertical="center" wrapText="1"/>
    </xf>
    <xf numFmtId="3" fontId="88" fillId="0" borderId="1" xfId="6" applyNumberFormat="1" applyFont="1" applyFill="1" applyBorder="1" applyAlignment="1">
      <alignment vertical="center" wrapText="1"/>
    </xf>
    <xf numFmtId="1" fontId="88" fillId="0" borderId="36" xfId="6" applyNumberFormat="1" applyFont="1" applyFill="1" applyBorder="1" applyAlignment="1">
      <alignment vertical="center" wrapText="1"/>
    </xf>
    <xf numFmtId="3" fontId="88" fillId="0" borderId="36" xfId="6" applyNumberFormat="1" applyFont="1" applyFill="1" applyBorder="1" applyAlignment="1">
      <alignment vertical="center" wrapText="1"/>
    </xf>
    <xf numFmtId="0" fontId="43" fillId="0" borderId="31" xfId="6" applyFont="1" applyFill="1" applyBorder="1" applyAlignment="1">
      <alignment vertical="center" wrapText="1"/>
    </xf>
    <xf numFmtId="0" fontId="43" fillId="0" borderId="34" xfId="6" applyFont="1" applyFill="1" applyBorder="1" applyAlignment="1">
      <alignment vertical="center" wrapText="1"/>
    </xf>
    <xf numFmtId="3" fontId="88" fillId="0" borderId="37" xfId="6" applyNumberFormat="1" applyFont="1" applyFill="1" applyBorder="1" applyAlignment="1">
      <alignment vertical="center" wrapText="1"/>
    </xf>
    <xf numFmtId="3" fontId="88" fillId="0" borderId="38" xfId="6" applyNumberFormat="1" applyFont="1" applyFill="1" applyBorder="1" applyAlignment="1">
      <alignment vertical="center" wrapText="1"/>
    </xf>
    <xf numFmtId="3" fontId="88" fillId="0" borderId="2" xfId="6" applyNumberFormat="1" applyFont="1" applyFill="1" applyBorder="1" applyAlignment="1">
      <alignment vertical="center" wrapText="1"/>
    </xf>
    <xf numFmtId="1" fontId="88" fillId="0" borderId="32" xfId="6" applyNumberFormat="1" applyFont="1" applyFill="1" applyBorder="1" applyAlignment="1">
      <alignment vertical="center" wrapText="1"/>
    </xf>
    <xf numFmtId="3" fontId="88" fillId="0" borderId="32" xfId="6" applyNumberFormat="1" applyFont="1" applyFill="1" applyBorder="1" applyAlignment="1">
      <alignment vertical="center" wrapText="1"/>
    </xf>
    <xf numFmtId="3" fontId="43" fillId="0" borderId="33" xfId="6" applyNumberFormat="1" applyFont="1" applyFill="1" applyBorder="1" applyAlignment="1">
      <alignment vertical="center" wrapText="1"/>
    </xf>
    <xf numFmtId="3" fontId="43" fillId="0" borderId="3" xfId="6" applyNumberFormat="1" applyFont="1" applyFill="1" applyBorder="1" applyAlignment="1">
      <alignment vertical="center" wrapText="1"/>
    </xf>
    <xf numFmtId="1" fontId="43" fillId="0" borderId="34" xfId="6" applyNumberFormat="1" applyFont="1" applyFill="1" applyBorder="1" applyAlignment="1">
      <alignment vertical="center" wrapText="1"/>
    </xf>
    <xf numFmtId="0" fontId="43" fillId="11" borderId="0" xfId="0" applyFont="1" applyFill="1" applyBorder="1" applyAlignment="1"/>
    <xf numFmtId="3" fontId="43" fillId="0" borderId="31" xfId="6" applyNumberFormat="1" applyFont="1" applyFill="1" applyBorder="1" applyAlignment="1">
      <alignment vertical="center" wrapText="1"/>
    </xf>
    <xf numFmtId="0" fontId="55" fillId="11" borderId="0" xfId="0" applyNumberFormat="1" applyFont="1" applyFill="1" applyAlignment="1">
      <alignment vertical="top"/>
    </xf>
    <xf numFmtId="166" fontId="33" fillId="11" borderId="0" xfId="0" applyNumberFormat="1" applyFont="1" applyFill="1" applyAlignment="1">
      <alignment vertical="top"/>
    </xf>
    <xf numFmtId="166" fontId="33" fillId="10" borderId="0" xfId="0" applyNumberFormat="1" applyFont="1" applyFill="1" applyAlignment="1">
      <alignment vertical="top"/>
    </xf>
    <xf numFmtId="166" fontId="58" fillId="10" borderId="0" xfId="0" applyNumberFormat="1" applyFont="1" applyFill="1" applyAlignment="1">
      <alignment horizontal="right" vertical="top"/>
    </xf>
    <xf numFmtId="0" fontId="87" fillId="11" borderId="0" xfId="0" applyFont="1" applyFill="1" applyBorder="1" applyAlignment="1">
      <alignment horizontal="right" wrapText="1"/>
    </xf>
    <xf numFmtId="3" fontId="87" fillId="11" borderId="0" xfId="0" applyNumberFormat="1" applyFont="1" applyFill="1" applyAlignment="1">
      <alignment horizontal="right" vertical="top"/>
    </xf>
    <xf numFmtId="3" fontId="43" fillId="0" borderId="4" xfId="6" applyNumberFormat="1" applyFont="1" applyFill="1" applyBorder="1" applyAlignment="1">
      <alignment vertical="center" wrapText="1"/>
    </xf>
    <xf numFmtId="0" fontId="14" fillId="4" borderId="0" xfId="0" applyFont="1" applyFill="1" applyAlignment="1">
      <alignment vertical="top"/>
    </xf>
    <xf numFmtId="0" fontId="45" fillId="4" borderId="39" xfId="0" applyFont="1" applyFill="1" applyBorder="1" applyAlignment="1">
      <alignment horizontal="right" vertical="top" wrapText="1"/>
    </xf>
    <xf numFmtId="3" fontId="43" fillId="11" borderId="40" xfId="2" applyNumberFormat="1" applyFont="1" applyFill="1" applyBorder="1" applyAlignment="1">
      <alignment vertical="top" wrapText="1"/>
    </xf>
    <xf numFmtId="3" fontId="43" fillId="11" borderId="41" xfId="2" applyNumberFormat="1" applyFont="1" applyFill="1" applyBorder="1" applyAlignment="1">
      <alignment vertical="top" wrapText="1"/>
    </xf>
    <xf numFmtId="3" fontId="43" fillId="11" borderId="42" xfId="2" applyNumberFormat="1" applyFont="1" applyFill="1" applyBorder="1" applyAlignment="1">
      <alignment vertical="top" wrapText="1"/>
    </xf>
    <xf numFmtId="3" fontId="43" fillId="11" borderId="43" xfId="2" applyNumberFormat="1" applyFont="1" applyFill="1" applyBorder="1" applyAlignment="1">
      <alignment vertical="top" wrapText="1"/>
    </xf>
    <xf numFmtId="3" fontId="43" fillId="11" borderId="44" xfId="2" applyNumberFormat="1" applyFont="1" applyFill="1" applyBorder="1" applyAlignment="1">
      <alignment vertical="top" wrapText="1"/>
    </xf>
    <xf numFmtId="3" fontId="43" fillId="11" borderId="45" xfId="2" applyNumberFormat="1" applyFont="1" applyFill="1" applyBorder="1" applyAlignment="1">
      <alignment vertical="top" wrapText="1"/>
    </xf>
    <xf numFmtId="3" fontId="43" fillId="11" borderId="46" xfId="2" applyNumberFormat="1" applyFont="1" applyFill="1" applyBorder="1" applyAlignment="1">
      <alignment vertical="top" wrapText="1"/>
    </xf>
    <xf numFmtId="3" fontId="43" fillId="11" borderId="47" xfId="2" applyNumberFormat="1" applyFont="1" applyFill="1" applyBorder="1" applyAlignment="1">
      <alignment vertical="top" wrapText="1"/>
    </xf>
    <xf numFmtId="0" fontId="57" fillId="11" borderId="0" xfId="6" applyFont="1" applyFill="1" applyBorder="1" applyAlignment="1">
      <alignment horizontal="right" vertical="center"/>
    </xf>
    <xf numFmtId="0" fontId="43" fillId="11" borderId="24" xfId="6" applyFont="1" applyFill="1" applyBorder="1" applyAlignment="1">
      <alignment horizontal="right" vertical="center"/>
    </xf>
    <xf numFmtId="0" fontId="57" fillId="11" borderId="1" xfId="6" applyFont="1" applyFill="1" applyBorder="1" applyAlignment="1">
      <alignment horizontal="right" vertical="center"/>
    </xf>
    <xf numFmtId="3" fontId="21" fillId="11" borderId="40" xfId="3" applyNumberFormat="1" applyFont="1" applyFill="1" applyBorder="1" applyAlignment="1">
      <alignment vertical="center"/>
    </xf>
    <xf numFmtId="3" fontId="21" fillId="11" borderId="41" xfId="3" applyNumberFormat="1" applyFont="1" applyFill="1" applyBorder="1" applyAlignment="1">
      <alignment vertical="center"/>
    </xf>
    <xf numFmtId="3" fontId="21" fillId="11" borderId="42" xfId="3" applyNumberFormat="1" applyFont="1" applyFill="1" applyBorder="1" applyAlignment="1">
      <alignment vertical="center"/>
    </xf>
    <xf numFmtId="3" fontId="21" fillId="11" borderId="43" xfId="3" applyNumberFormat="1" applyFont="1" applyFill="1" applyBorder="1" applyAlignment="1">
      <alignment vertical="center"/>
    </xf>
    <xf numFmtId="3" fontId="21" fillId="11" borderId="44" xfId="3" applyNumberFormat="1" applyFont="1" applyFill="1" applyBorder="1" applyAlignment="1">
      <alignment vertical="center"/>
    </xf>
    <xf numFmtId="3" fontId="40" fillId="10" borderId="40" xfId="3" applyNumberFormat="1" applyFont="1" applyFill="1" applyBorder="1" applyAlignment="1">
      <alignment vertical="top" wrapText="1"/>
    </xf>
    <xf numFmtId="3" fontId="40" fillId="10" borderId="41" xfId="3" applyNumberFormat="1" applyFont="1" applyFill="1" applyBorder="1" applyAlignment="1">
      <alignment vertical="top" wrapText="1"/>
    </xf>
    <xf numFmtId="3" fontId="40" fillId="10" borderId="42" xfId="3" applyNumberFormat="1" applyFont="1" applyFill="1" applyBorder="1" applyAlignment="1">
      <alignment vertical="top" wrapText="1"/>
    </xf>
    <xf numFmtId="3" fontId="40" fillId="10" borderId="43" xfId="3" applyNumberFormat="1" applyFont="1" applyFill="1" applyBorder="1" applyAlignment="1">
      <alignment vertical="top" wrapText="1"/>
    </xf>
    <xf numFmtId="3" fontId="40" fillId="10" borderId="44" xfId="3" applyNumberFormat="1" applyFont="1" applyFill="1" applyBorder="1" applyAlignment="1">
      <alignment vertical="top" wrapText="1"/>
    </xf>
    <xf numFmtId="3" fontId="40" fillId="10" borderId="45" xfId="3" applyNumberFormat="1" applyFont="1" applyFill="1" applyBorder="1" applyAlignment="1">
      <alignment vertical="top" wrapText="1"/>
    </xf>
    <xf numFmtId="3" fontId="40" fillId="10" borderId="46" xfId="3" applyNumberFormat="1" applyFont="1" applyFill="1" applyBorder="1" applyAlignment="1">
      <alignment vertical="top" wrapText="1"/>
    </xf>
    <xf numFmtId="3" fontId="40" fillId="10" borderId="47" xfId="3" applyNumberFormat="1" applyFont="1" applyFill="1" applyBorder="1" applyAlignment="1">
      <alignment vertical="top" wrapText="1"/>
    </xf>
    <xf numFmtId="169" fontId="33" fillId="4" borderId="40" xfId="0" applyNumberFormat="1" applyFont="1" applyFill="1" applyBorder="1" applyAlignment="1">
      <alignment vertical="top"/>
    </xf>
    <xf numFmtId="169" fontId="33" fillId="4" borderId="41" xfId="0" applyNumberFormat="1" applyFont="1" applyFill="1" applyBorder="1" applyAlignment="1">
      <alignment vertical="top"/>
    </xf>
    <xf numFmtId="169" fontId="33" fillId="4" borderId="42" xfId="0" applyNumberFormat="1" applyFont="1" applyFill="1" applyBorder="1" applyAlignment="1">
      <alignment vertical="top"/>
    </xf>
    <xf numFmtId="169" fontId="33" fillId="4" borderId="43" xfId="0" applyNumberFormat="1" applyFont="1" applyFill="1" applyBorder="1" applyAlignment="1">
      <alignment vertical="top"/>
    </xf>
    <xf numFmtId="169" fontId="33" fillId="4" borderId="44" xfId="0" applyNumberFormat="1" applyFont="1" applyFill="1" applyBorder="1" applyAlignment="1">
      <alignment vertical="top"/>
    </xf>
    <xf numFmtId="169" fontId="33" fillId="4" borderId="45" xfId="0" applyNumberFormat="1" applyFont="1" applyFill="1" applyBorder="1" applyAlignment="1">
      <alignment vertical="top"/>
    </xf>
    <xf numFmtId="169" fontId="33" fillId="4" borderId="46" xfId="0" applyNumberFormat="1" applyFont="1" applyFill="1" applyBorder="1" applyAlignment="1">
      <alignment vertical="top"/>
    </xf>
    <xf numFmtId="169" fontId="33" fillId="4" borderId="47" xfId="0" applyNumberFormat="1" applyFont="1" applyFill="1" applyBorder="1" applyAlignment="1">
      <alignment vertical="top"/>
    </xf>
    <xf numFmtId="3" fontId="43" fillId="11" borderId="54" xfId="4" applyNumberFormat="1" applyFont="1" applyFill="1" applyBorder="1" applyAlignment="1">
      <alignment vertical="top"/>
    </xf>
    <xf numFmtId="3" fontId="43" fillId="11" borderId="55" xfId="4" applyNumberFormat="1" applyFont="1" applyFill="1" applyBorder="1" applyAlignment="1">
      <alignment vertical="top"/>
    </xf>
    <xf numFmtId="3" fontId="43" fillId="11" borderId="56" xfId="4" applyNumberFormat="1" applyFont="1" applyFill="1" applyBorder="1" applyAlignment="1">
      <alignment vertical="top"/>
    </xf>
    <xf numFmtId="3" fontId="43" fillId="4" borderId="40" xfId="2" applyNumberFormat="1" applyFont="1" applyFill="1" applyBorder="1" applyAlignment="1">
      <alignment vertical="top" wrapText="1"/>
    </xf>
    <xf numFmtId="3" fontId="43" fillId="4" borderId="41" xfId="2" applyNumberFormat="1" applyFont="1" applyFill="1" applyBorder="1" applyAlignment="1">
      <alignment vertical="top" wrapText="1"/>
    </xf>
    <xf numFmtId="3" fontId="43" fillId="4" borderId="42" xfId="2" applyNumberFormat="1" applyFont="1" applyFill="1" applyBorder="1" applyAlignment="1">
      <alignment vertical="top" wrapText="1"/>
    </xf>
    <xf numFmtId="3" fontId="43" fillId="4" borderId="43" xfId="2" applyNumberFormat="1" applyFont="1" applyFill="1" applyBorder="1" applyAlignment="1">
      <alignment vertical="top" wrapText="1"/>
    </xf>
    <xf numFmtId="3" fontId="43" fillId="4" borderId="44" xfId="2" applyNumberFormat="1" applyFont="1" applyFill="1" applyBorder="1" applyAlignment="1">
      <alignment vertical="top" wrapText="1"/>
    </xf>
    <xf numFmtId="3" fontId="43" fillId="4" borderId="45" xfId="2" applyNumberFormat="1" applyFont="1" applyFill="1" applyBorder="1" applyAlignment="1">
      <alignment vertical="top" wrapText="1"/>
    </xf>
    <xf numFmtId="3" fontId="43" fillId="4" borderId="46" xfId="2" applyNumberFormat="1" applyFont="1" applyFill="1" applyBorder="1" applyAlignment="1">
      <alignment vertical="top" wrapText="1"/>
    </xf>
    <xf numFmtId="3" fontId="43" fillId="4" borderId="47" xfId="2" applyNumberFormat="1" applyFont="1" applyFill="1" applyBorder="1" applyAlignment="1">
      <alignment vertical="top" wrapText="1"/>
    </xf>
    <xf numFmtId="3" fontId="34" fillId="4" borderId="40" xfId="0" applyNumberFormat="1" applyFont="1" applyFill="1" applyBorder="1" applyAlignment="1">
      <alignment vertical="top"/>
    </xf>
    <xf numFmtId="3" fontId="34" fillId="4" borderId="41" xfId="3" applyNumberFormat="1" applyFont="1" applyFill="1" applyBorder="1" applyAlignment="1">
      <alignment vertical="top"/>
    </xf>
    <xf numFmtId="3" fontId="33" fillId="4" borderId="42" xfId="0" applyNumberFormat="1" applyFont="1" applyFill="1" applyBorder="1" applyAlignment="1">
      <alignment vertical="top"/>
    </xf>
    <xf numFmtId="3" fontId="34" fillId="4" borderId="43" xfId="0" applyNumberFormat="1" applyFont="1" applyFill="1" applyBorder="1" applyAlignment="1">
      <alignment vertical="top"/>
    </xf>
    <xf numFmtId="3" fontId="33" fillId="4" borderId="44" xfId="0" applyNumberFormat="1" applyFont="1" applyFill="1" applyBorder="1" applyAlignment="1">
      <alignment vertical="top"/>
    </xf>
    <xf numFmtId="3" fontId="40" fillId="4" borderId="43" xfId="0" applyNumberFormat="1" applyFont="1" applyFill="1" applyBorder="1" applyAlignment="1">
      <alignment vertical="top"/>
    </xf>
    <xf numFmtId="3" fontId="40" fillId="4" borderId="45" xfId="0" applyNumberFormat="1" applyFont="1" applyFill="1" applyBorder="1" applyAlignment="1">
      <alignment vertical="top"/>
    </xf>
    <xf numFmtId="3" fontId="34" fillId="4" borderId="46" xfId="3" applyNumberFormat="1" applyFont="1" applyFill="1" applyBorder="1" applyAlignment="1">
      <alignment vertical="top"/>
    </xf>
    <xf numFmtId="3" fontId="33" fillId="4" borderId="47" xfId="0" applyNumberFormat="1" applyFont="1" applyFill="1" applyBorder="1" applyAlignment="1">
      <alignment vertical="top"/>
    </xf>
    <xf numFmtId="3" fontId="33" fillId="11" borderId="40" xfId="0" applyNumberFormat="1" applyFont="1" applyFill="1" applyBorder="1" applyAlignment="1">
      <alignment vertical="top"/>
    </xf>
    <xf numFmtId="3" fontId="33" fillId="11" borderId="41" xfId="0" applyNumberFormat="1" applyFont="1" applyFill="1" applyBorder="1" applyAlignment="1">
      <alignment vertical="top"/>
    </xf>
    <xf numFmtId="3" fontId="33" fillId="11" borderId="42" xfId="0" applyNumberFormat="1" applyFont="1" applyFill="1" applyBorder="1" applyAlignment="1">
      <alignment vertical="top"/>
    </xf>
    <xf numFmtId="3" fontId="33" fillId="11" borderId="43" xfId="0" applyNumberFormat="1" applyFont="1" applyFill="1" applyBorder="1" applyAlignment="1">
      <alignment vertical="top"/>
    </xf>
    <xf numFmtId="3" fontId="33" fillId="11" borderId="44" xfId="0" applyNumberFormat="1" applyFont="1" applyFill="1" applyBorder="1" applyAlignment="1">
      <alignment vertical="top"/>
    </xf>
    <xf numFmtId="3" fontId="33" fillId="11" borderId="45" xfId="0" applyNumberFormat="1" applyFont="1" applyFill="1" applyBorder="1" applyAlignment="1">
      <alignment vertical="top"/>
    </xf>
    <xf numFmtId="3" fontId="33" fillId="11" borderId="46" xfId="0" applyNumberFormat="1" applyFont="1" applyFill="1" applyBorder="1" applyAlignment="1">
      <alignment vertical="top"/>
    </xf>
    <xf numFmtId="3" fontId="33" fillId="11" borderId="47" xfId="0" applyNumberFormat="1" applyFont="1" applyFill="1" applyBorder="1" applyAlignment="1">
      <alignment vertical="top"/>
    </xf>
    <xf numFmtId="0" fontId="95" fillId="4" borderId="0" xfId="0" applyFont="1" applyFill="1" applyAlignment="1">
      <alignment vertical="top"/>
    </xf>
    <xf numFmtId="0" fontId="55" fillId="4" borderId="0" xfId="0" applyFont="1" applyFill="1" applyBorder="1" applyAlignment="1">
      <alignment vertical="top"/>
    </xf>
    <xf numFmtId="9" fontId="55" fillId="4" borderId="0" xfId="3" applyFont="1" applyFill="1" applyAlignment="1">
      <alignment vertical="top"/>
    </xf>
    <xf numFmtId="0" fontId="45" fillId="4" borderId="39" xfId="0" applyFont="1" applyFill="1" applyBorder="1" applyAlignment="1">
      <alignment horizontal="center" vertical="top" wrapText="1"/>
    </xf>
    <xf numFmtId="0" fontId="45" fillId="0" borderId="0" xfId="0" applyFont="1" applyFill="1" applyBorder="1" applyAlignment="1">
      <alignment horizontal="center" vertical="top"/>
    </xf>
    <xf numFmtId="0" fontId="40" fillId="4" borderId="0" xfId="0" applyFont="1" applyFill="1" applyAlignment="1"/>
    <xf numFmtId="0" fontId="40" fillId="4" borderId="0" xfId="0" applyFont="1" applyFill="1" applyBorder="1" applyAlignment="1"/>
    <xf numFmtId="0" fontId="40" fillId="4" borderId="0" xfId="0" applyFont="1" applyFill="1" applyAlignment="1">
      <alignment wrapText="1"/>
    </xf>
    <xf numFmtId="3" fontId="98" fillId="4" borderId="0" xfId="0" applyNumberFormat="1" applyFont="1" applyFill="1" applyAlignment="1"/>
    <xf numFmtId="3" fontId="40" fillId="4" borderId="0" xfId="0" applyNumberFormat="1" applyFont="1" applyFill="1" applyAlignment="1"/>
    <xf numFmtId="0" fontId="55" fillId="4" borderId="0" xfId="0" applyFont="1" applyFill="1" applyAlignment="1"/>
    <xf numFmtId="0" fontId="105" fillId="2" borderId="0" xfId="0" applyFont="1" applyFill="1"/>
    <xf numFmtId="0" fontId="110" fillId="6" borderId="0" xfId="0" applyFont="1" applyFill="1"/>
    <xf numFmtId="9" fontId="51" fillId="4" borderId="0" xfId="0" applyNumberFormat="1" applyFont="1" applyFill="1" applyBorder="1" applyAlignment="1">
      <alignment horizontal="left" vertical="top"/>
    </xf>
    <xf numFmtId="0" fontId="51" fillId="4" borderId="0" xfId="0" applyFont="1" applyFill="1" applyBorder="1" applyAlignment="1">
      <alignment horizontal="left" vertical="top"/>
    </xf>
    <xf numFmtId="0" fontId="105" fillId="4" borderId="0" xfId="0" applyFont="1" applyFill="1"/>
    <xf numFmtId="0" fontId="52" fillId="4" borderId="0" xfId="0" applyFont="1" applyFill="1" applyAlignment="1">
      <alignment wrapText="1"/>
    </xf>
    <xf numFmtId="0" fontId="66" fillId="4" borderId="0" xfId="7" quotePrefix="1" applyFill="1" applyAlignment="1">
      <alignment vertical="top"/>
    </xf>
    <xf numFmtId="0" fontId="37" fillId="4" borderId="24" xfId="0" applyFont="1" applyFill="1" applyBorder="1"/>
    <xf numFmtId="0" fontId="51" fillId="4" borderId="24" xfId="0" applyFont="1" applyFill="1" applyBorder="1" applyAlignment="1">
      <alignment wrapText="1"/>
    </xf>
    <xf numFmtId="0" fontId="37" fillId="4" borderId="0" xfId="0" applyFont="1" applyFill="1" applyBorder="1"/>
    <xf numFmtId="0" fontId="51" fillId="4" borderId="0" xfId="0" applyFont="1" applyFill="1" applyBorder="1" applyAlignment="1">
      <alignment wrapText="1"/>
    </xf>
    <xf numFmtId="0" fontId="39" fillId="4" borderId="0" xfId="0" applyFont="1" applyFill="1" applyBorder="1"/>
    <xf numFmtId="3" fontId="43" fillId="11" borderId="24" xfId="6" applyNumberFormat="1" applyFont="1" applyFill="1" applyBorder="1" applyAlignment="1">
      <alignment vertical="center" wrapText="1"/>
    </xf>
    <xf numFmtId="3" fontId="60" fillId="11" borderId="0" xfId="6" applyNumberFormat="1" applyFont="1" applyFill="1" applyBorder="1" applyAlignment="1">
      <alignment vertical="center" wrapText="1"/>
    </xf>
    <xf numFmtId="3" fontId="88" fillId="11" borderId="1" xfId="6" applyNumberFormat="1" applyFont="1" applyFill="1" applyBorder="1" applyAlignment="1">
      <alignment vertical="center" wrapText="1"/>
    </xf>
    <xf numFmtId="3" fontId="60" fillId="11" borderId="6" xfId="6" applyNumberFormat="1" applyFont="1" applyFill="1" applyBorder="1" applyAlignment="1">
      <alignment vertical="center" wrapText="1"/>
    </xf>
    <xf numFmtId="3" fontId="88" fillId="11" borderId="35" xfId="6" applyNumberFormat="1" applyFont="1" applyFill="1" applyBorder="1" applyAlignment="1">
      <alignment vertical="center" wrapText="1"/>
    </xf>
    <xf numFmtId="0" fontId="13" fillId="4" borderId="0" xfId="0" applyFont="1" applyFill="1" applyBorder="1" applyAlignment="1">
      <alignment horizontal="right" vertical="top"/>
    </xf>
    <xf numFmtId="0" fontId="13" fillId="11" borderId="0" xfId="0" applyFont="1" applyFill="1" applyBorder="1" applyAlignment="1">
      <alignment horizontal="right" vertical="top"/>
    </xf>
    <xf numFmtId="0" fontId="39" fillId="11" borderId="0" xfId="0" applyFont="1" applyFill="1" applyBorder="1" applyAlignment="1">
      <alignment horizontal="right" vertical="top"/>
    </xf>
    <xf numFmtId="0" fontId="73" fillId="11" borderId="0" xfId="4" applyFont="1" applyFill="1" applyBorder="1" applyAlignment="1">
      <alignment horizontal="right" vertical="center" indent="2"/>
    </xf>
    <xf numFmtId="0" fontId="43" fillId="4" borderId="0" xfId="0" applyFont="1" applyFill="1" applyBorder="1" applyAlignment="1">
      <alignment horizontal="left" vertical="top" wrapText="1"/>
    </xf>
    <xf numFmtId="0" fontId="52" fillId="4" borderId="15" xfId="0" applyFont="1" applyFill="1" applyBorder="1" applyAlignment="1"/>
    <xf numFmtId="0" fontId="13" fillId="4" borderId="15" xfId="0" applyFont="1" applyFill="1" applyBorder="1" applyAlignment="1">
      <alignment horizontal="right" wrapText="1"/>
    </xf>
    <xf numFmtId="0" fontId="13" fillId="4" borderId="0" xfId="0" applyFont="1" applyFill="1" applyBorder="1" applyAlignment="1">
      <alignment horizontal="right"/>
    </xf>
    <xf numFmtId="0" fontId="12" fillId="4" borderId="0" xfId="0" applyFont="1" applyFill="1"/>
    <xf numFmtId="0" fontId="12" fillId="4" borderId="15" xfId="0" applyFont="1" applyFill="1" applyBorder="1" applyAlignment="1">
      <alignment horizontal="center" wrapText="1"/>
    </xf>
    <xf numFmtId="0" fontId="45" fillId="4" borderId="12" xfId="0" applyFont="1" applyFill="1" applyBorder="1" applyAlignment="1">
      <alignment horizontal="right" vertical="top"/>
    </xf>
    <xf numFmtId="0" fontId="43" fillId="4" borderId="0" xfId="0" applyFont="1" applyFill="1" applyBorder="1" applyAlignment="1">
      <alignment horizontal="left" vertical="top" wrapText="1"/>
    </xf>
    <xf numFmtId="0" fontId="45" fillId="11" borderId="12" xfId="0" applyFont="1" applyFill="1" applyBorder="1" applyAlignment="1">
      <alignment horizontal="right" vertical="top"/>
    </xf>
    <xf numFmtId="0" fontId="43" fillId="11" borderId="0" xfId="0" applyFont="1" applyFill="1" applyBorder="1" applyAlignment="1">
      <alignment horizontal="left" vertical="top" wrapText="1"/>
    </xf>
    <xf numFmtId="0" fontId="56" fillId="4" borderId="15" xfId="0" applyFont="1" applyFill="1" applyBorder="1" applyAlignment="1">
      <alignment horizontal="right" vertical="top"/>
    </xf>
    <xf numFmtId="9" fontId="55" fillId="4" borderId="0" xfId="0" applyNumberFormat="1" applyFont="1" applyFill="1" applyAlignment="1">
      <alignment horizontal="center"/>
    </xf>
    <xf numFmtId="9" fontId="58" fillId="4" borderId="0" xfId="0" applyNumberFormat="1" applyFont="1" applyFill="1" applyAlignment="1">
      <alignment horizontal="center"/>
    </xf>
    <xf numFmtId="0" fontId="33" fillId="4" borderId="0" xfId="0" applyFont="1" applyFill="1" applyBorder="1" applyAlignment="1">
      <alignment horizontal="right"/>
    </xf>
    <xf numFmtId="0" fontId="11" fillId="4" borderId="0" xfId="0" applyFont="1" applyFill="1" applyAlignment="1">
      <alignment horizontal="right"/>
    </xf>
    <xf numFmtId="169" fontId="54" fillId="4" borderId="30" xfId="2" applyNumberFormat="1" applyFont="1" applyFill="1" applyBorder="1" applyAlignment="1">
      <alignment vertical="top"/>
    </xf>
    <xf numFmtId="0" fontId="33" fillId="7" borderId="0" xfId="0" applyFont="1" applyFill="1" applyBorder="1" applyAlignment="1">
      <alignment horizontal="right"/>
    </xf>
    <xf numFmtId="0" fontId="11" fillId="11" borderId="0" xfId="0" applyFont="1" applyFill="1" applyAlignment="1">
      <alignment horizontal="right" vertical="top"/>
    </xf>
    <xf numFmtId="0" fontId="52" fillId="7" borderId="0" xfId="0" applyFont="1" applyFill="1" applyBorder="1" applyAlignment="1">
      <alignment horizontal="right"/>
    </xf>
    <xf numFmtId="0" fontId="82" fillId="4" borderId="26" xfId="0" applyFont="1" applyFill="1" applyBorder="1" applyAlignment="1">
      <alignment horizontal="right" vertical="top"/>
    </xf>
    <xf numFmtId="0" fontId="82" fillId="4" borderId="27" xfId="0" applyFont="1" applyFill="1" applyBorder="1" applyAlignment="1">
      <alignment horizontal="right" vertical="top"/>
    </xf>
    <xf numFmtId="0" fontId="82" fillId="4" borderId="25" xfId="0" applyFont="1" applyFill="1" applyBorder="1" applyAlignment="1">
      <alignment horizontal="right" vertical="top"/>
    </xf>
    <xf numFmtId="0" fontId="51" fillId="4" borderId="25" xfId="0" applyFont="1" applyFill="1" applyBorder="1" applyAlignment="1">
      <alignment vertical="center" wrapText="1"/>
    </xf>
    <xf numFmtId="0" fontId="51" fillId="4" borderId="26" xfId="0" applyFont="1" applyFill="1" applyBorder="1" applyAlignment="1">
      <alignment vertical="center"/>
    </xf>
    <xf numFmtId="0" fontId="51" fillId="4" borderId="27" xfId="0" applyFont="1" applyFill="1" applyBorder="1" applyAlignment="1">
      <alignment vertical="center"/>
    </xf>
    <xf numFmtId="0" fontId="51" fillId="4" borderId="27" xfId="0" applyFont="1" applyFill="1" applyBorder="1" applyAlignment="1">
      <alignment vertical="center" wrapText="1"/>
    </xf>
    <xf numFmtId="0" fontId="58" fillId="4" borderId="0" xfId="0" applyFont="1" applyFill="1" applyAlignment="1">
      <alignment horizontal="center"/>
    </xf>
    <xf numFmtId="3" fontId="43" fillId="4" borderId="12" xfId="0" applyNumberFormat="1" applyFont="1" applyFill="1" applyBorder="1" applyAlignment="1">
      <alignment horizontal="right" vertical="top"/>
    </xf>
    <xf numFmtId="3" fontId="43" fillId="4" borderId="15" xfId="0" applyNumberFormat="1" applyFont="1" applyFill="1" applyBorder="1" applyAlignment="1">
      <alignment horizontal="right" vertical="top"/>
    </xf>
    <xf numFmtId="3" fontId="43" fillId="4" borderId="13" xfId="0" applyNumberFormat="1" applyFont="1" applyFill="1" applyBorder="1" applyAlignment="1">
      <alignment horizontal="right" vertical="top"/>
    </xf>
    <xf numFmtId="17" fontId="33" fillId="4" borderId="0" xfId="0" applyNumberFormat="1" applyFont="1" applyFill="1" applyBorder="1"/>
    <xf numFmtId="0" fontId="52" fillId="7" borderId="0" xfId="0" applyFont="1" applyFill="1" applyBorder="1" applyAlignment="1">
      <alignment vertical="top" wrapText="1"/>
    </xf>
    <xf numFmtId="0" fontId="11" fillId="7" borderId="24" xfId="0" applyFont="1" applyFill="1" applyBorder="1" applyAlignment="1">
      <alignment horizontal="right" vertical="top"/>
    </xf>
    <xf numFmtId="0" fontId="45" fillId="4" borderId="12" xfId="0" applyFont="1" applyFill="1" applyBorder="1" applyAlignment="1">
      <alignment horizontal="right" vertical="top"/>
    </xf>
    <xf numFmtId="0" fontId="43" fillId="4" borderId="0" xfId="0" applyFont="1" applyFill="1" applyBorder="1" applyAlignment="1">
      <alignment horizontal="left" vertical="top" wrapText="1"/>
    </xf>
    <xf numFmtId="0" fontId="45" fillId="11" borderId="12" xfId="0" applyFont="1" applyFill="1" applyBorder="1" applyAlignment="1">
      <alignment horizontal="right" vertical="top"/>
    </xf>
    <xf numFmtId="0" fontId="56" fillId="7" borderId="12" xfId="0" applyFont="1" applyFill="1" applyBorder="1" applyAlignment="1">
      <alignment horizontal="right" vertical="top"/>
    </xf>
    <xf numFmtId="166" fontId="54" fillId="11" borderId="2" xfId="2" applyNumberFormat="1" applyFont="1" applyFill="1" applyBorder="1" applyAlignment="1">
      <alignment vertical="top"/>
    </xf>
    <xf numFmtId="166" fontId="54" fillId="11" borderId="11" xfId="2" applyNumberFormat="1" applyFont="1" applyFill="1" applyBorder="1" applyAlignment="1">
      <alignment vertical="top"/>
    </xf>
    <xf numFmtId="0" fontId="28" fillId="4" borderId="0" xfId="0" applyFont="1" applyFill="1" applyAlignment="1">
      <alignment horizontal="right"/>
    </xf>
    <xf numFmtId="166" fontId="33" fillId="4" borderId="0" xfId="0" applyNumberFormat="1" applyFont="1" applyFill="1" applyAlignment="1">
      <alignment vertical="top"/>
    </xf>
    <xf numFmtId="0" fontId="11" fillId="4" borderId="0" xfId="0" applyFont="1" applyFill="1" applyAlignment="1">
      <alignment horizontal="right" vertical="top"/>
    </xf>
    <xf numFmtId="0" fontId="58" fillId="11" borderId="0" xfId="0" applyFont="1" applyFill="1" applyBorder="1" applyAlignment="1">
      <alignment horizontal="right" wrapText="1"/>
    </xf>
    <xf numFmtId="166" fontId="58" fillId="11" borderId="0" xfId="0" applyNumberFormat="1" applyFont="1" applyFill="1" applyAlignment="1">
      <alignment horizontal="right" vertical="top"/>
    </xf>
    <xf numFmtId="0" fontId="26" fillId="11" borderId="0" xfId="0" applyFont="1" applyFill="1"/>
    <xf numFmtId="3" fontId="54" fillId="4" borderId="40" xfId="0" applyNumberFormat="1" applyFont="1" applyFill="1" applyBorder="1" applyAlignment="1">
      <alignment vertical="top" wrapText="1"/>
    </xf>
    <xf numFmtId="0" fontId="54" fillId="4" borderId="42" xfId="0" applyFont="1" applyFill="1" applyBorder="1" applyAlignment="1">
      <alignment vertical="top" wrapText="1"/>
    </xf>
    <xf numFmtId="0" fontId="54" fillId="4" borderId="45" xfId="0" applyFont="1" applyFill="1" applyBorder="1" applyAlignment="1">
      <alignment vertical="top" wrapText="1"/>
    </xf>
    <xf numFmtId="3" fontId="54" fillId="4" borderId="47" xfId="0" applyNumberFormat="1" applyFont="1" applyFill="1" applyBorder="1" applyAlignment="1">
      <alignment vertical="top" wrapText="1"/>
    </xf>
    <xf numFmtId="0" fontId="54" fillId="4" borderId="0" xfId="0" applyFont="1" applyFill="1" applyBorder="1" applyAlignment="1">
      <alignment vertical="top" wrapText="1"/>
    </xf>
    <xf numFmtId="3" fontId="54" fillId="4" borderId="0" xfId="0" applyNumberFormat="1" applyFont="1" applyFill="1" applyBorder="1" applyAlignment="1">
      <alignment vertical="top" wrapText="1"/>
    </xf>
    <xf numFmtId="9" fontId="110" fillId="4" borderId="0" xfId="0" applyNumberFormat="1" applyFont="1" applyFill="1" applyBorder="1" applyAlignment="1">
      <alignment horizontal="center" vertical="top"/>
    </xf>
    <xf numFmtId="0" fontId="10" fillId="4" borderId="0" xfId="0" applyFont="1" applyFill="1"/>
    <xf numFmtId="0" fontId="32" fillId="11" borderId="0" xfId="0" applyFont="1" applyFill="1" applyAlignment="1">
      <alignment horizontal="right" vertical="top"/>
    </xf>
    <xf numFmtId="169" fontId="54" fillId="4" borderId="10" xfId="2" applyNumberFormat="1" applyFont="1" applyFill="1" applyBorder="1" applyAlignment="1">
      <alignment vertical="top"/>
    </xf>
    <xf numFmtId="169" fontId="54" fillId="4" borderId="2" xfId="2" applyNumberFormat="1" applyFont="1" applyFill="1" applyBorder="1" applyAlignment="1">
      <alignment vertical="top"/>
    </xf>
    <xf numFmtId="169" fontId="54" fillId="4" borderId="11" xfId="2" applyNumberFormat="1" applyFont="1" applyFill="1" applyBorder="1" applyAlignment="1">
      <alignment vertical="top"/>
    </xf>
    <xf numFmtId="0" fontId="82" fillId="11" borderId="0" xfId="0" applyFont="1" applyFill="1" applyAlignment="1">
      <alignment horizontal="right" wrapText="1"/>
    </xf>
    <xf numFmtId="166" fontId="54" fillId="11" borderId="26" xfId="2" applyNumberFormat="1" applyFont="1" applyFill="1" applyBorder="1" applyAlignment="1">
      <alignment vertical="top"/>
    </xf>
    <xf numFmtId="166" fontId="54" fillId="11" borderId="27" xfId="2" applyNumberFormat="1" applyFont="1" applyFill="1" applyBorder="1" applyAlignment="1">
      <alignment vertical="top"/>
    </xf>
    <xf numFmtId="166" fontId="54" fillId="11" borderId="25" xfId="2" applyNumberFormat="1" applyFont="1" applyFill="1" applyBorder="1" applyAlignment="1">
      <alignment vertical="top"/>
    </xf>
    <xf numFmtId="9" fontId="54" fillId="4" borderId="10" xfId="3" applyFont="1" applyFill="1" applyBorder="1"/>
    <xf numFmtId="9" fontId="54" fillId="4" borderId="11" xfId="3" applyFont="1" applyFill="1" applyBorder="1"/>
    <xf numFmtId="0" fontId="27" fillId="11" borderId="0" xfId="0" applyFont="1" applyFill="1" applyAlignment="1">
      <alignment vertical="top"/>
    </xf>
    <xf numFmtId="0" fontId="27" fillId="11" borderId="0" xfId="0" applyFont="1" applyFill="1" applyAlignment="1">
      <alignment horizontal="right" vertical="top"/>
    </xf>
    <xf numFmtId="9" fontId="33" fillId="11" borderId="26" xfId="3" applyFont="1" applyFill="1" applyBorder="1" applyAlignment="1">
      <alignment vertical="top"/>
    </xf>
    <xf numFmtId="9" fontId="33" fillId="11" borderId="27" xfId="3" applyFont="1" applyFill="1" applyBorder="1" applyAlignment="1">
      <alignment vertical="top"/>
    </xf>
    <xf numFmtId="9" fontId="33" fillId="11" borderId="25" xfId="3" applyFont="1" applyFill="1" applyBorder="1" applyAlignment="1">
      <alignment vertical="top"/>
    </xf>
    <xf numFmtId="0" fontId="27" fillId="4" borderId="0" xfId="0" applyFont="1" applyFill="1"/>
    <xf numFmtId="0" fontId="43" fillId="4" borderId="0" xfId="4" applyFont="1" applyFill="1" applyBorder="1" applyAlignment="1">
      <alignment horizontal="right"/>
    </xf>
    <xf numFmtId="9" fontId="54" fillId="4" borderId="12" xfId="3" applyFont="1" applyFill="1" applyBorder="1" applyAlignment="1">
      <alignment horizontal="right" wrapText="1"/>
    </xf>
    <xf numFmtId="9" fontId="54" fillId="4" borderId="22" xfId="3" applyFont="1" applyFill="1" applyBorder="1" applyAlignment="1">
      <alignment horizontal="right" wrapText="1"/>
    </xf>
    <xf numFmtId="9" fontId="54" fillId="4" borderId="15" xfId="3" applyFont="1" applyFill="1" applyBorder="1" applyAlignment="1">
      <alignment horizontal="right" wrapText="1"/>
    </xf>
    <xf numFmtId="9" fontId="54" fillId="4" borderId="23" xfId="3" applyFont="1" applyFill="1" applyBorder="1" applyAlignment="1">
      <alignment horizontal="right" wrapText="1"/>
    </xf>
    <xf numFmtId="10" fontId="43" fillId="4" borderId="0" xfId="4" applyNumberFormat="1" applyFont="1" applyFill="1" applyBorder="1" applyAlignment="1">
      <alignment horizontal="right"/>
    </xf>
    <xf numFmtId="9" fontId="54" fillId="4" borderId="13" xfId="3" applyFont="1" applyFill="1" applyBorder="1" applyAlignment="1">
      <alignment horizontal="right" wrapText="1"/>
    </xf>
    <xf numFmtId="9" fontId="54" fillId="4" borderId="14" xfId="3" applyFont="1" applyFill="1" applyBorder="1" applyAlignment="1">
      <alignment horizontal="right" wrapText="1"/>
    </xf>
    <xf numFmtId="3" fontId="54" fillId="11" borderId="54" xfId="0" applyNumberFormat="1" applyFont="1" applyFill="1" applyBorder="1" applyAlignment="1">
      <alignment vertical="top"/>
    </xf>
    <xf numFmtId="3" fontId="54" fillId="11" borderId="55" xfId="0" applyNumberFormat="1" applyFont="1" applyFill="1" applyBorder="1" applyAlignment="1">
      <alignment vertical="top"/>
    </xf>
    <xf numFmtId="3" fontId="54" fillId="11" borderId="56" xfId="0" applyNumberFormat="1" applyFont="1" applyFill="1" applyBorder="1" applyAlignment="1">
      <alignment vertical="top"/>
    </xf>
    <xf numFmtId="3" fontId="33" fillId="11" borderId="0" xfId="0" applyNumberFormat="1" applyFont="1" applyFill="1" applyAlignment="1">
      <alignment vertical="top"/>
    </xf>
    <xf numFmtId="3" fontId="54" fillId="11" borderId="39" xfId="0" applyNumberFormat="1" applyFont="1" applyFill="1" applyBorder="1" applyAlignment="1">
      <alignment vertical="top"/>
    </xf>
    <xf numFmtId="0" fontId="87" fillId="4" borderId="0" xfId="0" applyFont="1" applyFill="1" applyBorder="1" applyAlignment="1">
      <alignment horizontal="right" wrapText="1"/>
    </xf>
    <xf numFmtId="3" fontId="54" fillId="4" borderId="57" xfId="4" applyNumberFormat="1" applyFont="1" applyFill="1" applyBorder="1" applyAlignment="1">
      <alignment vertical="top"/>
    </xf>
    <xf numFmtId="3" fontId="54" fillId="4" borderId="58" xfId="4" applyNumberFormat="1" applyFont="1" applyFill="1" applyBorder="1" applyAlignment="1">
      <alignment vertical="top"/>
    </xf>
    <xf numFmtId="3" fontId="54" fillId="4" borderId="59" xfId="4" applyNumberFormat="1" applyFont="1" applyFill="1" applyBorder="1" applyAlignment="1">
      <alignment vertical="top"/>
    </xf>
    <xf numFmtId="3" fontId="87" fillId="4" borderId="0" xfId="0" applyNumberFormat="1" applyFont="1" applyFill="1" applyAlignment="1">
      <alignment horizontal="right" vertical="top"/>
    </xf>
    <xf numFmtId="9" fontId="28" fillId="4" borderId="0" xfId="3" applyFont="1" applyFill="1" applyAlignment="1">
      <alignment vertical="top"/>
    </xf>
    <xf numFmtId="0" fontId="100" fillId="11" borderId="0" xfId="0" applyFont="1" applyFill="1" applyAlignment="1">
      <alignment wrapText="1"/>
    </xf>
    <xf numFmtId="0" fontId="52" fillId="11" borderId="1" xfId="0" applyFont="1" applyFill="1" applyBorder="1" applyAlignment="1">
      <alignment horizontal="right" vertical="top"/>
    </xf>
    <xf numFmtId="3" fontId="54" fillId="11" borderId="25" xfId="4" applyNumberFormat="1" applyFont="1" applyFill="1" applyBorder="1" applyAlignment="1">
      <alignment horizontal="right" vertical="top"/>
    </xf>
    <xf numFmtId="0" fontId="43" fillId="4" borderId="23" xfId="4" applyFont="1" applyFill="1" applyBorder="1" applyAlignment="1">
      <alignment horizontal="right" vertical="top"/>
    </xf>
    <xf numFmtId="0" fontId="33" fillId="4" borderId="24" xfId="0" applyFont="1" applyFill="1" applyBorder="1" applyAlignment="1">
      <alignment horizontal="right" vertical="top"/>
    </xf>
    <xf numFmtId="9" fontId="54" fillId="4" borderId="22" xfId="4" applyNumberFormat="1" applyFont="1" applyFill="1" applyBorder="1" applyAlignment="1">
      <alignment vertical="top"/>
    </xf>
    <xf numFmtId="9" fontId="54" fillId="4" borderId="23" xfId="4" applyNumberFormat="1" applyFont="1" applyFill="1" applyBorder="1" applyAlignment="1">
      <alignment vertical="top"/>
    </xf>
    <xf numFmtId="0" fontId="33" fillId="4" borderId="1" xfId="0" applyFont="1" applyFill="1" applyBorder="1" applyAlignment="1">
      <alignment horizontal="right" vertical="top"/>
    </xf>
    <xf numFmtId="9" fontId="54" fillId="4" borderId="14" xfId="4" applyNumberFormat="1" applyFont="1" applyFill="1" applyBorder="1" applyAlignment="1">
      <alignment vertical="top"/>
    </xf>
    <xf numFmtId="0" fontId="102" fillId="4" borderId="0" xfId="7" applyFont="1" applyFill="1" applyBorder="1" applyAlignment="1" applyProtection="1">
      <alignment vertical="top" wrapText="1"/>
    </xf>
    <xf numFmtId="0" fontId="102" fillId="4" borderId="0" xfId="7" quotePrefix="1" applyFont="1" applyFill="1" applyBorder="1" applyAlignment="1" applyProtection="1">
      <alignment vertical="top" wrapText="1"/>
    </xf>
    <xf numFmtId="9" fontId="54" fillId="11" borderId="12" xfId="3" applyFont="1" applyFill="1" applyBorder="1" applyAlignment="1">
      <alignment vertical="center"/>
    </xf>
    <xf numFmtId="9" fontId="54" fillId="11" borderId="24" xfId="3" applyFont="1" applyFill="1" applyBorder="1" applyAlignment="1">
      <alignment vertical="center"/>
    </xf>
    <xf numFmtId="9" fontId="54" fillId="11" borderId="22" xfId="3" applyFont="1" applyFill="1" applyBorder="1" applyAlignment="1">
      <alignment vertical="center"/>
    </xf>
    <xf numFmtId="9" fontId="54" fillId="11" borderId="15" xfId="3" applyFont="1" applyFill="1" applyBorder="1" applyAlignment="1">
      <alignment vertical="center"/>
    </xf>
    <xf numFmtId="9" fontId="54" fillId="11" borderId="0" xfId="3" applyFont="1" applyFill="1" applyBorder="1" applyAlignment="1">
      <alignment vertical="center"/>
    </xf>
    <xf numFmtId="9" fontId="54" fillId="11" borderId="23" xfId="3" applyFont="1" applyFill="1" applyBorder="1" applyAlignment="1">
      <alignment vertical="center"/>
    </xf>
    <xf numFmtId="9" fontId="58" fillId="11" borderId="0" xfId="0" applyNumberFormat="1" applyFont="1" applyFill="1" applyBorder="1" applyAlignment="1">
      <alignment horizontal="right" vertical="top" wrapText="1"/>
    </xf>
    <xf numFmtId="3" fontId="54" fillId="4" borderId="40" xfId="6" applyNumberFormat="1" applyFont="1" applyFill="1" applyBorder="1" applyAlignment="1">
      <alignment vertical="center"/>
    </xf>
    <xf numFmtId="3" fontId="54" fillId="4" borderId="41" xfId="6" applyNumberFormat="1" applyFont="1" applyFill="1" applyBorder="1" applyAlignment="1">
      <alignment vertical="center"/>
    </xf>
    <xf numFmtId="3" fontId="54" fillId="4" borderId="42" xfId="6" applyNumberFormat="1" applyFont="1" applyFill="1" applyBorder="1" applyAlignment="1">
      <alignment vertical="center"/>
    </xf>
    <xf numFmtId="3" fontId="54" fillId="4" borderId="43" xfId="6" applyNumberFormat="1" applyFont="1" applyFill="1" applyBorder="1" applyAlignment="1">
      <alignment vertical="center"/>
    </xf>
    <xf numFmtId="3" fontId="54" fillId="4" borderId="0" xfId="6" applyNumberFormat="1" applyFont="1" applyFill="1" applyBorder="1" applyAlignment="1">
      <alignment vertical="center"/>
    </xf>
    <xf numFmtId="3" fontId="54" fillId="4" borderId="44" xfId="6" applyNumberFormat="1" applyFont="1" applyFill="1" applyBorder="1" applyAlignment="1">
      <alignment vertical="center"/>
    </xf>
    <xf numFmtId="3" fontId="43" fillId="4" borderId="43" xfId="6" applyNumberFormat="1" applyFont="1" applyFill="1" applyBorder="1" applyAlignment="1">
      <alignment vertical="center"/>
    </xf>
    <xf numFmtId="3" fontId="43" fillId="4" borderId="0" xfId="6" applyNumberFormat="1" applyFont="1" applyFill="1" applyBorder="1" applyAlignment="1">
      <alignment vertical="center"/>
    </xf>
    <xf numFmtId="3" fontId="43" fillId="4" borderId="44" xfId="6" applyNumberFormat="1" applyFont="1" applyFill="1" applyBorder="1" applyAlignment="1">
      <alignment vertical="center"/>
    </xf>
    <xf numFmtId="0" fontId="21" fillId="11" borderId="0" xfId="0" applyFont="1" applyFill="1" applyAlignment="1">
      <alignment horizontal="left" vertical="top"/>
    </xf>
    <xf numFmtId="3" fontId="43" fillId="11" borderId="39" xfId="0" applyNumberFormat="1" applyFont="1" applyFill="1" applyBorder="1" applyAlignment="1">
      <alignment vertical="top" wrapText="1"/>
    </xf>
    <xf numFmtId="3" fontId="43" fillId="11" borderId="0" xfId="0" applyNumberFormat="1" applyFont="1" applyFill="1" applyBorder="1" applyAlignment="1">
      <alignment vertical="top" wrapText="1"/>
    </xf>
    <xf numFmtId="0" fontId="43" fillId="11" borderId="0" xfId="0" applyFont="1" applyFill="1" applyAlignment="1">
      <alignment horizontal="right" vertical="top"/>
    </xf>
    <xf numFmtId="165" fontId="54" fillId="4" borderId="22" xfId="0" applyNumberFormat="1" applyFont="1" applyFill="1" applyBorder="1" applyAlignment="1" applyProtection="1">
      <alignment horizontal="right" vertical="top"/>
      <protection locked="0"/>
    </xf>
    <xf numFmtId="165" fontId="54" fillId="4" borderId="23" xfId="0" applyNumberFormat="1" applyFont="1" applyFill="1" applyBorder="1" applyAlignment="1" applyProtection="1">
      <alignment horizontal="right" vertical="top"/>
      <protection locked="0"/>
    </xf>
    <xf numFmtId="165" fontId="54" fillId="4" borderId="14" xfId="0" applyNumberFormat="1" applyFont="1" applyFill="1" applyBorder="1" applyAlignment="1" applyProtection="1">
      <alignment horizontal="right" vertical="top"/>
      <protection locked="0"/>
    </xf>
    <xf numFmtId="3" fontId="54" fillId="11" borderId="10" xfId="0" applyNumberFormat="1" applyFont="1" applyFill="1" applyBorder="1" applyAlignment="1">
      <alignment horizontal="right" vertical="top"/>
    </xf>
    <xf numFmtId="3" fontId="54" fillId="11" borderId="2" xfId="0" applyNumberFormat="1" applyFont="1" applyFill="1" applyBorder="1" applyAlignment="1">
      <alignment horizontal="right" vertical="top"/>
    </xf>
    <xf numFmtId="3" fontId="54" fillId="11" borderId="11" xfId="0" applyNumberFormat="1" applyFont="1" applyFill="1" applyBorder="1" applyAlignment="1">
      <alignment horizontal="right" vertical="top"/>
    </xf>
    <xf numFmtId="0" fontId="15" fillId="4" borderId="0" xfId="0" applyFont="1" applyFill="1" applyBorder="1" applyAlignment="1">
      <alignment horizontal="right"/>
    </xf>
    <xf numFmtId="3" fontId="54" fillId="4" borderId="12" xfId="0" applyNumberFormat="1" applyFont="1" applyFill="1" applyBorder="1" applyAlignment="1">
      <alignment horizontal="right"/>
    </xf>
    <xf numFmtId="0" fontId="43" fillId="4" borderId="0" xfId="6" applyFont="1" applyFill="1" applyBorder="1" applyAlignment="1">
      <alignment horizontal="left"/>
    </xf>
    <xf numFmtId="0" fontId="15" fillId="4" borderId="0" xfId="0" applyFont="1" applyFill="1" applyAlignment="1">
      <alignment horizontal="right"/>
    </xf>
    <xf numFmtId="3" fontId="54" fillId="4" borderId="15" xfId="0" applyNumberFormat="1" applyFont="1" applyFill="1" applyBorder="1" applyAlignment="1">
      <alignment horizontal="right"/>
    </xf>
    <xf numFmtId="0" fontId="20" fillId="4" borderId="0" xfId="6" applyFont="1" applyFill="1" applyBorder="1" applyAlignment="1">
      <alignment horizontal="left"/>
    </xf>
    <xf numFmtId="0" fontId="30" fillId="4" borderId="0" xfId="0" applyFont="1" applyFill="1" applyAlignment="1"/>
    <xf numFmtId="3" fontId="54" fillId="4" borderId="13" xfId="0" applyNumberFormat="1" applyFont="1" applyFill="1" applyBorder="1" applyAlignment="1">
      <alignment horizontal="right"/>
    </xf>
    <xf numFmtId="3" fontId="43" fillId="4" borderId="15" xfId="0" applyNumberFormat="1" applyFont="1" applyFill="1" applyBorder="1" applyAlignment="1">
      <alignment wrapText="1"/>
    </xf>
    <xf numFmtId="0" fontId="30" fillId="4" borderId="15" xfId="0" applyFont="1" applyFill="1" applyBorder="1" applyAlignment="1"/>
    <xf numFmtId="165" fontId="33" fillId="11" borderId="26" xfId="0" applyNumberFormat="1" applyFont="1" applyFill="1" applyBorder="1" applyAlignment="1">
      <alignment vertical="top"/>
    </xf>
    <xf numFmtId="165" fontId="33" fillId="11" borderId="27" xfId="0" applyNumberFormat="1" applyFont="1" applyFill="1" applyBorder="1" applyAlignment="1">
      <alignment vertical="top"/>
    </xf>
    <xf numFmtId="165" fontId="33" fillId="11" borderId="25" xfId="0" applyNumberFormat="1" applyFont="1" applyFill="1" applyBorder="1" applyAlignment="1">
      <alignment vertical="top"/>
    </xf>
    <xf numFmtId="0" fontId="66" fillId="4" borderId="0" xfId="7" applyFill="1" applyAlignment="1">
      <alignment horizontal="left" vertical="top" indent="1"/>
    </xf>
    <xf numFmtId="0" fontId="26" fillId="4" borderId="13" xfId="0" applyFont="1" applyFill="1" applyBorder="1"/>
    <xf numFmtId="3" fontId="54" fillId="4" borderId="45" xfId="6" applyNumberFormat="1" applyFont="1" applyFill="1" applyBorder="1" applyAlignment="1">
      <alignment vertical="center"/>
    </xf>
    <xf numFmtId="3" fontId="54" fillId="4" borderId="46" xfId="6" applyNumberFormat="1" applyFont="1" applyFill="1" applyBorder="1" applyAlignment="1">
      <alignment vertical="center"/>
    </xf>
    <xf numFmtId="3" fontId="54" fillId="4" borderId="47" xfId="6" applyNumberFormat="1" applyFont="1" applyFill="1" applyBorder="1" applyAlignment="1">
      <alignment vertical="center"/>
    </xf>
    <xf numFmtId="3" fontId="54" fillId="4" borderId="50" xfId="6" applyNumberFormat="1" applyFont="1" applyFill="1" applyBorder="1" applyAlignment="1">
      <alignment vertical="center"/>
    </xf>
    <xf numFmtId="3" fontId="54" fillId="4" borderId="24" xfId="6" applyNumberFormat="1" applyFont="1" applyFill="1" applyBorder="1" applyAlignment="1">
      <alignment vertical="center"/>
    </xf>
    <xf numFmtId="3" fontId="54" fillId="4" borderId="51" xfId="6" applyNumberFormat="1" applyFont="1" applyFill="1" applyBorder="1" applyAlignment="1">
      <alignment vertical="center"/>
    </xf>
    <xf numFmtId="3" fontId="43" fillId="4" borderId="48" xfId="6" applyNumberFormat="1" applyFont="1" applyFill="1" applyBorder="1" applyAlignment="1">
      <alignment vertical="center"/>
    </xf>
    <xf numFmtId="3" fontId="43" fillId="4" borderId="1" xfId="6" applyNumberFormat="1" applyFont="1" applyFill="1" applyBorder="1" applyAlignment="1">
      <alignment vertical="center"/>
    </xf>
    <xf numFmtId="3" fontId="43" fillId="4" borderId="49" xfId="6" applyNumberFormat="1" applyFont="1" applyFill="1" applyBorder="1" applyAlignment="1">
      <alignment vertical="center"/>
    </xf>
    <xf numFmtId="3" fontId="101" fillId="4" borderId="52" xfId="6" applyNumberFormat="1" applyFont="1" applyFill="1" applyBorder="1" applyAlignment="1">
      <alignment vertical="center"/>
    </xf>
    <xf numFmtId="3" fontId="101" fillId="4" borderId="2" xfId="6" applyNumberFormat="1" applyFont="1" applyFill="1" applyBorder="1" applyAlignment="1">
      <alignment vertical="center"/>
    </xf>
    <xf numFmtId="3" fontId="101" fillId="4" borderId="53" xfId="6" applyNumberFormat="1" applyFont="1" applyFill="1" applyBorder="1" applyAlignment="1">
      <alignment vertical="center"/>
    </xf>
    <xf numFmtId="0" fontId="70" fillId="2" borderId="0" xfId="0" applyFont="1" applyFill="1"/>
    <xf numFmtId="0" fontId="9" fillId="4" borderId="0" xfId="0" applyFont="1" applyFill="1"/>
    <xf numFmtId="0" fontId="9" fillId="4" borderId="0" xfId="0" applyFont="1" applyFill="1" applyBorder="1" applyAlignment="1">
      <alignment vertical="top"/>
    </xf>
    <xf numFmtId="0" fontId="9" fillId="4" borderId="0" xfId="0" applyFont="1" applyFill="1" applyAlignment="1">
      <alignment vertical="top"/>
    </xf>
    <xf numFmtId="0" fontId="9" fillId="4" borderId="0" xfId="0" applyFont="1" applyFill="1" applyAlignment="1">
      <alignment vertical="top" wrapText="1"/>
    </xf>
    <xf numFmtId="0" fontId="9" fillId="11" borderId="0" xfId="0" applyFont="1" applyFill="1" applyAlignment="1">
      <alignment vertical="top" wrapText="1"/>
    </xf>
    <xf numFmtId="0" fontId="9" fillId="4" borderId="0" xfId="0" applyFont="1" applyFill="1" applyBorder="1" applyAlignment="1">
      <alignment vertical="top" wrapText="1"/>
    </xf>
    <xf numFmtId="0" fontId="9" fillId="11" borderId="0" xfId="0" applyFont="1" applyFill="1" applyBorder="1" applyAlignment="1">
      <alignment vertical="top" wrapText="1"/>
    </xf>
    <xf numFmtId="0" fontId="9" fillId="11" borderId="0" xfId="0" applyFont="1" applyFill="1" applyAlignment="1">
      <alignment vertical="top"/>
    </xf>
    <xf numFmtId="0" fontId="9" fillId="14" borderId="0" xfId="0" applyFont="1" applyFill="1" applyAlignment="1">
      <alignment horizontal="right" vertical="top" indent="1"/>
    </xf>
    <xf numFmtId="0" fontId="9" fillId="11" borderId="11" xfId="0" applyFont="1" applyFill="1" applyBorder="1" applyAlignment="1">
      <alignment vertical="top" wrapText="1"/>
    </xf>
    <xf numFmtId="0" fontId="9" fillId="11" borderId="0" xfId="0" applyFont="1" applyFill="1" applyAlignment="1">
      <alignment horizontal="right" vertical="top"/>
    </xf>
    <xf numFmtId="0" fontId="9" fillId="4" borderId="0" xfId="0" applyFont="1" applyFill="1" applyBorder="1" applyAlignment="1">
      <alignment horizontal="right" vertical="top"/>
    </xf>
    <xf numFmtId="3" fontId="9" fillId="4" borderId="0" xfId="0" applyNumberFormat="1" applyFont="1" applyFill="1" applyBorder="1" applyAlignment="1">
      <alignment vertical="top"/>
    </xf>
    <xf numFmtId="0" fontId="9" fillId="11" borderId="0" xfId="0" applyFont="1" applyFill="1" applyBorder="1" applyAlignment="1">
      <alignment horizontal="right" vertical="top"/>
    </xf>
    <xf numFmtId="0" fontId="9" fillId="11" borderId="13" xfId="0" applyFont="1" applyFill="1" applyBorder="1" applyAlignment="1">
      <alignment vertical="top"/>
    </xf>
    <xf numFmtId="0" fontId="9" fillId="4" borderId="0" xfId="0" applyFont="1" applyFill="1" applyAlignment="1">
      <alignment horizontal="right" vertical="top"/>
    </xf>
    <xf numFmtId="9" fontId="9" fillId="4" borderId="0" xfId="3" applyFont="1" applyFill="1" applyAlignment="1">
      <alignment vertical="top"/>
    </xf>
    <xf numFmtId="3" fontId="9" fillId="11" borderId="0" xfId="0" applyNumberFormat="1" applyFont="1" applyFill="1" applyBorder="1" applyAlignment="1">
      <alignment vertical="top"/>
    </xf>
    <xf numFmtId="0" fontId="33" fillId="11" borderId="15" xfId="0" applyFont="1" applyFill="1" applyBorder="1" applyAlignment="1">
      <alignment vertical="top" wrapText="1"/>
    </xf>
    <xf numFmtId="0" fontId="34" fillId="4" borderId="0" xfId="0" applyFont="1" applyFill="1" applyBorder="1" applyAlignment="1">
      <alignment horizontal="right" vertical="top" indent="1"/>
    </xf>
    <xf numFmtId="0" fontId="33" fillId="4" borderId="0" xfId="0" applyFont="1" applyFill="1" applyBorder="1" applyAlignment="1">
      <alignment horizontal="right" vertical="top" indent="1"/>
    </xf>
    <xf numFmtId="0" fontId="22" fillId="4" borderId="0" xfId="0" applyFont="1" applyFill="1" applyBorder="1" applyAlignment="1">
      <alignment horizontal="right" vertical="top" indent="1"/>
    </xf>
    <xf numFmtId="166" fontId="43" fillId="4" borderId="0" xfId="0" applyNumberFormat="1" applyFont="1" applyFill="1" applyBorder="1" applyAlignment="1">
      <alignment vertical="top" wrapText="1"/>
    </xf>
    <xf numFmtId="0" fontId="8" fillId="11" borderId="0" xfId="0" applyFont="1" applyFill="1" applyBorder="1" applyAlignment="1">
      <alignment horizontal="right" vertical="top"/>
    </xf>
    <xf numFmtId="9" fontId="43" fillId="4" borderId="24" xfId="3" applyFont="1" applyFill="1" applyBorder="1" applyAlignment="1">
      <alignment vertical="top" wrapText="1"/>
    </xf>
    <xf numFmtId="0" fontId="43" fillId="11" borderId="0" xfId="6" applyFont="1" applyFill="1" applyBorder="1" applyAlignment="1">
      <alignment horizontal="right" vertical="center" indent="1"/>
    </xf>
    <xf numFmtId="9" fontId="55" fillId="4" borderId="0" xfId="0" applyNumberFormat="1" applyFont="1" applyFill="1" applyAlignment="1">
      <alignment horizontal="center" vertical="top"/>
    </xf>
    <xf numFmtId="43" fontId="33" fillId="4" borderId="0" xfId="0" applyNumberFormat="1" applyFont="1" applyFill="1" applyAlignment="1">
      <alignment vertical="top"/>
    </xf>
    <xf numFmtId="3" fontId="58" fillId="4" borderId="0" xfId="0" applyNumberFormat="1" applyFont="1" applyFill="1" applyAlignment="1">
      <alignment horizontal="center" vertical="top"/>
    </xf>
    <xf numFmtId="166" fontId="33" fillId="11" borderId="0" xfId="0" applyNumberFormat="1" applyFont="1" applyFill="1" applyAlignment="1">
      <alignment vertical="top" wrapText="1"/>
    </xf>
    <xf numFmtId="0" fontId="7" fillId="4" borderId="0" xfId="0" applyFont="1" applyFill="1" applyBorder="1" applyAlignment="1">
      <alignment vertical="top"/>
    </xf>
    <xf numFmtId="0" fontId="7" fillId="4" borderId="0" xfId="0" applyFont="1" applyFill="1" applyBorder="1" applyAlignment="1">
      <alignment horizontal="right" vertical="top"/>
    </xf>
    <xf numFmtId="9" fontId="51" fillId="4" borderId="0" xfId="0" applyNumberFormat="1" applyFont="1" applyFill="1" applyBorder="1" applyAlignment="1">
      <alignment vertical="top" wrapText="1"/>
    </xf>
    <xf numFmtId="3" fontId="40" fillId="4" borderId="0" xfId="0" applyNumberFormat="1" applyFont="1" applyFill="1" applyBorder="1" applyAlignment="1">
      <alignment vertical="top" wrapText="1"/>
    </xf>
    <xf numFmtId="3" fontId="52" fillId="4" borderId="0" xfId="0" applyNumberFormat="1" applyFont="1" applyFill="1" applyBorder="1" applyAlignment="1">
      <alignment vertical="top"/>
    </xf>
    <xf numFmtId="0" fontId="45" fillId="4" borderId="12" xfId="0" applyFont="1" applyFill="1" applyBorder="1" applyAlignment="1">
      <alignment horizontal="right" vertical="top"/>
    </xf>
    <xf numFmtId="0" fontId="45" fillId="4" borderId="13" xfId="0" applyFont="1" applyFill="1" applyBorder="1" applyAlignment="1">
      <alignment horizontal="right" vertical="top"/>
    </xf>
    <xf numFmtId="0" fontId="45" fillId="11" borderId="12" xfId="0" applyFont="1" applyFill="1" applyBorder="1" applyAlignment="1">
      <alignment horizontal="right" vertical="top"/>
    </xf>
    <xf numFmtId="0" fontId="45" fillId="11" borderId="13" xfId="0" applyFont="1" applyFill="1" applyBorder="1" applyAlignment="1">
      <alignment horizontal="right" vertical="top"/>
    </xf>
    <xf numFmtId="0" fontId="6" fillId="11" borderId="0" xfId="0" applyFont="1" applyFill="1" applyBorder="1" applyAlignment="1">
      <alignment horizontal="right" vertical="top" indent="1"/>
    </xf>
    <xf numFmtId="0" fontId="6" fillId="4" borderId="0" xfId="0" applyFont="1" applyFill="1" applyAlignment="1">
      <alignment horizontal="right"/>
    </xf>
    <xf numFmtId="0" fontId="6" fillId="4" borderId="0" xfId="0" applyFont="1" applyFill="1"/>
    <xf numFmtId="0" fontId="6" fillId="4" borderId="0" xfId="0" applyFont="1" applyFill="1" applyBorder="1" applyAlignment="1">
      <alignment horizontal="left" vertical="top" wrapText="1" indent="1"/>
    </xf>
    <xf numFmtId="9" fontId="0" fillId="0" borderId="0" xfId="3" applyFont="1" applyFill="1" applyBorder="1"/>
    <xf numFmtId="9" fontId="0" fillId="0" borderId="5" xfId="3" applyFont="1" applyFill="1" applyBorder="1"/>
    <xf numFmtId="9" fontId="0" fillId="0" borderId="3" xfId="3" applyFont="1" applyFill="1" applyBorder="1"/>
    <xf numFmtId="9" fontId="0" fillId="0" borderId="9" xfId="3" applyFont="1" applyFill="1" applyBorder="1"/>
    <xf numFmtId="3" fontId="33" fillId="4" borderId="25" xfId="0" applyNumberFormat="1" applyFont="1" applyFill="1" applyBorder="1" applyAlignment="1">
      <alignment horizontal="center"/>
    </xf>
    <xf numFmtId="0" fontId="6" fillId="4" borderId="0" xfId="0" applyFont="1" applyFill="1" applyBorder="1" applyAlignment="1">
      <alignment horizontal="right" vertical="top" indent="2"/>
    </xf>
    <xf numFmtId="3" fontId="88" fillId="0" borderId="33" xfId="6" applyNumberFormat="1" applyFont="1" applyFill="1" applyBorder="1" applyAlignment="1">
      <alignment vertical="center" wrapText="1"/>
    </xf>
    <xf numFmtId="3" fontId="88" fillId="0" borderId="24" xfId="6" applyNumberFormat="1" applyFont="1" applyFill="1" applyBorder="1" applyAlignment="1">
      <alignment vertical="center" wrapText="1"/>
    </xf>
    <xf numFmtId="0" fontId="20" fillId="4" borderId="0" xfId="6" applyFont="1" applyFill="1" applyBorder="1" applyAlignment="1">
      <alignment horizontal="right" vertical="center"/>
    </xf>
    <xf numFmtId="0" fontId="57" fillId="4" borderId="0" xfId="0" applyFont="1" applyFill="1" applyBorder="1" applyAlignment="1">
      <alignment horizontal="right"/>
    </xf>
    <xf numFmtId="0" fontId="19" fillId="4" borderId="0" xfId="0" applyFont="1" applyFill="1" applyBorder="1" applyAlignment="1">
      <alignment horizontal="right" vertical="top"/>
    </xf>
    <xf numFmtId="3" fontId="20" fillId="4" borderId="40" xfId="0" applyNumberFormat="1" applyFont="1" applyFill="1" applyBorder="1" applyAlignment="1">
      <alignment vertical="top"/>
    </xf>
    <xf numFmtId="3" fontId="20" fillId="4" borderId="41" xfId="0" applyNumberFormat="1" applyFont="1" applyFill="1" applyBorder="1" applyAlignment="1">
      <alignment vertical="top"/>
    </xf>
    <xf numFmtId="3" fontId="20" fillId="4" borderId="43" xfId="0" applyNumberFormat="1" applyFont="1" applyFill="1" applyBorder="1" applyAlignment="1">
      <alignment vertical="top"/>
    </xf>
    <xf numFmtId="3" fontId="20" fillId="4" borderId="0" xfId="0" applyNumberFormat="1" applyFont="1" applyFill="1" applyBorder="1" applyAlignment="1">
      <alignment vertical="top"/>
    </xf>
    <xf numFmtId="3" fontId="20" fillId="4" borderId="45" xfId="0" applyNumberFormat="1" applyFont="1" applyFill="1" applyBorder="1" applyAlignment="1">
      <alignment vertical="top"/>
    </xf>
    <xf numFmtId="3" fontId="20" fillId="4" borderId="46" xfId="0" applyNumberFormat="1" applyFont="1" applyFill="1" applyBorder="1" applyAlignment="1">
      <alignment vertical="top"/>
    </xf>
    <xf numFmtId="0" fontId="30" fillId="11" borderId="15" xfId="0" applyFont="1" applyFill="1" applyBorder="1" applyAlignment="1">
      <alignment vertical="top"/>
    </xf>
    <xf numFmtId="0" fontId="45" fillId="7" borderId="12" xfId="0" applyFont="1" applyFill="1" applyBorder="1" applyAlignment="1">
      <alignment horizontal="right" vertical="top" wrapText="1"/>
    </xf>
    <xf numFmtId="0" fontId="35" fillId="7" borderId="13" xfId="0" applyFont="1" applyFill="1" applyBorder="1" applyAlignment="1">
      <alignment vertical="top" wrapText="1"/>
    </xf>
    <xf numFmtId="17" fontId="43" fillId="4" borderId="0" xfId="0" applyNumberFormat="1" applyFont="1" applyFill="1" applyBorder="1" applyAlignment="1">
      <alignment horizontal="left" vertical="top" wrapText="1"/>
    </xf>
    <xf numFmtId="3" fontId="43" fillId="11" borderId="14" xfId="0" applyNumberFormat="1" applyFont="1" applyFill="1" applyBorder="1" applyAlignment="1">
      <alignment wrapText="1"/>
    </xf>
    <xf numFmtId="3" fontId="43" fillId="11" borderId="0" xfId="0" applyNumberFormat="1" applyFont="1" applyFill="1" applyBorder="1" applyAlignment="1">
      <alignment wrapText="1"/>
    </xf>
    <xf numFmtId="3" fontId="43" fillId="11" borderId="26" xfId="0" applyNumberFormat="1" applyFont="1" applyFill="1" applyBorder="1" applyAlignment="1">
      <alignment wrapText="1"/>
    </xf>
    <xf numFmtId="3" fontId="43" fillId="11" borderId="27" xfId="0" applyNumberFormat="1" applyFont="1" applyFill="1" applyBorder="1" applyAlignment="1">
      <alignment wrapText="1"/>
    </xf>
    <xf numFmtId="3" fontId="43" fillId="11" borderId="25" xfId="0" applyNumberFormat="1" applyFont="1" applyFill="1" applyBorder="1" applyAlignment="1">
      <alignment wrapText="1"/>
    </xf>
    <xf numFmtId="3" fontId="43" fillId="11" borderId="12" xfId="0" applyNumberFormat="1" applyFont="1" applyFill="1" applyBorder="1" applyAlignment="1">
      <alignment wrapText="1"/>
    </xf>
    <xf numFmtId="3" fontId="43" fillId="11" borderId="24" xfId="0" applyNumberFormat="1" applyFont="1" applyFill="1" applyBorder="1" applyAlignment="1">
      <alignment wrapText="1"/>
    </xf>
    <xf numFmtId="3" fontId="43" fillId="11" borderId="15" xfId="0" applyNumberFormat="1" applyFont="1" applyFill="1" applyBorder="1" applyAlignment="1">
      <alignment wrapText="1"/>
    </xf>
    <xf numFmtId="3" fontId="43" fillId="11" borderId="13" xfId="0" applyNumberFormat="1" applyFont="1" applyFill="1" applyBorder="1" applyAlignment="1">
      <alignment wrapText="1"/>
    </xf>
    <xf numFmtId="3" fontId="43" fillId="11" borderId="1" xfId="0" applyNumberFormat="1" applyFont="1" applyFill="1" applyBorder="1" applyAlignment="1">
      <alignment wrapText="1"/>
    </xf>
    <xf numFmtId="3" fontId="20" fillId="4" borderId="12" xfId="0" applyNumberFormat="1" applyFont="1" applyFill="1" applyBorder="1" applyAlignment="1">
      <alignment horizontal="right" vertical="top"/>
    </xf>
    <xf numFmtId="3" fontId="20" fillId="4" borderId="24" xfId="0" applyNumberFormat="1" applyFont="1" applyFill="1" applyBorder="1" applyAlignment="1">
      <alignment horizontal="right" vertical="top"/>
    </xf>
    <xf numFmtId="3" fontId="20" fillId="4" borderId="22" xfId="0" applyNumberFormat="1" applyFont="1" applyFill="1" applyBorder="1" applyAlignment="1">
      <alignment horizontal="right" vertical="top"/>
    </xf>
    <xf numFmtId="3" fontId="20" fillId="4" borderId="15" xfId="0" applyNumberFormat="1" applyFont="1" applyFill="1" applyBorder="1" applyAlignment="1">
      <alignment horizontal="right" vertical="top"/>
    </xf>
    <xf numFmtId="3" fontId="20" fillId="4" borderId="0" xfId="0" applyNumberFormat="1" applyFont="1" applyFill="1" applyBorder="1" applyAlignment="1">
      <alignment horizontal="right" vertical="top"/>
    </xf>
    <xf numFmtId="3" fontId="20" fillId="4" borderId="23" xfId="0" applyNumberFormat="1" applyFont="1" applyFill="1" applyBorder="1" applyAlignment="1">
      <alignment horizontal="right" vertical="top"/>
    </xf>
    <xf numFmtId="3" fontId="20" fillId="4" borderId="13" xfId="0" applyNumberFormat="1" applyFont="1" applyFill="1" applyBorder="1" applyAlignment="1">
      <alignment horizontal="right" vertical="top"/>
    </xf>
    <xf numFmtId="3" fontId="20" fillId="4" borderId="1" xfId="0" applyNumberFormat="1" applyFont="1" applyFill="1" applyBorder="1" applyAlignment="1">
      <alignment horizontal="right" vertical="top"/>
    </xf>
    <xf numFmtId="3" fontId="20" fillId="4" borderId="14" xfId="0" applyNumberFormat="1" applyFont="1" applyFill="1" applyBorder="1" applyAlignment="1">
      <alignment horizontal="right" vertical="top"/>
    </xf>
    <xf numFmtId="3" fontId="52" fillId="4" borderId="0" xfId="0" applyNumberFormat="1" applyFont="1" applyFill="1" applyAlignment="1">
      <alignment horizontal="right" vertical="top"/>
    </xf>
    <xf numFmtId="0" fontId="37" fillId="0" borderId="0" xfId="0" applyFont="1" applyFill="1" applyBorder="1" applyAlignment="1" applyProtection="1">
      <alignment horizontal="center" vertical="center"/>
      <protection locked="0"/>
    </xf>
    <xf numFmtId="0" fontId="29" fillId="4" borderId="0" xfId="0" applyFont="1" applyFill="1" applyBorder="1" applyAlignment="1" applyProtection="1">
      <alignment vertical="top" wrapText="1"/>
      <protection locked="0"/>
    </xf>
    <xf numFmtId="0" fontId="29" fillId="4" borderId="0" xfId="0" applyFont="1" applyFill="1" applyBorder="1" applyAlignment="1" applyProtection="1">
      <alignment horizontal="left" vertical="top" wrapText="1"/>
      <protection locked="0"/>
    </xf>
    <xf numFmtId="0" fontId="39" fillId="4" borderId="0" xfId="0" applyFont="1" applyFill="1" applyBorder="1" applyAlignment="1" applyProtection="1">
      <alignment horizontal="left" vertical="top" wrapText="1"/>
      <protection locked="0"/>
    </xf>
    <xf numFmtId="0" fontId="40" fillId="4" borderId="0" xfId="0" applyFont="1" applyFill="1" applyBorder="1" applyAlignment="1" applyProtection="1">
      <alignment vertical="top" wrapText="1"/>
      <protection locked="0"/>
    </xf>
    <xf numFmtId="0" fontId="76" fillId="4" borderId="0" xfId="0" applyFont="1" applyFill="1" applyBorder="1" applyAlignment="1" applyProtection="1">
      <alignment vertical="top" wrapText="1"/>
      <protection locked="0"/>
    </xf>
    <xf numFmtId="166" fontId="54" fillId="4" borderId="10" xfId="2" applyNumberFormat="1" applyFont="1" applyFill="1" applyBorder="1" applyAlignment="1" applyProtection="1">
      <alignment vertical="top"/>
      <protection locked="0"/>
    </xf>
    <xf numFmtId="166" fontId="54" fillId="4" borderId="2" xfId="2" applyNumberFormat="1" applyFont="1" applyFill="1" applyBorder="1" applyAlignment="1" applyProtection="1">
      <alignment vertical="top"/>
      <protection locked="0"/>
    </xf>
    <xf numFmtId="166" fontId="54" fillId="4" borderId="11" xfId="2" applyNumberFormat="1" applyFont="1" applyFill="1" applyBorder="1" applyAlignment="1" applyProtection="1">
      <alignment vertical="top"/>
      <protection locked="0"/>
    </xf>
    <xf numFmtId="0" fontId="43" fillId="4" borderId="11" xfId="0" applyFont="1" applyFill="1" applyBorder="1" applyAlignment="1" applyProtection="1">
      <alignment horizontal="left" vertical="top" wrapText="1"/>
      <protection locked="0"/>
    </xf>
    <xf numFmtId="0" fontId="43" fillId="4" borderId="11" xfId="0" applyFont="1" applyFill="1" applyBorder="1" applyAlignment="1" applyProtection="1">
      <alignment vertical="top" wrapText="1"/>
      <protection locked="0"/>
    </xf>
    <xf numFmtId="0" fontId="43" fillId="11" borderId="11" xfId="0" applyFont="1" applyFill="1" applyBorder="1" applyAlignment="1" applyProtection="1">
      <alignment vertical="top" wrapText="1"/>
      <protection locked="0"/>
    </xf>
    <xf numFmtId="0" fontId="43" fillId="11" borderId="11" xfId="0" applyFont="1" applyFill="1" applyBorder="1" applyAlignment="1" applyProtection="1">
      <alignment horizontal="left" vertical="top" wrapText="1"/>
      <protection locked="0"/>
    </xf>
    <xf numFmtId="3" fontId="54" fillId="4" borderId="10" xfId="0" applyNumberFormat="1" applyFont="1" applyFill="1" applyBorder="1" applyAlignment="1" applyProtection="1">
      <alignment horizontal="right" vertical="top"/>
      <protection locked="0"/>
    </xf>
    <xf numFmtId="3" fontId="54" fillId="4" borderId="2" xfId="0" applyNumberFormat="1" applyFont="1" applyFill="1" applyBorder="1" applyAlignment="1" applyProtection="1">
      <alignment horizontal="right" vertical="top"/>
      <protection locked="0"/>
    </xf>
    <xf numFmtId="3" fontId="54" fillId="4" borderId="11" xfId="0" applyNumberFormat="1" applyFont="1" applyFill="1" applyBorder="1" applyAlignment="1" applyProtection="1">
      <alignment horizontal="right" vertical="top"/>
      <protection locked="0"/>
    </xf>
    <xf numFmtId="0" fontId="43" fillId="4" borderId="22" xfId="0" applyFont="1" applyFill="1" applyBorder="1" applyAlignment="1" applyProtection="1">
      <alignment vertical="top" wrapText="1"/>
      <protection locked="0"/>
    </xf>
    <xf numFmtId="0" fontId="33" fillId="11" borderId="12" xfId="0" applyFont="1" applyFill="1" applyBorder="1" applyAlignment="1" applyProtection="1">
      <alignment vertical="top"/>
      <protection locked="0"/>
    </xf>
    <xf numFmtId="0" fontId="33" fillId="11" borderId="24" xfId="0" applyFont="1" applyFill="1" applyBorder="1" applyAlignment="1" applyProtection="1">
      <alignment vertical="top"/>
      <protection locked="0"/>
    </xf>
    <xf numFmtId="3" fontId="54" fillId="11" borderId="26" xfId="0" applyNumberFormat="1" applyFont="1" applyFill="1" applyBorder="1" applyAlignment="1" applyProtection="1">
      <alignment horizontal="right"/>
      <protection locked="0"/>
    </xf>
    <xf numFmtId="0" fontId="33" fillId="11" borderId="15" xfId="0" applyFont="1" applyFill="1" applyBorder="1" applyAlignment="1" applyProtection="1">
      <alignment vertical="top"/>
      <protection locked="0"/>
    </xf>
    <xf numFmtId="0" fontId="33" fillId="11" borderId="0" xfId="0" applyFont="1" applyFill="1" applyBorder="1" applyAlignment="1" applyProtection="1">
      <alignment vertical="top"/>
      <protection locked="0"/>
    </xf>
    <xf numFmtId="3" fontId="54" fillId="11" borderId="27" xfId="0" applyNumberFormat="1" applyFont="1" applyFill="1" applyBorder="1" applyAlignment="1" applyProtection="1">
      <alignment horizontal="right"/>
      <protection locked="0"/>
    </xf>
    <xf numFmtId="0" fontId="30" fillId="11" borderId="15" xfId="0" applyFont="1" applyFill="1" applyBorder="1" applyAlignment="1" applyProtection="1">
      <alignment vertical="top"/>
      <protection locked="0"/>
    </xf>
    <xf numFmtId="0" fontId="30" fillId="11" borderId="0" xfId="0" applyFont="1" applyFill="1" applyBorder="1" applyAlignment="1" applyProtection="1">
      <alignment vertical="top"/>
      <protection locked="0"/>
    </xf>
    <xf numFmtId="3" fontId="43" fillId="11" borderId="0" xfId="0" applyNumberFormat="1" applyFont="1" applyFill="1" applyBorder="1" applyAlignment="1" applyProtection="1">
      <alignment wrapText="1"/>
      <protection locked="0"/>
    </xf>
    <xf numFmtId="0" fontId="43" fillId="11" borderId="0" xfId="6" applyFont="1" applyFill="1" applyBorder="1" applyAlignment="1" applyProtection="1">
      <alignment horizontal="left"/>
      <protection locked="0"/>
    </xf>
    <xf numFmtId="0" fontId="30" fillId="11" borderId="0" xfId="0" applyFont="1" applyFill="1" applyBorder="1" applyAlignment="1" applyProtection="1">
      <protection locked="0"/>
    </xf>
    <xf numFmtId="0" fontId="30" fillId="11" borderId="13" xfId="0" applyFont="1" applyFill="1" applyBorder="1" applyAlignment="1" applyProtection="1">
      <alignment vertical="top"/>
      <protection locked="0"/>
    </xf>
    <xf numFmtId="0" fontId="30" fillId="11" borderId="1" xfId="0" applyFont="1" applyFill="1" applyBorder="1" applyAlignment="1" applyProtection="1">
      <protection locked="0"/>
    </xf>
    <xf numFmtId="3" fontId="54" fillId="11" borderId="25" xfId="0" applyNumberFormat="1" applyFont="1" applyFill="1" applyBorder="1" applyAlignment="1" applyProtection="1">
      <alignment horizontal="right"/>
      <protection locked="0"/>
    </xf>
    <xf numFmtId="0" fontId="33" fillId="11" borderId="11" xfId="0" applyFont="1" applyFill="1" applyBorder="1" applyAlignment="1" applyProtection="1">
      <alignment vertical="top" wrapText="1"/>
      <protection locked="0"/>
    </xf>
    <xf numFmtId="9" fontId="54" fillId="4" borderId="15" xfId="3" applyFont="1" applyFill="1" applyBorder="1" applyAlignment="1" applyProtection="1">
      <alignment vertical="center"/>
      <protection locked="0"/>
    </xf>
    <xf numFmtId="9" fontId="54" fillId="4" borderId="0" xfId="3" applyFont="1" applyFill="1" applyBorder="1" applyAlignment="1" applyProtection="1">
      <alignment vertical="center"/>
      <protection locked="0"/>
    </xf>
    <xf numFmtId="9" fontId="54" fillId="4" borderId="23" xfId="3" applyFont="1" applyFill="1" applyBorder="1" applyAlignment="1" applyProtection="1">
      <alignment vertical="center"/>
      <protection locked="0"/>
    </xf>
    <xf numFmtId="3" fontId="54" fillId="4" borderId="39" xfId="0" applyNumberFormat="1" applyFont="1" applyFill="1" applyBorder="1" applyAlignment="1" applyProtection="1">
      <alignment vertical="top" wrapText="1"/>
      <protection locked="0"/>
    </xf>
    <xf numFmtId="166" fontId="54" fillId="4" borderId="30" xfId="2" applyNumberFormat="1" applyFont="1" applyFill="1" applyBorder="1" applyAlignment="1" applyProtection="1">
      <alignment vertical="top"/>
      <protection locked="0"/>
    </xf>
    <xf numFmtId="169" fontId="54" fillId="4" borderId="12" xfId="2" applyNumberFormat="1" applyFont="1" applyFill="1" applyBorder="1" applyAlignment="1" applyProtection="1">
      <alignment vertical="top"/>
      <protection locked="0"/>
    </xf>
    <xf numFmtId="169" fontId="54" fillId="4" borderId="24" xfId="2" applyNumberFormat="1" applyFont="1" applyFill="1" applyBorder="1" applyAlignment="1" applyProtection="1">
      <alignment vertical="top"/>
      <protection locked="0"/>
    </xf>
    <xf numFmtId="169" fontId="54" fillId="4" borderId="22" xfId="2" applyNumberFormat="1" applyFont="1" applyFill="1" applyBorder="1" applyAlignment="1" applyProtection="1">
      <alignment vertical="top"/>
      <protection locked="0"/>
    </xf>
    <xf numFmtId="169" fontId="54" fillId="4" borderId="15" xfId="2" applyNumberFormat="1" applyFont="1" applyFill="1" applyBorder="1" applyAlignment="1" applyProtection="1">
      <alignment vertical="top"/>
      <protection locked="0"/>
    </xf>
    <xf numFmtId="169" fontId="54" fillId="4" borderId="0" xfId="2" applyNumberFormat="1" applyFont="1" applyFill="1" applyBorder="1" applyAlignment="1" applyProtection="1">
      <alignment vertical="top"/>
      <protection locked="0"/>
    </xf>
    <xf numFmtId="169" fontId="54" fillId="4" borderId="23" xfId="2" applyNumberFormat="1" applyFont="1" applyFill="1" applyBorder="1" applyAlignment="1" applyProtection="1">
      <alignment vertical="top"/>
      <protection locked="0"/>
    </xf>
    <xf numFmtId="169" fontId="54" fillId="4" borderId="13" xfId="2" applyNumberFormat="1" applyFont="1" applyFill="1" applyBorder="1" applyAlignment="1" applyProtection="1">
      <alignment vertical="top"/>
      <protection locked="0"/>
    </xf>
    <xf numFmtId="169" fontId="54" fillId="4" borderId="1" xfId="2" applyNumberFormat="1" applyFont="1" applyFill="1" applyBorder="1" applyAlignment="1" applyProtection="1">
      <alignment vertical="top"/>
      <protection locked="0"/>
    </xf>
    <xf numFmtId="169" fontId="54" fillId="4" borderId="14" xfId="2" applyNumberFormat="1" applyFont="1" applyFill="1" applyBorder="1" applyAlignment="1" applyProtection="1">
      <alignment vertical="top"/>
      <protection locked="0"/>
    </xf>
    <xf numFmtId="3" fontId="54" fillId="11" borderId="26" xfId="0" applyNumberFormat="1" applyFont="1" applyFill="1" applyBorder="1" applyProtection="1">
      <protection locked="0"/>
    </xf>
    <xf numFmtId="3" fontId="54" fillId="11" borderId="27" xfId="0" applyNumberFormat="1" applyFont="1" applyFill="1" applyBorder="1" applyProtection="1">
      <protection locked="0"/>
    </xf>
    <xf numFmtId="3" fontId="54" fillId="11" borderId="25" xfId="0" applyNumberFormat="1" applyFont="1" applyFill="1" applyBorder="1" applyProtection="1">
      <protection locked="0"/>
    </xf>
    <xf numFmtId="0" fontId="43" fillId="11" borderId="22" xfId="0" applyFont="1" applyFill="1" applyBorder="1" applyAlignment="1" applyProtection="1">
      <alignment vertical="top" wrapText="1"/>
      <protection locked="0"/>
    </xf>
    <xf numFmtId="166" fontId="54" fillId="4" borderId="12" xfId="2" applyNumberFormat="1" applyFont="1" applyFill="1" applyBorder="1" applyAlignment="1" applyProtection="1">
      <alignment vertical="top"/>
      <protection locked="0"/>
    </xf>
    <xf numFmtId="166" fontId="54" fillId="4" borderId="24" xfId="2" applyNumberFormat="1" applyFont="1" applyFill="1" applyBorder="1" applyAlignment="1" applyProtection="1">
      <alignment vertical="top"/>
      <protection locked="0"/>
    </xf>
    <xf numFmtId="166" fontId="54" fillId="4" borderId="22" xfId="2" applyNumberFormat="1" applyFont="1" applyFill="1" applyBorder="1" applyAlignment="1" applyProtection="1">
      <alignment vertical="top"/>
      <protection locked="0"/>
    </xf>
    <xf numFmtId="166" fontId="54" fillId="11" borderId="12" xfId="2" applyNumberFormat="1" applyFont="1" applyFill="1" applyBorder="1" applyAlignment="1" applyProtection="1">
      <alignment vertical="top"/>
      <protection locked="0"/>
    </xf>
    <xf numFmtId="166" fontId="54" fillId="11" borderId="24" xfId="2" applyNumberFormat="1" applyFont="1" applyFill="1" applyBorder="1" applyAlignment="1" applyProtection="1">
      <alignment vertical="top"/>
      <protection locked="0"/>
    </xf>
    <xf numFmtId="166" fontId="54" fillId="11" borderId="22" xfId="2" applyNumberFormat="1" applyFont="1" applyFill="1" applyBorder="1" applyAlignment="1" applyProtection="1">
      <alignment vertical="top"/>
      <protection locked="0"/>
    </xf>
    <xf numFmtId="166" fontId="54" fillId="11" borderId="13" xfId="2" applyNumberFormat="1" applyFont="1" applyFill="1" applyBorder="1" applyAlignment="1" applyProtection="1">
      <alignment vertical="top"/>
      <protection locked="0"/>
    </xf>
    <xf numFmtId="166" fontId="54" fillId="11" borderId="1" xfId="2" applyNumberFormat="1" applyFont="1" applyFill="1" applyBorder="1" applyAlignment="1" applyProtection="1">
      <alignment vertical="top"/>
      <protection locked="0"/>
    </xf>
    <xf numFmtId="166" fontId="54" fillId="11" borderId="14" xfId="2" applyNumberFormat="1" applyFont="1" applyFill="1" applyBorder="1" applyAlignment="1" applyProtection="1">
      <alignment vertical="top"/>
      <protection locked="0"/>
    </xf>
    <xf numFmtId="3" fontId="54" fillId="4" borderId="39" xfId="0" applyNumberFormat="1" applyFont="1" applyFill="1" applyBorder="1" applyAlignment="1" applyProtection="1">
      <alignment wrapText="1"/>
      <protection locked="0"/>
    </xf>
    <xf numFmtId="0" fontId="33" fillId="11" borderId="51" xfId="0" applyFont="1" applyFill="1" applyBorder="1" applyAlignment="1" applyProtection="1">
      <alignment vertical="top"/>
      <protection locked="0"/>
    </xf>
    <xf numFmtId="3" fontId="54" fillId="11" borderId="54" xfId="3" applyNumberFormat="1" applyFont="1" applyFill="1" applyBorder="1" applyAlignment="1" applyProtection="1">
      <alignment vertical="top"/>
      <protection locked="0"/>
    </xf>
    <xf numFmtId="0" fontId="33" fillId="11" borderId="44" xfId="0" applyFont="1" applyFill="1" applyBorder="1" applyAlignment="1" applyProtection="1">
      <alignment vertical="top"/>
      <protection locked="0"/>
    </xf>
    <xf numFmtId="3" fontId="54" fillId="11" borderId="55" xfId="3" applyNumberFormat="1" applyFont="1" applyFill="1" applyBorder="1" applyAlignment="1" applyProtection="1">
      <alignment vertical="top"/>
      <protection locked="0"/>
    </xf>
    <xf numFmtId="0" fontId="28" fillId="11" borderId="15" xfId="0" applyFont="1" applyFill="1" applyBorder="1" applyAlignment="1" applyProtection="1">
      <alignment vertical="top"/>
      <protection locked="0"/>
    </xf>
    <xf numFmtId="0" fontId="28" fillId="11" borderId="13" xfId="0" applyFont="1" applyFill="1" applyBorder="1" applyAlignment="1" applyProtection="1">
      <alignment vertical="top"/>
      <protection locked="0"/>
    </xf>
    <xf numFmtId="0" fontId="33" fillId="11" borderId="1" xfId="0" applyFont="1" applyFill="1" applyBorder="1" applyAlignment="1" applyProtection="1">
      <alignment vertical="top"/>
      <protection locked="0"/>
    </xf>
    <xf numFmtId="166" fontId="33" fillId="11" borderId="49" xfId="0" applyNumberFormat="1" applyFont="1" applyFill="1" applyBorder="1" applyAlignment="1" applyProtection="1">
      <alignment vertical="top"/>
      <protection locked="0"/>
    </xf>
    <xf numFmtId="3" fontId="54" fillId="11" borderId="56" xfId="3" applyNumberFormat="1" applyFont="1" applyFill="1" applyBorder="1" applyAlignment="1" applyProtection="1">
      <alignment vertical="top"/>
      <protection locked="0"/>
    </xf>
    <xf numFmtId="0" fontId="43" fillId="4" borderId="22" xfId="0" quotePrefix="1" applyFont="1" applyFill="1" applyBorder="1" applyAlignment="1" applyProtection="1">
      <alignment vertical="top" wrapText="1"/>
      <protection locked="0"/>
    </xf>
    <xf numFmtId="3" fontId="54" fillId="11" borderId="39" xfId="0" applyNumberFormat="1" applyFont="1" applyFill="1" applyBorder="1" applyAlignment="1" applyProtection="1">
      <alignment wrapText="1"/>
      <protection locked="0"/>
    </xf>
    <xf numFmtId="169" fontId="54" fillId="4" borderId="30" xfId="2" applyNumberFormat="1" applyFont="1" applyFill="1" applyBorder="1" applyAlignment="1" applyProtection="1">
      <alignment vertical="top"/>
      <protection locked="0"/>
    </xf>
    <xf numFmtId="3" fontId="54" fillId="14" borderId="30" xfId="0" applyNumberFormat="1" applyFont="1" applyFill="1" applyBorder="1" applyAlignment="1" applyProtection="1">
      <alignment horizontal="right" vertical="top" wrapText="1"/>
      <protection locked="0"/>
    </xf>
    <xf numFmtId="2" fontId="54" fillId="4" borderId="12" xfId="0" applyNumberFormat="1" applyFont="1" applyFill="1" applyBorder="1" applyAlignment="1" applyProtection="1">
      <alignment vertical="top"/>
      <protection locked="0"/>
    </xf>
    <xf numFmtId="2" fontId="54" fillId="4" borderId="24" xfId="0" applyNumberFormat="1" applyFont="1" applyFill="1" applyBorder="1" applyAlignment="1" applyProtection="1">
      <alignment vertical="top"/>
      <protection locked="0"/>
    </xf>
    <xf numFmtId="2" fontId="54" fillId="4" borderId="15" xfId="4" applyNumberFormat="1" applyFont="1" applyFill="1" applyBorder="1" applyAlignment="1" applyProtection="1">
      <alignment vertical="top"/>
      <protection locked="0"/>
    </xf>
    <xf numFmtId="2" fontId="54" fillId="4" borderId="0" xfId="4" applyNumberFormat="1" applyFont="1" applyFill="1" applyBorder="1" applyAlignment="1" applyProtection="1">
      <alignment vertical="top"/>
      <protection locked="0"/>
    </xf>
    <xf numFmtId="2" fontId="54" fillId="4" borderId="15" xfId="0" applyNumberFormat="1" applyFont="1" applyFill="1" applyBorder="1" applyAlignment="1" applyProtection="1">
      <alignment vertical="top"/>
      <protection locked="0"/>
    </xf>
    <xf numFmtId="2" fontId="54" fillId="4" borderId="0" xfId="0" applyNumberFormat="1" applyFont="1" applyFill="1" applyBorder="1" applyAlignment="1" applyProtection="1">
      <alignment vertical="top"/>
      <protection locked="0"/>
    </xf>
    <xf numFmtId="2" fontId="54" fillId="4" borderId="13" xfId="0" applyNumberFormat="1" applyFont="1" applyFill="1" applyBorder="1" applyAlignment="1" applyProtection="1">
      <alignment vertical="top"/>
      <protection locked="0"/>
    </xf>
    <xf numFmtId="2" fontId="54" fillId="4" borderId="1" xfId="0" applyNumberFormat="1" applyFont="1" applyFill="1" applyBorder="1" applyAlignment="1" applyProtection="1">
      <alignment vertical="top"/>
      <protection locked="0"/>
    </xf>
    <xf numFmtId="9" fontId="54" fillId="11" borderId="12" xfId="3" applyFont="1" applyFill="1" applyBorder="1" applyAlignment="1" applyProtection="1">
      <alignment horizontal="right" wrapText="1"/>
      <protection locked="0"/>
    </xf>
    <xf numFmtId="9" fontId="54" fillId="11" borderId="22" xfId="3" applyFont="1" applyFill="1" applyBorder="1" applyAlignment="1" applyProtection="1">
      <alignment horizontal="right" wrapText="1"/>
      <protection locked="0"/>
    </xf>
    <xf numFmtId="9" fontId="54" fillId="11" borderId="15" xfId="3" applyFont="1" applyFill="1" applyBorder="1" applyAlignment="1" applyProtection="1">
      <alignment horizontal="right" wrapText="1"/>
      <protection locked="0"/>
    </xf>
    <xf numFmtId="9" fontId="54" fillId="11" borderId="23" xfId="3" applyFont="1" applyFill="1" applyBorder="1" applyAlignment="1" applyProtection="1">
      <alignment horizontal="right" wrapText="1"/>
      <protection locked="0"/>
    </xf>
    <xf numFmtId="9" fontId="54" fillId="11" borderId="13" xfId="3" applyFont="1" applyFill="1" applyBorder="1" applyAlignment="1" applyProtection="1">
      <alignment horizontal="right" wrapText="1"/>
      <protection locked="0"/>
    </xf>
    <xf numFmtId="9" fontId="54" fillId="11" borderId="14" xfId="3" applyFont="1" applyFill="1" applyBorder="1" applyAlignment="1" applyProtection="1">
      <alignment horizontal="right" wrapText="1"/>
      <protection locked="0"/>
    </xf>
    <xf numFmtId="3" fontId="54" fillId="4" borderId="54" xfId="0" applyNumberFormat="1" applyFont="1" applyFill="1" applyBorder="1" applyAlignment="1" applyProtection="1">
      <alignment vertical="top"/>
      <protection locked="0"/>
    </xf>
    <xf numFmtId="3" fontId="54" fillId="4" borderId="55" xfId="0" applyNumberFormat="1" applyFont="1" applyFill="1" applyBorder="1" applyAlignment="1" applyProtection="1">
      <alignment vertical="top"/>
      <protection locked="0"/>
    </xf>
    <xf numFmtId="3" fontId="54" fillId="4" borderId="56" xfId="0" applyNumberFormat="1" applyFont="1" applyFill="1" applyBorder="1" applyAlignment="1" applyProtection="1">
      <alignment vertical="top"/>
      <protection locked="0"/>
    </xf>
    <xf numFmtId="3" fontId="54" fillId="4" borderId="39" xfId="0" applyNumberFormat="1" applyFont="1" applyFill="1" applyBorder="1" applyAlignment="1" applyProtection="1">
      <alignment vertical="top"/>
      <protection locked="0"/>
    </xf>
    <xf numFmtId="3" fontId="54" fillId="11" borderId="57" xfId="4" applyNumberFormat="1" applyFont="1" applyFill="1" applyBorder="1" applyAlignment="1" applyProtection="1">
      <alignment vertical="top"/>
      <protection locked="0"/>
    </xf>
    <xf numFmtId="3" fontId="54" fillId="11" borderId="58" xfId="4" applyNumberFormat="1" applyFont="1" applyFill="1" applyBorder="1" applyAlignment="1" applyProtection="1">
      <alignment vertical="top"/>
      <protection locked="0"/>
    </xf>
    <xf numFmtId="3" fontId="54" fillId="11" borderId="59" xfId="4" applyNumberFormat="1" applyFont="1" applyFill="1" applyBorder="1" applyAlignment="1" applyProtection="1">
      <alignment vertical="top"/>
      <protection locked="0"/>
    </xf>
    <xf numFmtId="3" fontId="54" fillId="4" borderId="25" xfId="4" applyNumberFormat="1" applyFont="1" applyFill="1" applyBorder="1" applyAlignment="1" applyProtection="1">
      <alignment horizontal="right" vertical="top"/>
      <protection locked="0"/>
    </xf>
    <xf numFmtId="9" fontId="54" fillId="11" borderId="22" xfId="4" applyNumberFormat="1" applyFont="1" applyFill="1" applyBorder="1" applyAlignment="1" applyProtection="1">
      <alignment vertical="top"/>
      <protection locked="0"/>
    </xf>
    <xf numFmtId="9" fontId="54" fillId="11" borderId="23" xfId="4" applyNumberFormat="1" applyFont="1" applyFill="1" applyBorder="1" applyAlignment="1" applyProtection="1">
      <alignment vertical="top"/>
      <protection locked="0"/>
    </xf>
    <xf numFmtId="9" fontId="54" fillId="11" borderId="14" xfId="4" applyNumberFormat="1" applyFont="1" applyFill="1" applyBorder="1" applyAlignment="1" applyProtection="1">
      <alignment vertical="top"/>
      <protection locked="0"/>
    </xf>
    <xf numFmtId="169" fontId="54" fillId="11" borderId="10" xfId="2" applyNumberFormat="1" applyFont="1" applyFill="1" applyBorder="1" applyAlignment="1" applyProtection="1">
      <alignment vertical="top"/>
      <protection locked="0"/>
    </xf>
    <xf numFmtId="169" fontId="54" fillId="11" borderId="2" xfId="2" applyNumberFormat="1" applyFont="1" applyFill="1" applyBorder="1" applyAlignment="1" applyProtection="1">
      <alignment vertical="top"/>
      <protection locked="0"/>
    </xf>
    <xf numFmtId="169" fontId="54" fillId="11" borderId="11" xfId="2" applyNumberFormat="1" applyFont="1" applyFill="1" applyBorder="1" applyAlignment="1" applyProtection="1">
      <alignment vertical="top"/>
      <protection locked="0"/>
    </xf>
    <xf numFmtId="0" fontId="43" fillId="11" borderId="0" xfId="0" applyFont="1" applyFill="1" applyBorder="1" applyAlignment="1" applyProtection="1">
      <alignment horizontal="left" vertical="top" wrapText="1"/>
      <protection locked="0"/>
    </xf>
    <xf numFmtId="166" fontId="54" fillId="4" borderId="26" xfId="2" applyNumberFormat="1" applyFont="1" applyFill="1" applyBorder="1" applyAlignment="1" applyProtection="1">
      <alignment vertical="top"/>
      <protection locked="0"/>
    </xf>
    <xf numFmtId="166" fontId="54" fillId="4" borderId="27" xfId="2" applyNumberFormat="1" applyFont="1" applyFill="1" applyBorder="1" applyAlignment="1" applyProtection="1">
      <alignment vertical="top"/>
      <protection locked="0"/>
    </xf>
    <xf numFmtId="166" fontId="54" fillId="4" borderId="25" xfId="2" applyNumberFormat="1" applyFont="1" applyFill="1" applyBorder="1" applyAlignment="1" applyProtection="1">
      <alignment vertical="top"/>
      <protection locked="0"/>
    </xf>
    <xf numFmtId="9" fontId="54" fillId="11" borderId="10" xfId="3" applyFont="1" applyFill="1" applyBorder="1" applyProtection="1">
      <protection locked="0"/>
    </xf>
    <xf numFmtId="9" fontId="54" fillId="11" borderId="11" xfId="3" applyFont="1" applyFill="1" applyBorder="1" applyProtection="1">
      <protection locked="0"/>
    </xf>
    <xf numFmtId="3" fontId="54" fillId="11" borderId="12" xfId="0" applyNumberFormat="1" applyFont="1" applyFill="1" applyBorder="1" applyAlignment="1" applyProtection="1">
      <alignment horizontal="right" vertical="top" wrapText="1"/>
      <protection locked="0"/>
    </xf>
    <xf numFmtId="3" fontId="54" fillId="11" borderId="22" xfId="0" applyNumberFormat="1" applyFont="1" applyFill="1" applyBorder="1" applyAlignment="1" applyProtection="1">
      <alignment horizontal="right" vertical="top" wrapText="1"/>
      <protection locked="0"/>
    </xf>
    <xf numFmtId="3" fontId="54" fillId="11" borderId="13" xfId="0" applyNumberFormat="1" applyFont="1" applyFill="1" applyBorder="1" applyAlignment="1" applyProtection="1">
      <alignment horizontal="right" vertical="top" wrapText="1"/>
      <protection locked="0"/>
    </xf>
    <xf numFmtId="3" fontId="54" fillId="11" borderId="14" xfId="0" applyNumberFormat="1" applyFont="1" applyFill="1" applyBorder="1" applyAlignment="1" applyProtection="1">
      <alignment horizontal="right" vertical="top" wrapText="1"/>
      <protection locked="0"/>
    </xf>
    <xf numFmtId="9" fontId="54" fillId="4" borderId="10" xfId="0" applyNumberFormat="1" applyFont="1" applyFill="1" applyBorder="1" applyAlignment="1" applyProtection="1">
      <alignment horizontal="right" vertical="top"/>
      <protection locked="0"/>
    </xf>
    <xf numFmtId="9" fontId="54" fillId="4" borderId="11" xfId="0" applyNumberFormat="1" applyFont="1" applyFill="1" applyBorder="1" applyAlignment="1" applyProtection="1">
      <alignment horizontal="right" vertical="top"/>
      <protection locked="0"/>
    </xf>
    <xf numFmtId="3" fontId="54" fillId="4" borderId="12" xfId="0" applyNumberFormat="1" applyFont="1" applyFill="1" applyBorder="1" applyAlignment="1" applyProtection="1">
      <alignment vertical="top"/>
      <protection locked="0"/>
    </xf>
    <xf numFmtId="3" fontId="54" fillId="4" borderId="24" xfId="0" applyNumberFormat="1" applyFont="1" applyFill="1" applyBorder="1" applyAlignment="1" applyProtection="1">
      <alignment vertical="top"/>
      <protection locked="0"/>
    </xf>
    <xf numFmtId="3" fontId="54" fillId="4" borderId="22" xfId="0" applyNumberFormat="1" applyFont="1" applyFill="1" applyBorder="1" applyAlignment="1" applyProtection="1">
      <alignment vertical="top"/>
      <protection locked="0"/>
    </xf>
    <xf numFmtId="3" fontId="54" fillId="4" borderId="15" xfId="0" applyNumberFormat="1" applyFont="1" applyFill="1" applyBorder="1" applyAlignment="1" applyProtection="1">
      <alignment vertical="top"/>
      <protection locked="0"/>
    </xf>
    <xf numFmtId="3" fontId="54" fillId="4" borderId="0" xfId="0" applyNumberFormat="1" applyFont="1" applyFill="1" applyBorder="1" applyAlignment="1" applyProtection="1">
      <alignment vertical="top"/>
      <protection locked="0"/>
    </xf>
    <xf numFmtId="3" fontId="54" fillId="4" borderId="23" xfId="0" applyNumberFormat="1" applyFont="1" applyFill="1" applyBorder="1" applyAlignment="1" applyProtection="1">
      <alignment vertical="top"/>
      <protection locked="0"/>
    </xf>
    <xf numFmtId="0" fontId="54" fillId="4" borderId="15" xfId="0" applyFont="1" applyFill="1" applyBorder="1" applyAlignment="1" applyProtection="1">
      <alignment vertical="top"/>
      <protection locked="0"/>
    </xf>
    <xf numFmtId="0" fontId="54" fillId="4" borderId="0" xfId="0" applyFont="1" applyFill="1" applyBorder="1" applyAlignment="1" applyProtection="1">
      <alignment vertical="top"/>
      <protection locked="0"/>
    </xf>
    <xf numFmtId="4" fontId="54" fillId="4" borderId="23" xfId="0" applyNumberFormat="1" applyFont="1" applyFill="1" applyBorder="1" applyAlignment="1" applyProtection="1">
      <alignment vertical="top"/>
      <protection locked="0"/>
    </xf>
    <xf numFmtId="0" fontId="54" fillId="4" borderId="23" xfId="0" applyFont="1" applyFill="1" applyBorder="1" applyAlignment="1" applyProtection="1">
      <alignment vertical="top"/>
      <protection locked="0"/>
    </xf>
    <xf numFmtId="3" fontId="54" fillId="4" borderId="13" xfId="0" applyNumberFormat="1" applyFont="1" applyFill="1" applyBorder="1" applyAlignment="1" applyProtection="1">
      <alignment vertical="top"/>
      <protection locked="0"/>
    </xf>
    <xf numFmtId="3" fontId="54" fillId="4" borderId="1" xfId="0" applyNumberFormat="1" applyFont="1" applyFill="1" applyBorder="1" applyAlignment="1" applyProtection="1">
      <alignment vertical="top"/>
      <protection locked="0"/>
    </xf>
    <xf numFmtId="3" fontId="54" fillId="4" borderId="14" xfId="0" applyNumberFormat="1" applyFont="1" applyFill="1" applyBorder="1" applyAlignment="1" applyProtection="1">
      <alignment vertical="top"/>
      <protection locked="0"/>
    </xf>
    <xf numFmtId="3" fontId="54" fillId="11" borderId="10" xfId="0" applyNumberFormat="1" applyFont="1" applyFill="1" applyBorder="1" applyAlignment="1" applyProtection="1">
      <alignment vertical="top"/>
      <protection locked="0"/>
    </xf>
    <xf numFmtId="3" fontId="54" fillId="11" borderId="2" xfId="0" applyNumberFormat="1" applyFont="1" applyFill="1" applyBorder="1" applyAlignment="1" applyProtection="1">
      <alignment vertical="top"/>
      <protection locked="0"/>
    </xf>
    <xf numFmtId="3" fontId="54" fillId="11" borderId="11" xfId="0" applyNumberFormat="1" applyFont="1" applyFill="1" applyBorder="1" applyAlignment="1" applyProtection="1">
      <alignment vertical="top"/>
      <protection locked="0"/>
    </xf>
    <xf numFmtId="17" fontId="43" fillId="11" borderId="11" xfId="0" applyNumberFormat="1" applyFont="1" applyFill="1" applyBorder="1" applyAlignment="1" applyProtection="1">
      <alignment horizontal="left" vertical="top" wrapText="1"/>
      <protection locked="0"/>
    </xf>
    <xf numFmtId="3" fontId="54" fillId="4" borderId="57" xfId="0" applyNumberFormat="1" applyFont="1" applyFill="1" applyBorder="1" applyAlignment="1" applyProtection="1">
      <alignment vertical="top"/>
      <protection locked="0"/>
    </xf>
    <xf numFmtId="3" fontId="54" fillId="4" borderId="59" xfId="0" applyNumberFormat="1" applyFont="1" applyFill="1" applyBorder="1" applyAlignment="1" applyProtection="1">
      <alignment vertical="top"/>
      <protection locked="0"/>
    </xf>
    <xf numFmtId="166" fontId="54" fillId="11" borderId="10" xfId="2" applyNumberFormat="1" applyFont="1" applyFill="1" applyBorder="1" applyAlignment="1" applyProtection="1">
      <alignment vertical="top"/>
      <protection locked="0"/>
    </xf>
    <xf numFmtId="175" fontId="44" fillId="2" borderId="0" xfId="0" applyNumberFormat="1" applyFont="1" applyFill="1" applyAlignment="1">
      <alignment horizontal="left"/>
    </xf>
    <xf numFmtId="0" fontId="45" fillId="4" borderId="12" xfId="0" applyFont="1" applyFill="1" applyBorder="1" applyAlignment="1">
      <alignment horizontal="right" vertical="top"/>
    </xf>
    <xf numFmtId="0" fontId="45" fillId="4" borderId="15" xfId="0" applyFont="1" applyFill="1" applyBorder="1" applyAlignment="1">
      <alignment horizontal="right" vertical="top"/>
    </xf>
    <xf numFmtId="0" fontId="45" fillId="4" borderId="13" xfId="0" applyFont="1" applyFill="1" applyBorder="1" applyAlignment="1">
      <alignment horizontal="right" vertical="top"/>
    </xf>
    <xf numFmtId="0" fontId="45" fillId="11" borderId="12" xfId="0" applyFont="1" applyFill="1" applyBorder="1" applyAlignment="1">
      <alignment horizontal="right" vertical="top"/>
    </xf>
    <xf numFmtId="0" fontId="45" fillId="11" borderId="13" xfId="0" applyFont="1" applyFill="1" applyBorder="1" applyAlignment="1">
      <alignment horizontal="right" vertical="top"/>
    </xf>
    <xf numFmtId="0" fontId="56" fillId="4" borderId="12" xfId="0" applyFont="1" applyFill="1" applyBorder="1" applyAlignment="1">
      <alignment horizontal="right" vertical="top"/>
    </xf>
    <xf numFmtId="9" fontId="54" fillId="4" borderId="15" xfId="3" applyFont="1" applyFill="1" applyBorder="1" applyAlignment="1">
      <alignment vertical="center"/>
    </xf>
    <xf numFmtId="9" fontId="54" fillId="4" borderId="0" xfId="3" applyFont="1" applyFill="1" applyBorder="1" applyAlignment="1">
      <alignment vertical="center"/>
    </xf>
    <xf numFmtId="9" fontId="54" fillId="4" borderId="23" xfId="3" applyFont="1" applyFill="1" applyBorder="1" applyAlignment="1">
      <alignment vertical="center"/>
    </xf>
    <xf numFmtId="9" fontId="54" fillId="4" borderId="13" xfId="3" applyFont="1" applyFill="1" applyBorder="1" applyAlignment="1">
      <alignment vertical="center"/>
    </xf>
    <xf numFmtId="9" fontId="54" fillId="4" borderId="1" xfId="3" applyFont="1" applyFill="1" applyBorder="1" applyAlignment="1">
      <alignment vertical="center"/>
    </xf>
    <xf numFmtId="9" fontId="54" fillId="4" borderId="14" xfId="3" applyFont="1" applyFill="1" applyBorder="1" applyAlignment="1">
      <alignment vertical="center"/>
    </xf>
    <xf numFmtId="9" fontId="54" fillId="4" borderId="12" xfId="3" applyFont="1" applyFill="1" applyBorder="1" applyAlignment="1">
      <alignment vertical="center"/>
    </xf>
    <xf numFmtId="9" fontId="54" fillId="4" borderId="24" xfId="3" applyFont="1" applyFill="1" applyBorder="1" applyAlignment="1">
      <alignment vertical="center"/>
    </xf>
    <xf numFmtId="9" fontId="54" fillId="4" borderId="22" xfId="3" applyFont="1" applyFill="1" applyBorder="1" applyAlignment="1">
      <alignment vertical="center"/>
    </xf>
    <xf numFmtId="3" fontId="43" fillId="4" borderId="13" xfId="3" applyNumberFormat="1" applyFont="1" applyFill="1" applyBorder="1" applyAlignment="1">
      <alignment vertical="center"/>
    </xf>
    <xf numFmtId="3" fontId="43" fillId="4" borderId="1" xfId="3" applyNumberFormat="1" applyFont="1" applyFill="1" applyBorder="1" applyAlignment="1">
      <alignment vertical="center"/>
    </xf>
    <xf numFmtId="3" fontId="43" fillId="4" borderId="14" xfId="3" applyNumberFormat="1" applyFont="1" applyFill="1" applyBorder="1" applyAlignment="1">
      <alignment vertical="center"/>
    </xf>
    <xf numFmtId="3" fontId="4" fillId="11" borderId="43" xfId="3" applyNumberFormat="1" applyFont="1" applyFill="1" applyBorder="1" applyAlignment="1">
      <alignment vertical="center"/>
    </xf>
    <xf numFmtId="3" fontId="4" fillId="11" borderId="0" xfId="3" applyNumberFormat="1" applyFont="1" applyFill="1" applyBorder="1" applyAlignment="1">
      <alignment vertical="center"/>
    </xf>
    <xf numFmtId="3" fontId="4" fillId="11" borderId="44" xfId="3" applyNumberFormat="1" applyFont="1" applyFill="1" applyBorder="1" applyAlignment="1">
      <alignment vertical="center"/>
    </xf>
    <xf numFmtId="3" fontId="21" fillId="11" borderId="45" xfId="3" applyNumberFormat="1" applyFont="1" applyFill="1" applyBorder="1" applyAlignment="1">
      <alignment vertical="center"/>
    </xf>
    <xf numFmtId="3" fontId="21" fillId="11" borderId="46" xfId="3" applyNumberFormat="1" applyFont="1" applyFill="1" applyBorder="1" applyAlignment="1">
      <alignment vertical="center"/>
    </xf>
    <xf numFmtId="3" fontId="21" fillId="11" borderId="47" xfId="3" applyNumberFormat="1" applyFont="1" applyFill="1" applyBorder="1" applyAlignment="1">
      <alignment vertical="center"/>
    </xf>
    <xf numFmtId="9" fontId="87" fillId="11" borderId="0" xfId="0" applyNumberFormat="1" applyFont="1" applyFill="1" applyBorder="1" applyAlignment="1">
      <alignment horizontal="right" vertical="top" wrapText="1"/>
    </xf>
    <xf numFmtId="3" fontId="88" fillId="0" borderId="61" xfId="6" applyNumberFormat="1" applyFont="1" applyFill="1" applyBorder="1" applyAlignment="1">
      <alignment vertical="center" wrapText="1"/>
    </xf>
    <xf numFmtId="0" fontId="57" fillId="11" borderId="53" xfId="6" applyFont="1" applyFill="1" applyBorder="1" applyAlignment="1">
      <alignment horizontal="right" vertical="center"/>
    </xf>
    <xf numFmtId="3" fontId="43" fillId="4" borderId="0" xfId="6" applyNumberFormat="1" applyFont="1" applyFill="1" applyBorder="1" applyAlignment="1">
      <alignment vertical="center" wrapText="1"/>
    </xf>
    <xf numFmtId="3" fontId="43" fillId="4" borderId="18" xfId="6" applyNumberFormat="1" applyFont="1" applyFill="1" applyBorder="1" applyAlignment="1">
      <alignment vertical="center" wrapText="1"/>
    </xf>
    <xf numFmtId="3" fontId="60" fillId="4" borderId="0" xfId="6" applyNumberFormat="1" applyFont="1" applyFill="1" applyBorder="1" applyAlignment="1">
      <alignment vertical="center" wrapText="1"/>
    </xf>
    <xf numFmtId="3" fontId="60" fillId="4" borderId="18" xfId="6" applyNumberFormat="1" applyFont="1" applyFill="1" applyBorder="1" applyAlignment="1">
      <alignment vertical="center" wrapText="1"/>
    </xf>
    <xf numFmtId="0" fontId="62" fillId="4" borderId="22" xfId="0" applyFont="1" applyFill="1" applyBorder="1" applyAlignment="1">
      <alignment vertical="top"/>
    </xf>
    <xf numFmtId="0" fontId="33" fillId="4" borderId="24" xfId="0" applyFont="1" applyFill="1" applyBorder="1" applyAlignment="1">
      <alignment vertical="top"/>
    </xf>
    <xf numFmtId="0" fontId="62" fillId="4" borderId="24" xfId="0" applyFont="1" applyFill="1" applyBorder="1" applyAlignment="1">
      <alignment wrapText="1"/>
    </xf>
    <xf numFmtId="0" fontId="62" fillId="4" borderId="0" xfId="0" applyFont="1" applyFill="1" applyBorder="1" applyAlignment="1">
      <alignment wrapText="1"/>
    </xf>
    <xf numFmtId="0" fontId="28" fillId="4" borderId="15" xfId="0" applyFont="1" applyFill="1" applyBorder="1" applyAlignment="1">
      <alignment vertical="top"/>
    </xf>
    <xf numFmtId="0" fontId="27" fillId="11" borderId="15" xfId="0" applyFont="1" applyFill="1" applyBorder="1" applyAlignment="1">
      <alignment horizontal="right" vertical="top"/>
    </xf>
    <xf numFmtId="0" fontId="27" fillId="11" borderId="13" xfId="0" applyFont="1" applyFill="1" applyBorder="1" applyAlignment="1">
      <alignment horizontal="right" vertical="top"/>
    </xf>
    <xf numFmtId="0" fontId="45" fillId="11" borderId="24" xfId="0" applyFont="1" applyFill="1" applyBorder="1" applyAlignment="1">
      <alignment horizontal="right" vertical="top"/>
    </xf>
    <xf numFmtId="0" fontId="45" fillId="11" borderId="12" xfId="0" applyFont="1" applyFill="1" applyBorder="1" applyAlignment="1">
      <alignment horizontal="right" vertical="top"/>
    </xf>
    <xf numFmtId="0" fontId="12" fillId="4" borderId="0" xfId="0" applyFont="1" applyFill="1" applyAlignment="1">
      <alignment horizontal="center" wrapText="1"/>
    </xf>
    <xf numFmtId="0" fontId="30" fillId="4" borderId="15" xfId="0" applyFont="1" applyFill="1" applyBorder="1" applyAlignment="1">
      <alignment vertical="top"/>
    </xf>
    <xf numFmtId="3" fontId="3" fillId="4" borderId="0" xfId="0" applyNumberFormat="1" applyFont="1" applyFill="1" applyBorder="1" applyAlignment="1">
      <alignment horizontal="right" vertical="top"/>
    </xf>
    <xf numFmtId="0" fontId="52" fillId="4" borderId="0" xfId="0" applyFont="1" applyFill="1" applyBorder="1" applyAlignment="1">
      <alignment wrapText="1"/>
    </xf>
    <xf numFmtId="0" fontId="40" fillId="4" borderId="1" xfId="0" applyFont="1" applyFill="1" applyBorder="1" applyAlignment="1">
      <alignment vertical="top"/>
    </xf>
    <xf numFmtId="3" fontId="52" fillId="4" borderId="26" xfId="0" applyNumberFormat="1" applyFont="1" applyFill="1" applyBorder="1" applyAlignment="1">
      <alignment horizontal="center"/>
    </xf>
    <xf numFmtId="3" fontId="52" fillId="4" borderId="27" xfId="0" applyNumberFormat="1" applyFont="1" applyFill="1" applyBorder="1" applyAlignment="1">
      <alignment horizontal="center"/>
    </xf>
    <xf numFmtId="3" fontId="52" fillId="7" borderId="0" xfId="0" applyNumberFormat="1" applyFont="1" applyFill="1" applyBorder="1" applyAlignment="1">
      <alignment horizontal="right" vertical="top" wrapText="1"/>
    </xf>
    <xf numFmtId="0" fontId="33" fillId="7" borderId="0" xfId="0" applyFont="1" applyFill="1" applyBorder="1" applyAlignment="1">
      <alignment horizontal="right" vertical="top"/>
    </xf>
    <xf numFmtId="0" fontId="45" fillId="7" borderId="0" xfId="0" applyFont="1" applyFill="1" applyBorder="1" applyAlignment="1">
      <alignment horizontal="right" vertical="top"/>
    </xf>
    <xf numFmtId="9" fontId="33" fillId="7" borderId="0" xfId="3" applyFont="1" applyFill="1" applyBorder="1" applyAlignment="1">
      <alignment horizontal="right" vertical="top" wrapText="1"/>
    </xf>
    <xf numFmtId="3" fontId="33" fillId="7" borderId="0" xfId="0" applyNumberFormat="1" applyFont="1" applyFill="1" applyBorder="1" applyAlignment="1">
      <alignment horizontal="right" vertical="top" wrapText="1"/>
    </xf>
    <xf numFmtId="3" fontId="33" fillId="7" borderId="1" xfId="0" applyNumberFormat="1" applyFont="1" applyFill="1" applyBorder="1" applyAlignment="1">
      <alignment horizontal="right" vertical="top" wrapText="1"/>
    </xf>
    <xf numFmtId="0" fontId="58" fillId="7" borderId="0" xfId="0" applyFont="1" applyFill="1" applyAlignment="1">
      <alignment horizontal="center" vertical="top"/>
    </xf>
    <xf numFmtId="3" fontId="33" fillId="7" borderId="0" xfId="0" applyNumberFormat="1" applyFont="1" applyFill="1" applyAlignment="1">
      <alignment vertical="top"/>
    </xf>
    <xf numFmtId="3" fontId="36" fillId="4" borderId="0" xfId="0" applyNumberFormat="1" applyFont="1" applyFill="1" applyAlignment="1">
      <alignment vertical="top"/>
    </xf>
    <xf numFmtId="165" fontId="35" fillId="7" borderId="15" xfId="3" applyNumberFormat="1" applyFont="1" applyFill="1" applyBorder="1" applyAlignment="1">
      <alignment vertical="top"/>
    </xf>
    <xf numFmtId="0" fontId="1" fillId="4" borderId="23" xfId="0" applyFont="1" applyFill="1" applyBorder="1" applyAlignment="1">
      <alignment horizontal="right"/>
    </xf>
    <xf numFmtId="0" fontId="1" fillId="4" borderId="0" xfId="0" applyFont="1" applyFill="1" applyAlignment="1">
      <alignment vertical="top"/>
    </xf>
    <xf numFmtId="0" fontId="45" fillId="4" borderId="0" xfId="0" applyFont="1" applyFill="1" applyAlignment="1">
      <alignment horizontal="right"/>
    </xf>
    <xf numFmtId="0" fontId="1" fillId="4" borderId="0" xfId="0" applyFont="1" applyFill="1"/>
    <xf numFmtId="0" fontId="1" fillId="7" borderId="0" xfId="0" applyFont="1" applyFill="1" applyAlignment="1">
      <alignment horizontal="right"/>
    </xf>
    <xf numFmtId="0" fontId="40" fillId="20" borderId="0" xfId="0" applyFont="1" applyFill="1" applyAlignment="1">
      <alignment vertical="top"/>
    </xf>
    <xf numFmtId="0" fontId="1" fillId="7" borderId="0" xfId="0" applyFont="1" applyFill="1" applyAlignment="1">
      <alignment vertical="top"/>
    </xf>
    <xf numFmtId="0" fontId="17" fillId="7" borderId="24" xfId="0" applyFont="1" applyFill="1" applyBorder="1" applyAlignment="1">
      <alignment horizontal="right" vertical="top"/>
    </xf>
    <xf numFmtId="0" fontId="17" fillId="7" borderId="2" xfId="0" applyFont="1" applyFill="1" applyBorder="1" applyAlignment="1">
      <alignment vertical="top"/>
    </xf>
    <xf numFmtId="0" fontId="40" fillId="7" borderId="0" xfId="0" applyFont="1" applyFill="1" applyBorder="1" applyAlignment="1">
      <alignment horizontal="right" vertical="top"/>
    </xf>
    <xf numFmtId="0" fontId="45" fillId="4" borderId="12" xfId="0" applyFont="1" applyFill="1" applyBorder="1" applyAlignment="1">
      <alignment horizontal="right" vertical="top"/>
    </xf>
    <xf numFmtId="0" fontId="45" fillId="4" borderId="13" xfId="0" applyFont="1" applyFill="1" applyBorder="1" applyAlignment="1">
      <alignment horizontal="right" vertical="top"/>
    </xf>
    <xf numFmtId="0" fontId="45" fillId="11" borderId="12" xfId="0" applyFont="1" applyFill="1" applyBorder="1" applyAlignment="1">
      <alignment horizontal="right" vertical="top"/>
    </xf>
    <xf numFmtId="0" fontId="56" fillId="4" borderId="12" xfId="0" applyFont="1" applyFill="1" applyBorder="1" applyAlignment="1">
      <alignment horizontal="right" vertical="top"/>
    </xf>
    <xf numFmtId="0" fontId="1" fillId="7" borderId="0" xfId="0" applyFont="1" applyFill="1" applyBorder="1" applyAlignment="1">
      <alignment horizontal="right" vertical="top"/>
    </xf>
    <xf numFmtId="169" fontId="54" fillId="11" borderId="12" xfId="2" applyNumberFormat="1" applyFont="1" applyFill="1" applyBorder="1" applyAlignment="1" applyProtection="1">
      <alignment vertical="top"/>
      <protection locked="0"/>
    </xf>
    <xf numFmtId="169" fontId="54" fillId="11" borderId="24" xfId="2" applyNumberFormat="1" applyFont="1" applyFill="1" applyBorder="1" applyAlignment="1" applyProtection="1">
      <alignment vertical="top"/>
      <protection locked="0"/>
    </xf>
    <xf numFmtId="169" fontId="54" fillId="11" borderId="22" xfId="2" applyNumberFormat="1" applyFont="1" applyFill="1" applyBorder="1" applyAlignment="1" applyProtection="1">
      <alignment vertical="top"/>
      <protection locked="0"/>
    </xf>
    <xf numFmtId="169" fontId="54" fillId="11" borderId="15" xfId="2" applyNumberFormat="1" applyFont="1" applyFill="1" applyBorder="1" applyAlignment="1" applyProtection="1">
      <alignment vertical="top"/>
      <protection locked="0"/>
    </xf>
    <xf numFmtId="169" fontId="54" fillId="11" borderId="0" xfId="2" applyNumberFormat="1" applyFont="1" applyFill="1" applyBorder="1" applyAlignment="1" applyProtection="1">
      <alignment vertical="top"/>
      <protection locked="0"/>
    </xf>
    <xf numFmtId="169" fontId="54" fillId="11" borderId="23" xfId="2" applyNumberFormat="1" applyFont="1" applyFill="1" applyBorder="1" applyAlignment="1" applyProtection="1">
      <alignment vertical="top"/>
      <protection locked="0"/>
    </xf>
    <xf numFmtId="169" fontId="54" fillId="11" borderId="13" xfId="2" applyNumberFormat="1" applyFont="1" applyFill="1" applyBorder="1" applyAlignment="1" applyProtection="1">
      <alignment vertical="top"/>
      <protection locked="0"/>
    </xf>
    <xf numFmtId="169" fontId="54" fillId="11" borderId="1" xfId="2" applyNumberFormat="1" applyFont="1" applyFill="1" applyBorder="1" applyAlignment="1" applyProtection="1">
      <alignment vertical="top"/>
      <protection locked="0"/>
    </xf>
    <xf numFmtId="169" fontId="54" fillId="11" borderId="14" xfId="2" applyNumberFormat="1" applyFont="1" applyFill="1" applyBorder="1" applyAlignment="1" applyProtection="1">
      <alignment vertical="top"/>
      <protection locked="0"/>
    </xf>
    <xf numFmtId="3" fontId="54" fillId="4" borderId="26" xfId="0" applyNumberFormat="1" applyFont="1" applyFill="1" applyBorder="1" applyProtection="1">
      <protection locked="0"/>
    </xf>
    <xf numFmtId="3" fontId="54" fillId="4" borderId="27" xfId="0" applyNumberFormat="1" applyFont="1" applyFill="1" applyBorder="1" applyProtection="1">
      <protection locked="0"/>
    </xf>
    <xf numFmtId="3" fontId="54" fillId="4" borderId="25" xfId="0" applyNumberFormat="1" applyFont="1" applyFill="1" applyBorder="1" applyProtection="1">
      <protection locked="0"/>
    </xf>
    <xf numFmtId="0" fontId="1" fillId="11" borderId="0" xfId="0" applyFont="1" applyFill="1" applyBorder="1" applyAlignment="1">
      <alignment vertical="top"/>
    </xf>
    <xf numFmtId="0" fontId="1" fillId="11" borderId="23" xfId="0" applyFont="1" applyFill="1" applyBorder="1" applyAlignment="1">
      <alignment horizontal="right" vertical="top"/>
    </xf>
    <xf numFmtId="9" fontId="54" fillId="11" borderId="15" xfId="3" applyFont="1" applyFill="1" applyBorder="1" applyAlignment="1" applyProtection="1">
      <alignment vertical="center"/>
      <protection locked="0"/>
    </xf>
    <xf numFmtId="9" fontId="54" fillId="11" borderId="0" xfId="3" applyFont="1" applyFill="1" applyBorder="1" applyAlignment="1" applyProtection="1">
      <alignment vertical="center"/>
      <protection locked="0"/>
    </xf>
    <xf numFmtId="9" fontId="54" fillId="11" borderId="23" xfId="3" applyFont="1" applyFill="1" applyBorder="1" applyAlignment="1" applyProtection="1">
      <alignment vertical="center"/>
      <protection locked="0"/>
    </xf>
    <xf numFmtId="9" fontId="54" fillId="11" borderId="13" xfId="3" applyFont="1" applyFill="1" applyBorder="1" applyAlignment="1">
      <alignment vertical="center"/>
    </xf>
    <xf numFmtId="9" fontId="54" fillId="11" borderId="1" xfId="3" applyFont="1" applyFill="1" applyBorder="1" applyAlignment="1">
      <alignment vertical="center"/>
    </xf>
    <xf numFmtId="9" fontId="54" fillId="11" borderId="14" xfId="3" applyFont="1" applyFill="1" applyBorder="1" applyAlignment="1">
      <alignment vertical="center"/>
    </xf>
    <xf numFmtId="14" fontId="1" fillId="4" borderId="0" xfId="0" applyNumberFormat="1" applyFont="1" applyFill="1" applyBorder="1" applyAlignment="1" applyProtection="1">
      <alignment horizontal="left" vertical="top" wrapText="1"/>
      <protection locked="0"/>
    </xf>
    <xf numFmtId="0" fontId="1" fillId="4" borderId="0" xfId="0" applyFont="1" applyFill="1" applyBorder="1" applyAlignment="1" applyProtection="1">
      <alignment vertical="top" wrapText="1"/>
      <protection locked="0"/>
    </xf>
    <xf numFmtId="166" fontId="54" fillId="11" borderId="2" xfId="2" applyNumberFormat="1" applyFont="1" applyFill="1" applyBorder="1" applyAlignment="1" applyProtection="1">
      <alignment vertical="top"/>
      <protection locked="0"/>
    </xf>
    <xf numFmtId="166" fontId="54" fillId="11" borderId="11" xfId="2" applyNumberFormat="1" applyFont="1" applyFill="1" applyBorder="1" applyAlignment="1" applyProtection="1">
      <alignment vertical="top"/>
      <protection locked="0"/>
    </xf>
    <xf numFmtId="0" fontId="45" fillId="11" borderId="0" xfId="0" applyFont="1" applyFill="1" applyBorder="1" applyAlignment="1">
      <alignment horizontal="right" vertical="top" wrapText="1"/>
    </xf>
    <xf numFmtId="166" fontId="43" fillId="11" borderId="10" xfId="2" applyNumberFormat="1" applyFont="1" applyFill="1" applyBorder="1" applyAlignment="1">
      <alignment vertical="top"/>
    </xf>
    <xf numFmtId="166" fontId="43" fillId="11" borderId="2" xfId="2" applyNumberFormat="1" applyFont="1" applyFill="1" applyBorder="1" applyAlignment="1">
      <alignment vertical="top"/>
    </xf>
    <xf numFmtId="166" fontId="43" fillId="11" borderId="11" xfId="2" applyNumberFormat="1" applyFont="1" applyFill="1" applyBorder="1" applyAlignment="1">
      <alignment vertical="top"/>
    </xf>
    <xf numFmtId="3" fontId="20" fillId="4" borderId="42" xfId="0" applyNumberFormat="1" applyFont="1" applyFill="1" applyBorder="1" applyAlignment="1">
      <alignment vertical="top"/>
    </xf>
    <xf numFmtId="3" fontId="20" fillId="4" borderId="44" xfId="0" applyNumberFormat="1" applyFont="1" applyFill="1" applyBorder="1" applyAlignment="1">
      <alignment vertical="top"/>
    </xf>
    <xf numFmtId="3" fontId="20" fillId="4" borderId="47" xfId="0" applyNumberFormat="1" applyFont="1" applyFill="1" applyBorder="1" applyAlignment="1">
      <alignment vertical="top"/>
    </xf>
    <xf numFmtId="0" fontId="102" fillId="11" borderId="23" xfId="7" quotePrefix="1" applyFont="1" applyFill="1" applyBorder="1" applyAlignment="1" applyProtection="1">
      <alignment vertical="top" wrapText="1"/>
      <protection locked="0"/>
    </xf>
    <xf numFmtId="0" fontId="102" fillId="11" borderId="14" xfId="7" quotePrefix="1" applyFont="1" applyFill="1" applyBorder="1" applyAlignment="1" applyProtection="1">
      <alignment vertical="top" wrapText="1"/>
      <protection locked="0"/>
    </xf>
    <xf numFmtId="0" fontId="59" fillId="4" borderId="23" xfId="0" applyFont="1" applyFill="1" applyBorder="1" applyAlignment="1">
      <alignment vertical="top" wrapText="1"/>
    </xf>
    <xf numFmtId="0" fontId="1" fillId="4" borderId="0" xfId="0" applyFont="1" applyFill="1" applyAlignment="1">
      <alignment horizontal="right" vertical="top"/>
    </xf>
    <xf numFmtId="3" fontId="30" fillId="4" borderId="0" xfId="0" applyNumberFormat="1" applyFont="1" applyFill="1" applyAlignment="1">
      <alignment vertical="top"/>
    </xf>
    <xf numFmtId="0" fontId="91" fillId="4" borderId="0" xfId="0" applyFont="1" applyFill="1" applyBorder="1" applyAlignment="1"/>
    <xf numFmtId="3" fontId="54" fillId="4" borderId="12" xfId="0" applyNumberFormat="1" applyFont="1" applyFill="1" applyBorder="1" applyAlignment="1">
      <alignment horizontal="right" wrapText="1"/>
    </xf>
    <xf numFmtId="3" fontId="54" fillId="4" borderId="15" xfId="0" applyNumberFormat="1" applyFont="1" applyFill="1" applyBorder="1" applyAlignment="1">
      <alignment horizontal="right" wrapText="1"/>
    </xf>
    <xf numFmtId="0" fontId="9" fillId="4" borderId="0" xfId="0" applyFont="1" applyFill="1" applyBorder="1" applyAlignment="1">
      <alignment horizontal="right"/>
    </xf>
    <xf numFmtId="0" fontId="43" fillId="4" borderId="23" xfId="6" applyFont="1" applyFill="1" applyBorder="1" applyAlignment="1">
      <alignment horizontal="right"/>
    </xf>
    <xf numFmtId="0" fontId="9" fillId="4" borderId="23" xfId="0" applyFont="1" applyFill="1" applyBorder="1" applyAlignment="1">
      <alignment horizontal="right" vertical="top"/>
    </xf>
    <xf numFmtId="3" fontId="54" fillId="4" borderId="13" xfId="0" applyNumberFormat="1" applyFont="1" applyFill="1" applyBorder="1" applyAlignment="1">
      <alignment horizontal="right" wrapText="1"/>
    </xf>
    <xf numFmtId="0" fontId="45" fillId="4" borderId="12" xfId="0" applyFont="1" applyFill="1" applyBorder="1" applyAlignment="1">
      <alignment horizontal="right" vertical="top"/>
    </xf>
    <xf numFmtId="0" fontId="45" fillId="4" borderId="15" xfId="0" applyFont="1" applyFill="1" applyBorder="1" applyAlignment="1">
      <alignment horizontal="right" vertical="top"/>
    </xf>
    <xf numFmtId="0" fontId="45" fillId="4" borderId="13" xfId="0" applyFont="1" applyFill="1" applyBorder="1" applyAlignment="1">
      <alignment horizontal="right" vertical="top"/>
    </xf>
    <xf numFmtId="0" fontId="56" fillId="11" borderId="12" xfId="0" applyFont="1" applyFill="1" applyBorder="1" applyAlignment="1">
      <alignment horizontal="right" vertical="top"/>
    </xf>
    <xf numFmtId="0" fontId="45" fillId="11" borderId="12" xfId="0" applyFont="1" applyFill="1" applyBorder="1" applyAlignment="1">
      <alignment horizontal="right" vertical="top"/>
    </xf>
    <xf numFmtId="0" fontId="56" fillId="4" borderId="12" xfId="0" applyFont="1" applyFill="1" applyBorder="1" applyAlignment="1">
      <alignment horizontal="right" vertical="top"/>
    </xf>
    <xf numFmtId="0" fontId="56" fillId="4" borderId="13" xfId="0" applyFont="1" applyFill="1" applyBorder="1" applyAlignment="1">
      <alignment horizontal="right" vertical="top"/>
    </xf>
    <xf numFmtId="0" fontId="56" fillId="4" borderId="15" xfId="0" applyFont="1" applyFill="1" applyBorder="1" applyAlignment="1">
      <alignment horizontal="right" vertical="top"/>
    </xf>
    <xf numFmtId="0" fontId="62" fillId="11" borderId="14" xfId="0" applyFont="1" applyFill="1" applyBorder="1" applyAlignment="1">
      <alignment vertical="top"/>
    </xf>
    <xf numFmtId="3" fontId="54" fillId="4" borderId="10" xfId="0" applyNumberFormat="1" applyFont="1" applyFill="1" applyBorder="1" applyAlignment="1">
      <alignment vertical="top"/>
    </xf>
    <xf numFmtId="3" fontId="54" fillId="4" borderId="11" xfId="0" applyNumberFormat="1" applyFont="1" applyFill="1" applyBorder="1" applyAlignment="1">
      <alignment vertical="top"/>
    </xf>
    <xf numFmtId="0" fontId="1" fillId="4" borderId="0" xfId="0" applyFont="1" applyFill="1" applyAlignment="1">
      <alignment horizontal="left" vertical="top"/>
    </xf>
    <xf numFmtId="3" fontId="54" fillId="4" borderId="30" xfId="0" applyNumberFormat="1" applyFont="1" applyFill="1" applyBorder="1" applyAlignment="1" applyProtection="1">
      <alignment wrapText="1"/>
      <protection locked="0"/>
    </xf>
    <xf numFmtId="0" fontId="1" fillId="4" borderId="11" xfId="0" applyFont="1" applyFill="1" applyBorder="1" applyAlignment="1">
      <alignment vertical="top" wrapText="1"/>
    </xf>
    <xf numFmtId="0" fontId="16" fillId="4" borderId="0" xfId="0" applyFont="1" applyFill="1" applyAlignment="1">
      <alignment horizontal="right" indent="1"/>
    </xf>
    <xf numFmtId="0" fontId="1" fillId="4" borderId="0" xfId="0" applyFont="1" applyFill="1" applyAlignment="1">
      <alignment horizontal="right"/>
    </xf>
    <xf numFmtId="3" fontId="54" fillId="4" borderId="26" xfId="3" applyNumberFormat="1" applyFont="1" applyFill="1" applyBorder="1" applyAlignment="1">
      <alignment vertical="top"/>
    </xf>
    <xf numFmtId="3" fontId="54" fillId="4" borderId="27" xfId="3" applyNumberFormat="1" applyFont="1" applyFill="1" applyBorder="1" applyAlignment="1">
      <alignment vertical="top"/>
    </xf>
    <xf numFmtId="3" fontId="54" fillId="4" borderId="25" xfId="3" applyNumberFormat="1" applyFont="1" applyFill="1" applyBorder="1" applyAlignment="1">
      <alignment vertical="top"/>
    </xf>
    <xf numFmtId="3" fontId="54" fillId="4" borderId="30" xfId="0" applyNumberFormat="1" applyFont="1" applyFill="1" applyBorder="1" applyAlignment="1">
      <alignment wrapText="1"/>
    </xf>
    <xf numFmtId="3" fontId="54" fillId="4" borderId="12" xfId="0" applyNumberFormat="1" applyFont="1" applyFill="1" applyBorder="1" applyAlignment="1">
      <alignment vertical="top" wrapText="1"/>
    </xf>
    <xf numFmtId="0" fontId="54" fillId="4" borderId="22" xfId="0" applyFont="1" applyFill="1" applyBorder="1" applyAlignment="1">
      <alignment vertical="top" wrapText="1"/>
    </xf>
    <xf numFmtId="0" fontId="54" fillId="4" borderId="13" xfId="0" applyFont="1" applyFill="1" applyBorder="1" applyAlignment="1">
      <alignment vertical="top" wrapText="1"/>
    </xf>
    <xf numFmtId="3" fontId="54" fillId="4" borderId="14" xfId="0" applyNumberFormat="1" applyFont="1" applyFill="1" applyBorder="1" applyAlignment="1">
      <alignment vertical="top" wrapText="1"/>
    </xf>
    <xf numFmtId="0" fontId="62" fillId="4" borderId="22" xfId="0" applyFont="1" applyFill="1" applyBorder="1" applyAlignment="1">
      <alignment vertical="top" wrapText="1"/>
    </xf>
    <xf numFmtId="0" fontId="56" fillId="4" borderId="24" xfId="0" applyFont="1" applyFill="1" applyBorder="1" applyAlignment="1">
      <alignment horizontal="right" vertical="top"/>
    </xf>
    <xf numFmtId="0" fontId="62" fillId="4" borderId="24" xfId="0" applyFont="1" applyFill="1" applyBorder="1" applyAlignment="1">
      <alignment vertical="top" wrapText="1"/>
    </xf>
    <xf numFmtId="15" fontId="43" fillId="4" borderId="11" xfId="0" applyNumberFormat="1" applyFont="1" applyFill="1" applyBorder="1" applyAlignment="1" applyProtection="1">
      <alignment horizontal="left" vertical="top" wrapText="1"/>
      <protection locked="0"/>
    </xf>
    <xf numFmtId="0" fontId="123" fillId="11" borderId="0" xfId="0" applyFont="1" applyFill="1" applyBorder="1" applyAlignment="1">
      <alignment horizontal="left" vertical="top"/>
    </xf>
    <xf numFmtId="0" fontId="1" fillId="11" borderId="11" xfId="0" applyFont="1" applyFill="1" applyBorder="1" applyAlignment="1">
      <alignment vertical="top"/>
    </xf>
    <xf numFmtId="0" fontId="1" fillId="11" borderId="13" xfId="0" applyFont="1" applyFill="1" applyBorder="1" applyAlignment="1">
      <alignment vertical="top"/>
    </xf>
    <xf numFmtId="0" fontId="1" fillId="11" borderId="14" xfId="0" applyFont="1" applyFill="1" applyBorder="1" applyAlignment="1">
      <alignment vertical="top"/>
    </xf>
    <xf numFmtId="0" fontId="1" fillId="11" borderId="13" xfId="0" applyFont="1" applyFill="1" applyBorder="1" applyAlignment="1">
      <alignment horizontal="right" vertical="top"/>
    </xf>
    <xf numFmtId="0" fontId="1" fillId="11" borderId="15" xfId="0" applyFont="1" applyFill="1" applyBorder="1" applyAlignment="1">
      <alignment horizontal="right" vertical="top"/>
    </xf>
    <xf numFmtId="0" fontId="123" fillId="4" borderId="0" xfId="0" applyFont="1" applyFill="1" applyBorder="1" applyAlignment="1">
      <alignment horizontal="left" vertical="top"/>
    </xf>
    <xf numFmtId="0" fontId="1" fillId="4" borderId="22" xfId="0" applyFont="1" applyFill="1" applyBorder="1" applyAlignment="1">
      <alignment horizontal="left" vertical="top" wrapText="1"/>
    </xf>
    <xf numFmtId="15" fontId="43" fillId="11" borderId="11" xfId="0" applyNumberFormat="1" applyFont="1" applyFill="1" applyBorder="1" applyAlignment="1" applyProtection="1">
      <alignment horizontal="left" vertical="top" wrapText="1"/>
      <protection locked="0"/>
    </xf>
    <xf numFmtId="14" fontId="43" fillId="11" borderId="11" xfId="0" applyNumberFormat="1" applyFont="1" applyFill="1" applyBorder="1" applyAlignment="1" applyProtection="1">
      <alignment horizontal="left" vertical="top" wrapText="1"/>
      <protection locked="0"/>
    </xf>
    <xf numFmtId="14" fontId="43" fillId="4" borderId="11" xfId="0" applyNumberFormat="1" applyFont="1" applyFill="1" applyBorder="1" applyAlignment="1" applyProtection="1">
      <alignment horizontal="left" vertical="top" wrapText="1"/>
      <protection locked="0"/>
    </xf>
    <xf numFmtId="3" fontId="52" fillId="4" borderId="0" xfId="0" applyNumberFormat="1" applyFont="1" applyFill="1"/>
    <xf numFmtId="9" fontId="1" fillId="4" borderId="0" xfId="3" applyFont="1" applyFill="1"/>
    <xf numFmtId="9" fontId="1" fillId="10" borderId="10" xfId="3" applyFont="1" applyFill="1" applyBorder="1" applyAlignment="1" applyProtection="1">
      <alignment vertical="top"/>
      <protection locked="0"/>
    </xf>
    <xf numFmtId="9" fontId="1" fillId="10" borderId="2" xfId="3" applyFont="1" applyFill="1" applyBorder="1" applyAlignment="1" applyProtection="1">
      <alignment vertical="top"/>
      <protection locked="0"/>
    </xf>
    <xf numFmtId="9" fontId="1" fillId="10" borderId="11" xfId="3" applyFont="1" applyFill="1" applyBorder="1" applyAlignment="1" applyProtection="1">
      <alignment vertical="top"/>
      <protection locked="0"/>
    </xf>
    <xf numFmtId="0" fontId="1" fillId="11" borderId="11" xfId="0" applyFont="1" applyFill="1" applyBorder="1" applyAlignment="1">
      <alignment vertical="top" wrapText="1"/>
    </xf>
    <xf numFmtId="166" fontId="54" fillId="4" borderId="10" xfId="21" applyNumberFormat="1" applyFont="1" applyFill="1" applyBorder="1" applyAlignment="1" applyProtection="1">
      <alignment vertical="top"/>
      <protection locked="0"/>
    </xf>
    <xf numFmtId="166" fontId="54" fillId="4" borderId="2" xfId="21" applyNumberFormat="1" applyFont="1" applyFill="1" applyBorder="1" applyAlignment="1" applyProtection="1">
      <alignment vertical="top"/>
      <protection locked="0"/>
    </xf>
    <xf numFmtId="166" fontId="54" fillId="4" borderId="11" xfId="21" applyNumberFormat="1" applyFont="1" applyFill="1" applyBorder="1" applyAlignment="1" applyProtection="1">
      <alignment vertical="top"/>
      <protection locked="0"/>
    </xf>
    <xf numFmtId="0" fontId="45" fillId="4" borderId="12" xfId="0" applyFont="1" applyFill="1" applyBorder="1" applyAlignment="1">
      <alignment horizontal="right" vertical="top" wrapText="1"/>
    </xf>
    <xf numFmtId="0" fontId="35" fillId="4" borderId="13" xfId="0" applyFont="1" applyFill="1" applyBorder="1" applyAlignment="1">
      <alignment vertical="top" wrapText="1"/>
    </xf>
    <xf numFmtId="0" fontId="1" fillId="4" borderId="12" xfId="0" applyFont="1" applyFill="1" applyBorder="1" applyAlignment="1">
      <alignment horizontal="right" vertical="top" wrapText="1"/>
    </xf>
    <xf numFmtId="9" fontId="1" fillId="11" borderId="10" xfId="3" applyFont="1" applyFill="1" applyBorder="1" applyAlignment="1" applyProtection="1">
      <alignment vertical="top"/>
      <protection locked="0"/>
    </xf>
    <xf numFmtId="9" fontId="1" fillId="11" borderId="2" xfId="3" applyFont="1" applyFill="1" applyBorder="1" applyAlignment="1" applyProtection="1">
      <alignment vertical="top"/>
      <protection locked="0"/>
    </xf>
    <xf numFmtId="9" fontId="1" fillId="11" borderId="11" xfId="3" applyFont="1" applyFill="1" applyBorder="1" applyAlignment="1" applyProtection="1">
      <alignment vertical="top"/>
      <protection locked="0"/>
    </xf>
    <xf numFmtId="0" fontId="56" fillId="4" borderId="12" xfId="0" applyFont="1" applyFill="1" applyBorder="1" applyAlignment="1">
      <alignment horizontal="right" vertical="top"/>
    </xf>
    <xf numFmtId="3" fontId="54" fillId="4" borderId="58" xfId="2" applyNumberFormat="1" applyFont="1" applyFill="1" applyBorder="1" applyAlignment="1" applyProtection="1">
      <alignment vertical="top"/>
      <protection locked="0"/>
    </xf>
    <xf numFmtId="14" fontId="43" fillId="4" borderId="11" xfId="0" applyNumberFormat="1" applyFont="1" applyFill="1" applyBorder="1" applyAlignment="1" applyProtection="1">
      <alignment vertical="top" wrapText="1"/>
      <protection locked="0"/>
    </xf>
    <xf numFmtId="0" fontId="1" fillId="11" borderId="11" xfId="0" applyFont="1" applyFill="1" applyBorder="1" applyAlignment="1" applyProtection="1">
      <alignment vertical="top" wrapText="1"/>
      <protection locked="0"/>
    </xf>
    <xf numFmtId="15" fontId="43" fillId="4" borderId="11" xfId="0" applyNumberFormat="1" applyFont="1" applyFill="1" applyBorder="1" applyAlignment="1" applyProtection="1">
      <alignment vertical="top" wrapText="1"/>
      <protection locked="0"/>
    </xf>
    <xf numFmtId="0" fontId="74" fillId="11" borderId="4" xfId="0" applyFont="1" applyFill="1" applyBorder="1" applyAlignment="1">
      <alignment horizontal="center"/>
    </xf>
    <xf numFmtId="0" fontId="57" fillId="11" borderId="0" xfId="0" applyFont="1" applyFill="1" applyBorder="1" applyAlignment="1">
      <alignment horizontal="right"/>
    </xf>
    <xf numFmtId="0" fontId="43" fillId="4" borderId="0" xfId="0" applyFont="1" applyFill="1" applyBorder="1" applyAlignment="1">
      <alignment horizontal="right"/>
    </xf>
    <xf numFmtId="3" fontId="43" fillId="0" borderId="0" xfId="0" applyNumberFormat="1" applyFont="1" applyFill="1" applyBorder="1"/>
    <xf numFmtId="0" fontId="43" fillId="4" borderId="4" xfId="0" applyFont="1" applyFill="1" applyBorder="1" applyAlignment="1">
      <alignment horizontal="right"/>
    </xf>
    <xf numFmtId="0" fontId="43" fillId="4" borderId="4" xfId="0" applyFont="1" applyFill="1" applyBorder="1"/>
    <xf numFmtId="0" fontId="43" fillId="4" borderId="3" xfId="0" applyFont="1" applyFill="1" applyBorder="1"/>
    <xf numFmtId="0" fontId="43" fillId="4" borderId="3" xfId="0" applyFont="1" applyFill="1" applyBorder="1" applyAlignment="1">
      <alignment horizontal="right"/>
    </xf>
    <xf numFmtId="4" fontId="43" fillId="0" borderId="5" xfId="0" applyNumberFormat="1" applyFont="1" applyFill="1" applyBorder="1"/>
    <xf numFmtId="0" fontId="43" fillId="11" borderId="4" xfId="0" applyFont="1" applyFill="1" applyBorder="1" applyAlignment="1"/>
    <xf numFmtId="0" fontId="43" fillId="11" borderId="3" xfId="0" applyFont="1" applyFill="1" applyBorder="1" applyAlignment="1"/>
    <xf numFmtId="0" fontId="43" fillId="14" borderId="8" xfId="0" applyFont="1" applyFill="1" applyBorder="1"/>
    <xf numFmtId="0" fontId="43" fillId="4" borderId="6" xfId="0" applyFont="1" applyFill="1" applyBorder="1"/>
    <xf numFmtId="0" fontId="43" fillId="4" borderId="8" xfId="0" applyFont="1" applyFill="1" applyBorder="1"/>
    <xf numFmtId="0" fontId="43" fillId="4" borderId="6" xfId="0" applyFont="1" applyFill="1" applyBorder="1" applyAlignment="1">
      <alignment horizontal="right"/>
    </xf>
    <xf numFmtId="0" fontId="43" fillId="4" borderId="7" xfId="0" applyFont="1" applyFill="1" applyBorder="1"/>
    <xf numFmtId="0" fontId="43" fillId="11" borderId="4" xfId="0" applyFont="1" applyFill="1" applyBorder="1"/>
    <xf numFmtId="0" fontId="43" fillId="11" borderId="6" xfId="0" applyFont="1" applyFill="1" applyBorder="1"/>
    <xf numFmtId="0" fontId="57" fillId="11" borderId="0" xfId="6" applyFont="1" applyFill="1" applyBorder="1" applyAlignment="1">
      <alignment horizontal="right" vertical="center" wrapText="1"/>
    </xf>
    <xf numFmtId="0" fontId="57" fillId="11" borderId="5" xfId="6" applyFont="1" applyFill="1" applyBorder="1" applyAlignment="1">
      <alignment horizontal="right" vertical="center" wrapText="1"/>
    </xf>
    <xf numFmtId="0" fontId="57" fillId="11" borderId="5" xfId="0" applyFont="1" applyFill="1" applyBorder="1" applyAlignment="1">
      <alignment horizontal="right"/>
    </xf>
    <xf numFmtId="170" fontId="43" fillId="0" borderId="5" xfId="0" applyNumberFormat="1" applyFont="1" applyFill="1" applyBorder="1"/>
    <xf numFmtId="170" fontId="43" fillId="0" borderId="0" xfId="0" applyNumberFormat="1" applyFont="1" applyFill="1" applyBorder="1"/>
    <xf numFmtId="4" fontId="43" fillId="0" borderId="0" xfId="0" applyNumberFormat="1" applyFont="1" applyFill="1" applyBorder="1"/>
    <xf numFmtId="4" fontId="43" fillId="0" borderId="4" xfId="0" applyNumberFormat="1" applyFont="1" applyFill="1" applyBorder="1"/>
    <xf numFmtId="3" fontId="43" fillId="4" borderId="4" xfId="0" applyNumberFormat="1" applyFont="1" applyFill="1" applyBorder="1"/>
    <xf numFmtId="9" fontId="43" fillId="4" borderId="3" xfId="3" applyFont="1" applyFill="1" applyBorder="1"/>
    <xf numFmtId="0" fontId="55" fillId="4" borderId="0" xfId="0" applyFont="1" applyFill="1" applyBorder="1"/>
    <xf numFmtId="0" fontId="55" fillId="4" borderId="0" xfId="0" applyFont="1" applyFill="1" applyBorder="1" applyAlignment="1">
      <alignment horizontal="right"/>
    </xf>
    <xf numFmtId="170" fontId="43" fillId="4" borderId="0" xfId="0" applyNumberFormat="1" applyFont="1" applyFill="1" applyBorder="1"/>
    <xf numFmtId="4" fontId="43" fillId="4" borderId="0" xfId="0" applyNumberFormat="1" applyFont="1" applyFill="1" applyBorder="1"/>
    <xf numFmtId="0" fontId="57" fillId="11" borderId="7" xfId="0" applyFont="1" applyFill="1" applyBorder="1"/>
    <xf numFmtId="0" fontId="55" fillId="4" borderId="0" xfId="0" applyFont="1" applyFill="1" applyBorder="1" applyAlignment="1">
      <alignment horizontal="center"/>
    </xf>
    <xf numFmtId="4" fontId="43" fillId="0" borderId="16" xfId="0" applyNumberFormat="1" applyFont="1" applyFill="1" applyBorder="1"/>
    <xf numFmtId="0" fontId="57" fillId="14" borderId="6" xfId="0" applyFont="1" applyFill="1" applyBorder="1" applyAlignment="1">
      <alignment horizontal="left" indent="1"/>
    </xf>
    <xf numFmtId="0" fontId="57" fillId="11" borderId="6" xfId="0" applyFont="1" applyFill="1" applyBorder="1" applyAlignment="1">
      <alignment horizontal="left" vertical="top" indent="1"/>
    </xf>
    <xf numFmtId="0" fontId="1" fillId="4" borderId="0" xfId="0" applyFont="1" applyFill="1" applyBorder="1" applyAlignment="1">
      <alignment horizontal="right"/>
    </xf>
    <xf numFmtId="0" fontId="1" fillId="4" borderId="0" xfId="7" applyFont="1" applyFill="1" applyBorder="1" applyAlignment="1">
      <alignment horizontal="left"/>
    </xf>
    <xf numFmtId="3" fontId="43" fillId="4" borderId="7" xfId="0" applyNumberFormat="1" applyFont="1" applyFill="1" applyBorder="1"/>
    <xf numFmtId="9" fontId="43" fillId="4" borderId="8" xfId="3" applyFont="1" applyFill="1" applyBorder="1"/>
    <xf numFmtId="170" fontId="43" fillId="4" borderId="7" xfId="0" applyNumberFormat="1" applyFont="1" applyFill="1" applyBorder="1"/>
    <xf numFmtId="170" fontId="43" fillId="4" borderId="4" xfId="0" applyNumberFormat="1" applyFont="1" applyFill="1" applyBorder="1"/>
    <xf numFmtId="170" fontId="43" fillId="4" borderId="6" xfId="0" applyNumberFormat="1" applyFont="1" applyFill="1" applyBorder="1"/>
    <xf numFmtId="170" fontId="43" fillId="4" borderId="8" xfId="0" applyNumberFormat="1" applyFont="1" applyFill="1" applyBorder="1"/>
    <xf numFmtId="170" fontId="43" fillId="4" borderId="3" xfId="0" applyNumberFormat="1" applyFont="1" applyFill="1" applyBorder="1"/>
    <xf numFmtId="0" fontId="74" fillId="11" borderId="4" xfId="0" applyFont="1" applyFill="1" applyBorder="1" applyAlignment="1"/>
    <xf numFmtId="0" fontId="74" fillId="11" borderId="16" xfId="0" applyFont="1" applyFill="1" applyBorder="1" applyAlignment="1"/>
    <xf numFmtId="9" fontId="43" fillId="4" borderId="6" xfId="3" applyFont="1" applyFill="1" applyBorder="1"/>
    <xf numFmtId="0" fontId="74" fillId="11" borderId="7" xfId="0" applyFont="1" applyFill="1" applyBorder="1" applyAlignment="1"/>
    <xf numFmtId="0" fontId="43" fillId="11" borderId="0" xfId="0" applyFont="1" applyFill="1" applyBorder="1" applyAlignment="1">
      <alignment horizontal="center"/>
    </xf>
    <xf numFmtId="3" fontId="43" fillId="4" borderId="8" xfId="0" applyNumberFormat="1" applyFont="1" applyFill="1" applyBorder="1"/>
    <xf numFmtId="0" fontId="74" fillId="11" borderId="29" xfId="0" applyFont="1" applyFill="1" applyBorder="1" applyAlignment="1"/>
    <xf numFmtId="0" fontId="74" fillId="11" borderId="28" xfId="0" applyFont="1" applyFill="1" applyBorder="1" applyAlignment="1"/>
    <xf numFmtId="0" fontId="74" fillId="11" borderId="21" xfId="0" applyFont="1" applyFill="1" applyBorder="1" applyAlignment="1"/>
    <xf numFmtId="0" fontId="126" fillId="26" borderId="0" xfId="0" applyFont="1" applyFill="1" applyBorder="1"/>
    <xf numFmtId="0" fontId="127" fillId="26" borderId="0" xfId="0" applyFont="1" applyFill="1" applyAlignment="1">
      <alignment vertical="top"/>
    </xf>
    <xf numFmtId="0" fontId="126" fillId="26" borderId="0" xfId="0" applyFont="1" applyFill="1" applyBorder="1" applyAlignment="1"/>
    <xf numFmtId="0" fontId="127" fillId="26" borderId="0" xfId="0" applyFont="1" applyFill="1" applyBorder="1" applyAlignment="1">
      <alignment vertical="top"/>
    </xf>
    <xf numFmtId="0" fontId="127" fillId="26" borderId="0" xfId="0" applyFont="1" applyFill="1" applyAlignment="1">
      <alignment vertical="top" wrapText="1"/>
    </xf>
    <xf numFmtId="0" fontId="44" fillId="25" borderId="0" xfId="0" applyFont="1" applyFill="1" applyBorder="1" applyAlignment="1">
      <alignment vertical="top"/>
    </xf>
    <xf numFmtId="0" fontId="44" fillId="25" borderId="0" xfId="0" applyFont="1" applyFill="1" applyAlignment="1">
      <alignment vertical="top" wrapText="1"/>
    </xf>
    <xf numFmtId="0" fontId="44" fillId="25" borderId="0" xfId="0" applyFont="1" applyFill="1" applyAlignment="1">
      <alignment vertical="top"/>
    </xf>
    <xf numFmtId="0" fontId="109" fillId="25" borderId="0" xfId="0" applyFont="1" applyFill="1" applyAlignment="1">
      <alignment vertical="top"/>
    </xf>
    <xf numFmtId="0" fontId="41" fillId="25" borderId="0" xfId="0" applyFont="1" applyFill="1" applyBorder="1"/>
    <xf numFmtId="0" fontId="41" fillId="25" borderId="0" xfId="0" applyFont="1" applyFill="1" applyBorder="1" applyAlignment="1"/>
    <xf numFmtId="0" fontId="41" fillId="8" borderId="0" xfId="0" applyFont="1" applyFill="1" applyBorder="1"/>
    <xf numFmtId="0" fontId="44" fillId="8" borderId="0" xfId="0" applyFont="1" applyFill="1" applyAlignment="1">
      <alignment vertical="top"/>
    </xf>
    <xf numFmtId="0" fontId="41" fillId="8" borderId="0" xfId="0" applyFont="1" applyFill="1" applyBorder="1" applyAlignment="1"/>
    <xf numFmtId="0" fontId="126" fillId="24" borderId="0" xfId="0" applyFont="1" applyFill="1" applyBorder="1"/>
    <xf numFmtId="0" fontId="127" fillId="24" borderId="0" xfId="0" applyFont="1" applyFill="1" applyAlignment="1">
      <alignment vertical="top"/>
    </xf>
    <xf numFmtId="0" fontId="126" fillId="24" borderId="0" xfId="0" applyFont="1" applyFill="1" applyBorder="1" applyAlignment="1"/>
    <xf numFmtId="0" fontId="127" fillId="24" borderId="0" xfId="0" applyFont="1" applyFill="1" applyBorder="1" applyAlignment="1">
      <alignment vertical="top"/>
    </xf>
    <xf numFmtId="0" fontId="127" fillId="24" borderId="0" xfId="0" applyFont="1" applyFill="1" applyAlignment="1">
      <alignment vertical="top" wrapText="1"/>
    </xf>
    <xf numFmtId="0" fontId="44" fillId="15" borderId="0" xfId="0" applyFont="1" applyFill="1" applyBorder="1" applyAlignment="1">
      <alignment vertical="top"/>
    </xf>
    <xf numFmtId="0" fontId="44" fillId="15" borderId="0" xfId="0" applyFont="1" applyFill="1" applyAlignment="1">
      <alignment vertical="top" wrapText="1"/>
    </xf>
    <xf numFmtId="0" fontId="44" fillId="15" borderId="0" xfId="0" applyFont="1" applyFill="1" applyAlignment="1">
      <alignment vertical="top"/>
    </xf>
    <xf numFmtId="0" fontId="109" fillId="15" borderId="0" xfId="0" applyFont="1" applyFill="1" applyAlignment="1">
      <alignment vertical="top"/>
    </xf>
    <xf numFmtId="0" fontId="41" fillId="15" borderId="0" xfId="0" applyFont="1" applyFill="1" applyBorder="1"/>
    <xf numFmtId="0" fontId="41" fillId="15" borderId="0" xfId="0" applyFont="1" applyFill="1" applyBorder="1" applyAlignment="1"/>
    <xf numFmtId="0" fontId="44" fillId="8" borderId="0" xfId="0" applyFont="1" applyFill="1" applyBorder="1" applyAlignment="1">
      <alignment vertical="top"/>
    </xf>
    <xf numFmtId="0" fontId="44" fillId="8" borderId="0" xfId="0" applyFont="1" applyFill="1" applyAlignment="1">
      <alignment vertical="top" wrapText="1"/>
    </xf>
    <xf numFmtId="0" fontId="109" fillId="8" borderId="0" xfId="0" applyFont="1" applyFill="1" applyAlignment="1">
      <alignment vertical="top"/>
    </xf>
    <xf numFmtId="0" fontId="41" fillId="22" borderId="0" xfId="0" applyFont="1" applyFill="1" applyBorder="1"/>
    <xf numFmtId="0" fontId="44" fillId="22" borderId="0" xfId="0" applyFont="1" applyFill="1" applyAlignment="1">
      <alignment vertical="top"/>
    </xf>
    <xf numFmtId="0" fontId="41" fillId="22" borderId="0" xfId="0" applyFont="1" applyFill="1" applyBorder="1" applyAlignment="1"/>
    <xf numFmtId="0" fontId="44" fillId="22" borderId="0" xfId="0" applyFont="1" applyFill="1" applyBorder="1" applyAlignment="1">
      <alignment vertical="top"/>
    </xf>
    <xf numFmtId="0" fontId="44" fillId="22" borderId="0" xfId="0" applyFont="1" applyFill="1" applyAlignment="1">
      <alignment vertical="top" wrapText="1"/>
    </xf>
    <xf numFmtId="0" fontId="109" fillId="22" borderId="0" xfId="0" applyFont="1" applyFill="1" applyAlignment="1">
      <alignment vertical="top"/>
    </xf>
    <xf numFmtId="0" fontId="126" fillId="21" borderId="0" xfId="0" applyFont="1" applyFill="1" applyBorder="1"/>
    <xf numFmtId="0" fontId="127" fillId="21" borderId="0" xfId="0" applyFont="1" applyFill="1" applyAlignment="1">
      <alignment vertical="top"/>
    </xf>
    <xf numFmtId="0" fontId="126" fillId="21" borderId="0" xfId="0" applyFont="1" applyFill="1" applyBorder="1" applyAlignment="1"/>
    <xf numFmtId="0" fontId="127" fillId="21" borderId="0" xfId="0" applyFont="1" applyFill="1" applyBorder="1" applyAlignment="1">
      <alignment vertical="top"/>
    </xf>
    <xf numFmtId="0" fontId="127" fillId="21" borderId="0" xfId="0" applyFont="1" applyFill="1" applyAlignment="1">
      <alignment vertical="top" wrapText="1"/>
    </xf>
    <xf numFmtId="0" fontId="128" fillId="26" borderId="0" xfId="0" applyFont="1" applyFill="1" applyBorder="1" applyAlignment="1" applyProtection="1">
      <alignment horizontal="center" vertical="center"/>
    </xf>
    <xf numFmtId="0" fontId="128" fillId="24" borderId="0" xfId="0" applyFont="1" applyFill="1" applyBorder="1" applyAlignment="1" applyProtection="1">
      <alignment horizontal="center" vertical="center"/>
    </xf>
    <xf numFmtId="0" fontId="128" fillId="21" borderId="0" xfId="0" applyFont="1" applyFill="1" applyBorder="1" applyAlignment="1" applyProtection="1">
      <alignment horizontal="center" vertical="center"/>
    </xf>
    <xf numFmtId="0" fontId="41" fillId="25" borderId="0" xfId="0" applyFont="1" applyFill="1" applyBorder="1" applyAlignment="1" applyProtection="1">
      <alignment horizontal="center" vertical="center"/>
    </xf>
    <xf numFmtId="0" fontId="129" fillId="23" borderId="0" xfId="0" applyFont="1" applyFill="1" applyBorder="1" applyAlignment="1" applyProtection="1">
      <alignment horizontal="center" vertical="center"/>
    </xf>
    <xf numFmtId="0" fontId="41" fillId="22" borderId="0" xfId="0" applyFont="1" applyFill="1" applyBorder="1" applyAlignment="1" applyProtection="1">
      <alignment horizontal="center"/>
    </xf>
    <xf numFmtId="0" fontId="41" fillId="8" borderId="0" xfId="0" applyFont="1" applyFill="1" applyBorder="1" applyAlignment="1" applyProtection="1">
      <alignment horizontal="center" vertical="center"/>
    </xf>
    <xf numFmtId="0" fontId="45" fillId="4" borderId="12" xfId="0" applyFont="1" applyFill="1" applyBorder="1" applyAlignment="1">
      <alignment horizontal="right" vertical="top"/>
    </xf>
    <xf numFmtId="0" fontId="45" fillId="4" borderId="15" xfId="0" applyFont="1" applyFill="1" applyBorder="1" applyAlignment="1">
      <alignment horizontal="right" vertical="top"/>
    </xf>
    <xf numFmtId="0" fontId="56" fillId="4" borderId="12" xfId="0" applyFont="1" applyFill="1" applyBorder="1" applyAlignment="1">
      <alignment horizontal="right" vertical="top"/>
    </xf>
    <xf numFmtId="0" fontId="45" fillId="7" borderId="12" xfId="0" applyFont="1" applyFill="1" applyBorder="1" applyAlignment="1">
      <alignment horizontal="right" vertical="top"/>
    </xf>
    <xf numFmtId="0" fontId="45" fillId="7" borderId="15" xfId="0" applyFont="1" applyFill="1" applyBorder="1" applyAlignment="1">
      <alignment horizontal="right" vertical="top"/>
    </xf>
    <xf numFmtId="0" fontId="45" fillId="7" borderId="13" xfId="0" applyFont="1" applyFill="1" applyBorder="1" applyAlignment="1">
      <alignment horizontal="right" vertical="top"/>
    </xf>
    <xf numFmtId="0" fontId="1" fillId="4" borderId="0" xfId="0" applyFont="1" applyFill="1" applyAlignment="1" applyProtection="1">
      <alignment horizontal="right"/>
    </xf>
    <xf numFmtId="0" fontId="51" fillId="4" borderId="0" xfId="0" applyFont="1" applyFill="1" applyAlignment="1" applyProtection="1">
      <alignment horizontal="right"/>
    </xf>
    <xf numFmtId="2" fontId="43" fillId="4" borderId="0" xfId="0" applyNumberFormat="1" applyFont="1" applyFill="1" applyBorder="1" applyAlignment="1" applyProtection="1">
      <alignment horizontal="right" vertical="center"/>
    </xf>
    <xf numFmtId="0" fontId="1" fillId="4" borderId="0" xfId="0" applyFont="1" applyFill="1" applyBorder="1" applyAlignment="1">
      <alignment vertical="top" wrapText="1"/>
    </xf>
    <xf numFmtId="3" fontId="1" fillId="4" borderId="12" xfId="3" applyNumberFormat="1" applyFont="1" applyFill="1" applyBorder="1" applyAlignment="1">
      <alignment vertical="top" wrapText="1"/>
    </xf>
    <xf numFmtId="3" fontId="1" fillId="4" borderId="24" xfId="3" applyNumberFormat="1" applyFont="1" applyFill="1" applyBorder="1" applyAlignment="1">
      <alignment vertical="top" wrapText="1"/>
    </xf>
    <xf numFmtId="3" fontId="1" fillId="4" borderId="22" xfId="3" applyNumberFormat="1" applyFont="1" applyFill="1" applyBorder="1" applyAlignment="1">
      <alignment vertical="top" wrapText="1"/>
    </xf>
    <xf numFmtId="3" fontId="1" fillId="4" borderId="15" xfId="3" applyNumberFormat="1" applyFont="1" applyFill="1" applyBorder="1" applyAlignment="1">
      <alignment vertical="top" wrapText="1"/>
    </xf>
    <xf numFmtId="3" fontId="1" fillId="4" borderId="0" xfId="3" applyNumberFormat="1" applyFont="1" applyFill="1" applyBorder="1" applyAlignment="1">
      <alignment vertical="top" wrapText="1"/>
    </xf>
    <xf numFmtId="3" fontId="1" fillId="4" borderId="23" xfId="3" applyNumberFormat="1" applyFont="1" applyFill="1" applyBorder="1" applyAlignment="1">
      <alignment vertical="top" wrapText="1"/>
    </xf>
    <xf numFmtId="3" fontId="1" fillId="4" borderId="13" xfId="3" applyNumberFormat="1" applyFont="1" applyFill="1" applyBorder="1" applyAlignment="1">
      <alignment vertical="top" wrapText="1"/>
    </xf>
    <xf numFmtId="3" fontId="1" fillId="4" borderId="1" xfId="3" applyNumberFormat="1" applyFont="1" applyFill="1" applyBorder="1" applyAlignment="1">
      <alignment vertical="top" wrapText="1"/>
    </xf>
    <xf numFmtId="3" fontId="1" fillId="4" borderId="14" xfId="3" applyNumberFormat="1" applyFont="1" applyFill="1" applyBorder="1" applyAlignment="1">
      <alignment vertical="top" wrapText="1"/>
    </xf>
    <xf numFmtId="2" fontId="43" fillId="7" borderId="0" xfId="0" applyNumberFormat="1" applyFont="1" applyFill="1" applyBorder="1" applyAlignment="1" applyProtection="1">
      <alignment horizontal="right" vertical="center"/>
    </xf>
    <xf numFmtId="9" fontId="33" fillId="7" borderId="0" xfId="0" applyNumberFormat="1" applyFont="1" applyFill="1" applyBorder="1" applyAlignment="1">
      <alignment vertical="top" wrapText="1"/>
    </xf>
    <xf numFmtId="0" fontId="45" fillId="7" borderId="0" xfId="0" applyFont="1" applyFill="1" applyAlignment="1">
      <alignment horizontal="right" vertical="top"/>
    </xf>
    <xf numFmtId="0" fontId="52" fillId="7" borderId="0" xfId="0" applyFont="1" applyFill="1" applyAlignment="1">
      <alignment horizontal="center"/>
    </xf>
    <xf numFmtId="0" fontId="6" fillId="7" borderId="0" xfId="0" applyFont="1" applyFill="1" applyAlignment="1">
      <alignment horizontal="right" vertical="top"/>
    </xf>
    <xf numFmtId="0" fontId="58" fillId="7" borderId="0" xfId="0" applyFont="1" applyFill="1" applyAlignment="1">
      <alignment horizontal="right"/>
    </xf>
    <xf numFmtId="0" fontId="58" fillId="7" borderId="24" xfId="0" applyFont="1" applyFill="1" applyBorder="1" applyAlignment="1">
      <alignment horizontal="right" vertical="top"/>
    </xf>
    <xf numFmtId="0" fontId="45" fillId="7" borderId="0" xfId="0" applyFont="1" applyFill="1" applyBorder="1" applyAlignment="1">
      <alignment horizontal="right" vertical="top" wrapText="1"/>
    </xf>
    <xf numFmtId="0" fontId="58" fillId="7" borderId="0" xfId="0" applyFont="1" applyFill="1" applyAlignment="1">
      <alignment horizontal="right" vertical="top"/>
    </xf>
    <xf numFmtId="0" fontId="35" fillId="4" borderId="11" xfId="0" applyFont="1" applyFill="1" applyBorder="1" applyAlignment="1">
      <alignment vertical="top" wrapText="1"/>
    </xf>
    <xf numFmtId="176" fontId="54" fillId="4" borderId="22" xfId="0" applyNumberFormat="1" applyFont="1" applyFill="1" applyBorder="1" applyAlignment="1">
      <alignment horizontal="right" vertical="top" wrapText="1"/>
    </xf>
    <xf numFmtId="0" fontId="1" fillId="4" borderId="15" xfId="0" applyFont="1" applyFill="1" applyBorder="1" applyAlignment="1">
      <alignment horizontal="right" vertical="top"/>
    </xf>
    <xf numFmtId="4" fontId="54" fillId="4" borderId="23" xfId="0" applyNumberFormat="1" applyFont="1" applyFill="1" applyBorder="1" applyAlignment="1">
      <alignment horizontal="right" vertical="top" wrapText="1"/>
    </xf>
    <xf numFmtId="1" fontId="54" fillId="4" borderId="14" xfId="0" applyNumberFormat="1" applyFont="1" applyFill="1" applyBorder="1" applyAlignment="1">
      <alignment vertical="top"/>
    </xf>
    <xf numFmtId="0" fontId="37" fillId="7" borderId="13" xfId="0" applyFont="1" applyFill="1" applyBorder="1"/>
    <xf numFmtId="0" fontId="1" fillId="4" borderId="15" xfId="0" applyFont="1" applyFill="1" applyBorder="1" applyAlignment="1">
      <alignment vertical="top"/>
    </xf>
    <xf numFmtId="0" fontId="35" fillId="4" borderId="13" xfId="0" applyFont="1" applyFill="1" applyBorder="1" applyAlignment="1">
      <alignment vertical="top"/>
    </xf>
    <xf numFmtId="0" fontId="36" fillId="4" borderId="13" xfId="0" applyFont="1" applyFill="1" applyBorder="1" applyAlignment="1">
      <alignment vertical="top"/>
    </xf>
    <xf numFmtId="0" fontId="56" fillId="7" borderId="15" xfId="0" applyFont="1" applyFill="1" applyBorder="1" applyAlignment="1">
      <alignment vertical="top"/>
    </xf>
    <xf numFmtId="0" fontId="51" fillId="7" borderId="24" xfId="0" applyFont="1" applyFill="1" applyBorder="1" applyAlignment="1">
      <alignment vertical="top"/>
    </xf>
    <xf numFmtId="0" fontId="36" fillId="7" borderId="24" xfId="0" applyFont="1" applyFill="1" applyBorder="1" applyAlignment="1">
      <alignment vertical="top"/>
    </xf>
    <xf numFmtId="0" fontId="36" fillId="7" borderId="22" xfId="0" applyFont="1" applyFill="1" applyBorder="1" applyAlignment="1">
      <alignment vertical="top"/>
    </xf>
    <xf numFmtId="0" fontId="51" fillId="7" borderId="15" xfId="0" applyFont="1" applyFill="1" applyBorder="1" applyAlignment="1">
      <alignment vertical="top"/>
    </xf>
    <xf numFmtId="0" fontId="51" fillId="7" borderId="0" xfId="0" applyFont="1" applyFill="1" applyBorder="1" applyAlignment="1">
      <alignment vertical="top"/>
    </xf>
    <xf numFmtId="0" fontId="51" fillId="7" borderId="13" xfId="0" applyFont="1" applyFill="1" applyBorder="1" applyAlignment="1">
      <alignment vertical="top"/>
    </xf>
    <xf numFmtId="0" fontId="51" fillId="7" borderId="1" xfId="0" applyFont="1" applyFill="1" applyBorder="1" applyAlignment="1">
      <alignment vertical="top"/>
    </xf>
    <xf numFmtId="0" fontId="2" fillId="7" borderId="11" xfId="0" applyFont="1" applyFill="1" applyBorder="1" applyAlignment="1">
      <alignment vertical="top" wrapText="1"/>
    </xf>
    <xf numFmtId="0" fontId="51" fillId="7" borderId="11" xfId="0" applyFont="1" applyFill="1" applyBorder="1" applyAlignment="1">
      <alignment vertical="top" wrapText="1"/>
    </xf>
    <xf numFmtId="0" fontId="22" fillId="7" borderId="11" xfId="0" applyFont="1" applyFill="1" applyBorder="1" applyAlignment="1">
      <alignment vertical="top" wrapText="1"/>
    </xf>
    <xf numFmtId="0" fontId="45" fillId="7" borderId="12" xfId="0" applyFont="1" applyFill="1" applyBorder="1" applyAlignment="1">
      <alignment horizontal="right" vertical="center"/>
    </xf>
    <xf numFmtId="0" fontId="62" fillId="7" borderId="22" xfId="0" quotePrefix="1" applyFont="1" applyFill="1" applyBorder="1" applyAlignment="1">
      <alignment wrapText="1"/>
    </xf>
    <xf numFmtId="0" fontId="56" fillId="7" borderId="13" xfId="0" applyFont="1" applyFill="1" applyBorder="1" applyAlignment="1">
      <alignment vertical="top"/>
    </xf>
    <xf numFmtId="0" fontId="37" fillId="7" borderId="15" xfId="0" applyFont="1" applyFill="1" applyBorder="1"/>
    <xf numFmtId="0" fontId="51" fillId="4" borderId="22" xfId="0" applyFont="1" applyFill="1" applyBorder="1" applyAlignment="1">
      <alignment vertical="top" wrapText="1"/>
    </xf>
    <xf numFmtId="0" fontId="82" fillId="4" borderId="15" xfId="0" applyFont="1" applyFill="1" applyBorder="1" applyAlignment="1">
      <alignment horizontal="right" vertical="top"/>
    </xf>
    <xf numFmtId="0" fontId="51" fillId="4" borderId="23" xfId="0" applyFont="1" applyFill="1" applyBorder="1" applyAlignment="1">
      <alignment vertical="top" wrapText="1"/>
    </xf>
    <xf numFmtId="0" fontId="82" fillId="4" borderId="13" xfId="0" applyFont="1" applyFill="1" applyBorder="1" applyAlignment="1">
      <alignment horizontal="right" vertical="top"/>
    </xf>
    <xf numFmtId="0" fontId="51" fillId="4" borderId="14" xfId="0" applyFont="1" applyFill="1" applyBorder="1" applyAlignment="1">
      <alignment vertical="top" wrapText="1"/>
    </xf>
    <xf numFmtId="0" fontId="34" fillId="4" borderId="13" xfId="0" applyFont="1" applyFill="1" applyBorder="1" applyAlignment="1">
      <alignment vertical="top"/>
    </xf>
    <xf numFmtId="0" fontId="40" fillId="4" borderId="22" xfId="0" applyFont="1" applyFill="1" applyBorder="1" applyAlignment="1">
      <alignment vertical="top" wrapText="1"/>
    </xf>
    <xf numFmtId="0" fontId="43" fillId="4" borderId="12" xfId="0" applyFont="1" applyFill="1" applyBorder="1" applyAlignment="1">
      <alignment horizontal="right" vertical="top"/>
    </xf>
    <xf numFmtId="0" fontId="51" fillId="4" borderId="22" xfId="0" applyFont="1" applyFill="1" applyBorder="1" applyAlignment="1">
      <alignment vertical="top"/>
    </xf>
    <xf numFmtId="0" fontId="43" fillId="4" borderId="13" xfId="0" applyFont="1" applyFill="1" applyBorder="1" applyAlignment="1">
      <alignment horizontal="right" vertical="top"/>
    </xf>
    <xf numFmtId="0" fontId="5" fillId="4" borderId="22" xfId="0" applyFont="1" applyFill="1" applyBorder="1" applyAlignment="1">
      <alignment vertical="top" wrapText="1"/>
    </xf>
    <xf numFmtId="0" fontId="67" fillId="4" borderId="23" xfId="7" applyFont="1" applyFill="1" applyBorder="1" applyAlignment="1">
      <alignment vertical="top" wrapText="1"/>
    </xf>
    <xf numFmtId="9" fontId="40" fillId="4" borderId="2" xfId="0" applyNumberFormat="1" applyFont="1" applyFill="1" applyBorder="1" applyAlignment="1">
      <alignment vertical="top"/>
    </xf>
    <xf numFmtId="165" fontId="40" fillId="4" borderId="2" xfId="0" applyNumberFormat="1" applyFont="1" applyFill="1" applyBorder="1" applyAlignment="1">
      <alignment vertical="top"/>
    </xf>
    <xf numFmtId="9" fontId="40" fillId="4" borderId="11" xfId="0" applyNumberFormat="1" applyFont="1" applyFill="1" applyBorder="1" applyAlignment="1">
      <alignment vertical="top"/>
    </xf>
    <xf numFmtId="9" fontId="40" fillId="4" borderId="0" xfId="3" applyNumberFormat="1" applyFont="1" applyFill="1" applyBorder="1" applyAlignment="1">
      <alignment vertical="top" wrapText="1"/>
    </xf>
    <xf numFmtId="9" fontId="40" fillId="4" borderId="23" xfId="3" applyNumberFormat="1" applyFont="1" applyFill="1" applyBorder="1" applyAlignment="1">
      <alignment vertical="top" wrapText="1"/>
    </xf>
    <xf numFmtId="9" fontId="40" fillId="4" borderId="1" xfId="3" applyNumberFormat="1" applyFont="1" applyFill="1" applyBorder="1" applyAlignment="1">
      <alignment vertical="top" wrapText="1"/>
    </xf>
    <xf numFmtId="9" fontId="40" fillId="4" borderId="14" xfId="3" applyNumberFormat="1" applyFont="1" applyFill="1" applyBorder="1" applyAlignment="1">
      <alignment vertical="top" wrapText="1"/>
    </xf>
    <xf numFmtId="0" fontId="34" fillId="4" borderId="24" xfId="0" applyFont="1" applyFill="1" applyBorder="1" applyAlignment="1">
      <alignment vertical="top"/>
    </xf>
    <xf numFmtId="165" fontId="34" fillId="4" borderId="24" xfId="3" applyNumberFormat="1" applyFont="1" applyFill="1" applyBorder="1" applyAlignment="1">
      <alignment vertical="top"/>
    </xf>
    <xf numFmtId="165" fontId="34" fillId="4" borderId="22" xfId="3" applyNumberFormat="1" applyFont="1" applyFill="1" applyBorder="1" applyAlignment="1">
      <alignment vertical="top"/>
    </xf>
    <xf numFmtId="165" fontId="34" fillId="4" borderId="0" xfId="3" applyNumberFormat="1" applyFont="1" applyFill="1" applyBorder="1" applyAlignment="1">
      <alignment vertical="top"/>
    </xf>
    <xf numFmtId="165" fontId="34" fillId="4" borderId="23" xfId="3" applyNumberFormat="1" applyFont="1" applyFill="1" applyBorder="1" applyAlignment="1">
      <alignment vertical="top"/>
    </xf>
    <xf numFmtId="165" fontId="34" fillId="4" borderId="1" xfId="3" applyNumberFormat="1" applyFont="1" applyFill="1" applyBorder="1" applyAlignment="1">
      <alignment vertical="top"/>
    </xf>
    <xf numFmtId="165" fontId="34" fillId="4" borderId="14" xfId="3" applyNumberFormat="1" applyFont="1" applyFill="1" applyBorder="1" applyAlignment="1">
      <alignment vertical="top"/>
    </xf>
    <xf numFmtId="3" fontId="86" fillId="4" borderId="12" xfId="0" applyNumberFormat="1" applyFont="1" applyFill="1" applyBorder="1" applyAlignment="1">
      <alignment horizontal="right" vertical="top" wrapText="1"/>
    </xf>
    <xf numFmtId="3" fontId="86" fillId="4" borderId="24" xfId="0" applyNumberFormat="1" applyFont="1" applyFill="1" applyBorder="1" applyAlignment="1">
      <alignment horizontal="right" vertical="top" wrapText="1"/>
    </xf>
    <xf numFmtId="3" fontId="86" fillId="4" borderId="22" xfId="0" applyNumberFormat="1" applyFont="1" applyFill="1" applyBorder="1" applyAlignment="1">
      <alignment horizontal="right" vertical="top" wrapText="1"/>
    </xf>
    <xf numFmtId="3" fontId="86" fillId="4" borderId="15" xfId="0" applyNumberFormat="1" applyFont="1" applyFill="1" applyBorder="1" applyAlignment="1">
      <alignment horizontal="right" vertical="top" wrapText="1"/>
    </xf>
    <xf numFmtId="3" fontId="86" fillId="4" borderId="0" xfId="0" applyNumberFormat="1" applyFont="1" applyFill="1" applyBorder="1" applyAlignment="1">
      <alignment horizontal="right" vertical="top" wrapText="1"/>
    </xf>
    <xf numFmtId="3" fontId="86" fillId="4" borderId="23" xfId="0" applyNumberFormat="1" applyFont="1" applyFill="1" applyBorder="1" applyAlignment="1">
      <alignment horizontal="right" vertical="top" wrapText="1"/>
    </xf>
    <xf numFmtId="3" fontId="86" fillId="4" borderId="13" xfId="0" applyNumberFormat="1" applyFont="1" applyFill="1" applyBorder="1" applyAlignment="1">
      <alignment horizontal="right" vertical="top" wrapText="1"/>
    </xf>
    <xf numFmtId="3" fontId="86" fillId="4" borderId="1" xfId="0" applyNumberFormat="1" applyFont="1" applyFill="1" applyBorder="1" applyAlignment="1">
      <alignment horizontal="right" vertical="top" wrapText="1"/>
    </xf>
    <xf numFmtId="3" fontId="86" fillId="4" borderId="14" xfId="0" applyNumberFormat="1" applyFont="1" applyFill="1" applyBorder="1" applyAlignment="1">
      <alignment horizontal="right" vertical="top" wrapText="1"/>
    </xf>
    <xf numFmtId="3" fontId="43" fillId="4" borderId="12" xfId="4" applyNumberFormat="1" applyFont="1" applyFill="1" applyBorder="1" applyAlignment="1">
      <alignment horizontal="right"/>
    </xf>
    <xf numFmtId="3" fontId="43" fillId="4" borderId="24" xfId="4" applyNumberFormat="1" applyFont="1" applyFill="1" applyBorder="1" applyAlignment="1">
      <alignment horizontal="right"/>
    </xf>
    <xf numFmtId="3" fontId="43" fillId="4" borderId="22" xfId="4" applyNumberFormat="1" applyFont="1" applyFill="1" applyBorder="1" applyAlignment="1">
      <alignment horizontal="right"/>
    </xf>
    <xf numFmtId="3" fontId="43" fillId="4" borderId="15" xfId="4" applyNumberFormat="1" applyFont="1" applyFill="1" applyBorder="1" applyAlignment="1">
      <alignment horizontal="right"/>
    </xf>
    <xf numFmtId="3" fontId="43" fillId="4" borderId="23" xfId="4" applyNumberFormat="1" applyFont="1" applyFill="1" applyBorder="1" applyAlignment="1">
      <alignment horizontal="right"/>
    </xf>
    <xf numFmtId="3" fontId="43" fillId="4" borderId="13" xfId="4" applyNumberFormat="1" applyFont="1" applyFill="1" applyBorder="1" applyAlignment="1">
      <alignment horizontal="right"/>
    </xf>
    <xf numFmtId="3" fontId="43" fillId="4" borderId="1" xfId="4" applyNumberFormat="1" applyFont="1" applyFill="1" applyBorder="1" applyAlignment="1">
      <alignment horizontal="right"/>
    </xf>
    <xf numFmtId="3" fontId="43" fillId="4" borderId="14" xfId="4" applyNumberFormat="1" applyFont="1" applyFill="1" applyBorder="1" applyAlignment="1">
      <alignment horizontal="right"/>
    </xf>
    <xf numFmtId="4" fontId="54" fillId="4" borderId="0" xfId="0" applyNumberFormat="1" applyFont="1" applyFill="1" applyBorder="1" applyAlignment="1">
      <alignment horizontal="center" vertical="top" wrapText="1"/>
    </xf>
    <xf numFmtId="1" fontId="36" fillId="4" borderId="23" xfId="0" applyNumberFormat="1" applyFont="1" applyFill="1" applyBorder="1" applyAlignment="1">
      <alignment vertical="top"/>
    </xf>
    <xf numFmtId="4" fontId="54" fillId="4" borderId="1" xfId="0" applyNumberFormat="1" applyFont="1" applyFill="1" applyBorder="1" applyAlignment="1">
      <alignment horizontal="center" vertical="top" wrapText="1"/>
    </xf>
    <xf numFmtId="1" fontId="36" fillId="4" borderId="14" xfId="0" applyNumberFormat="1" applyFont="1" applyFill="1" applyBorder="1" applyAlignment="1">
      <alignment vertical="top"/>
    </xf>
    <xf numFmtId="1" fontId="36" fillId="4" borderId="24" xfId="0" applyNumberFormat="1" applyFont="1" applyFill="1" applyBorder="1" applyAlignment="1">
      <alignment vertical="top"/>
    </xf>
    <xf numFmtId="1" fontId="36" fillId="4" borderId="0" xfId="0" applyNumberFormat="1" applyFont="1" applyFill="1" applyBorder="1" applyAlignment="1">
      <alignment vertical="top"/>
    </xf>
    <xf numFmtId="1" fontId="36" fillId="4" borderId="1" xfId="0" applyNumberFormat="1" applyFont="1" applyFill="1" applyBorder="1" applyAlignment="1">
      <alignment vertical="top"/>
    </xf>
    <xf numFmtId="3" fontId="36" fillId="4" borderId="12" xfId="3" applyNumberFormat="1" applyFont="1" applyFill="1" applyBorder="1" applyAlignment="1">
      <alignment horizontal="right" vertical="top"/>
    </xf>
    <xf numFmtId="3" fontId="36" fillId="4" borderId="24" xfId="3" applyNumberFormat="1" applyFont="1" applyFill="1" applyBorder="1" applyAlignment="1">
      <alignment horizontal="right" vertical="top"/>
    </xf>
    <xf numFmtId="3" fontId="36" fillId="4" borderId="22" xfId="3" applyNumberFormat="1" applyFont="1" applyFill="1" applyBorder="1" applyAlignment="1">
      <alignment horizontal="right" vertical="top"/>
    </xf>
    <xf numFmtId="3" fontId="36" fillId="4" borderId="15" xfId="3" applyNumberFormat="1" applyFont="1" applyFill="1" applyBorder="1" applyAlignment="1">
      <alignment horizontal="right" vertical="top"/>
    </xf>
    <xf numFmtId="3" fontId="36" fillId="4" borderId="0" xfId="3" applyNumberFormat="1" applyFont="1" applyFill="1" applyBorder="1" applyAlignment="1">
      <alignment horizontal="right" vertical="top"/>
    </xf>
    <xf numFmtId="3" fontId="36" fillId="4" borderId="23" xfId="3" applyNumberFormat="1" applyFont="1" applyFill="1" applyBorder="1" applyAlignment="1">
      <alignment horizontal="right" vertical="top"/>
    </xf>
    <xf numFmtId="3" fontId="36" fillId="4" borderId="13" xfId="3" applyNumberFormat="1" applyFont="1" applyFill="1" applyBorder="1" applyAlignment="1">
      <alignment horizontal="right" vertical="top"/>
    </xf>
    <xf numFmtId="3" fontId="36" fillId="4" borderId="1" xfId="3" applyNumberFormat="1" applyFont="1" applyFill="1" applyBorder="1" applyAlignment="1">
      <alignment horizontal="right" vertical="top"/>
    </xf>
    <xf numFmtId="3" fontId="36" fillId="4" borderId="14" xfId="3" applyNumberFormat="1" applyFont="1" applyFill="1" applyBorder="1" applyAlignment="1">
      <alignment horizontal="right" vertical="top"/>
    </xf>
    <xf numFmtId="3" fontId="33" fillId="4" borderId="0" xfId="0" applyNumberFormat="1" applyFont="1" applyFill="1" applyBorder="1" applyAlignment="1">
      <alignment horizontal="right" vertical="top" wrapText="1"/>
    </xf>
    <xf numFmtId="3" fontId="33" fillId="4" borderId="22" xfId="0" applyNumberFormat="1" applyFont="1" applyFill="1" applyBorder="1" applyAlignment="1">
      <alignment horizontal="right" vertical="top" wrapText="1"/>
    </xf>
    <xf numFmtId="3" fontId="33" fillId="4" borderId="23" xfId="0" applyNumberFormat="1" applyFont="1" applyFill="1" applyBorder="1" applyAlignment="1">
      <alignment horizontal="right" vertical="top" wrapText="1"/>
    </xf>
    <xf numFmtId="3" fontId="33" fillId="4" borderId="13" xfId="0" applyNumberFormat="1" applyFont="1" applyFill="1" applyBorder="1" applyAlignment="1">
      <alignment horizontal="right" vertical="top" wrapText="1"/>
    </xf>
    <xf numFmtId="3" fontId="33" fillId="4" borderId="1" xfId="0" applyNumberFormat="1" applyFont="1" applyFill="1" applyBorder="1" applyAlignment="1">
      <alignment horizontal="right" vertical="top" wrapText="1"/>
    </xf>
    <xf numFmtId="3" fontId="33" fillId="4" borderId="14" xfId="0" applyNumberFormat="1" applyFont="1" applyFill="1" applyBorder="1" applyAlignment="1">
      <alignment horizontal="right" vertical="top" wrapText="1"/>
    </xf>
    <xf numFmtId="3" fontId="33" fillId="4" borderId="12" xfId="0" applyNumberFormat="1" applyFont="1" applyFill="1" applyBorder="1" applyAlignment="1">
      <alignment horizontal="right" vertical="top" wrapText="1"/>
    </xf>
    <xf numFmtId="3" fontId="33" fillId="4" borderId="24" xfId="0" applyNumberFormat="1" applyFont="1" applyFill="1" applyBorder="1" applyAlignment="1">
      <alignment horizontal="right" vertical="top" wrapText="1"/>
    </xf>
    <xf numFmtId="3" fontId="33" fillId="4" borderId="15" xfId="0" applyNumberFormat="1" applyFont="1" applyFill="1" applyBorder="1" applyAlignment="1">
      <alignment horizontal="right" vertical="top" wrapText="1"/>
    </xf>
    <xf numFmtId="9" fontId="33" fillId="4" borderId="10" xfId="0" applyNumberFormat="1" applyFont="1" applyFill="1" applyBorder="1" applyAlignment="1">
      <alignment vertical="top" wrapText="1"/>
    </xf>
    <xf numFmtId="9" fontId="33" fillId="4" borderId="2" xfId="0" applyNumberFormat="1" applyFont="1" applyFill="1" applyBorder="1" applyAlignment="1">
      <alignment vertical="top" wrapText="1"/>
    </xf>
    <xf numFmtId="9" fontId="33" fillId="4" borderId="11" xfId="0" applyNumberFormat="1" applyFont="1" applyFill="1" applyBorder="1" applyAlignment="1">
      <alignment vertical="top" wrapText="1"/>
    </xf>
    <xf numFmtId="3" fontId="54" fillId="4" borderId="10" xfId="0" applyNumberFormat="1" applyFont="1" applyFill="1" applyBorder="1" applyAlignment="1">
      <alignment vertical="top" wrapText="1"/>
    </xf>
    <xf numFmtId="3" fontId="54" fillId="4" borderId="2" xfId="0" applyNumberFormat="1" applyFont="1" applyFill="1" applyBorder="1" applyAlignment="1">
      <alignment vertical="top" wrapText="1"/>
    </xf>
    <xf numFmtId="169" fontId="33" fillId="4" borderId="30" xfId="0" applyNumberFormat="1" applyFont="1" applyFill="1" applyBorder="1" applyAlignment="1">
      <alignment horizontal="right"/>
    </xf>
    <xf numFmtId="169" fontId="54" fillId="4" borderId="12" xfId="0" applyNumberFormat="1" applyFont="1" applyFill="1" applyBorder="1" applyAlignment="1">
      <alignment horizontal="right"/>
    </xf>
    <xf numFmtId="169" fontId="54" fillId="4" borderId="22" xfId="0" applyNumberFormat="1" applyFont="1" applyFill="1" applyBorder="1" applyAlignment="1">
      <alignment horizontal="right"/>
    </xf>
    <xf numFmtId="169" fontId="33" fillId="4" borderId="26" xfId="0" applyNumberFormat="1" applyFont="1" applyFill="1" applyBorder="1" applyAlignment="1">
      <alignment horizontal="right"/>
    </xf>
    <xf numFmtId="169" fontId="54" fillId="4" borderId="15" xfId="0" applyNumberFormat="1" applyFont="1" applyFill="1" applyBorder="1" applyAlignment="1">
      <alignment horizontal="right"/>
    </xf>
    <xf numFmtId="169" fontId="54" fillId="4" borderId="0" xfId="0" applyNumberFormat="1" applyFont="1" applyFill="1" applyBorder="1" applyAlignment="1">
      <alignment horizontal="right"/>
    </xf>
    <xf numFmtId="169" fontId="33" fillId="4" borderId="27" xfId="0" applyNumberFormat="1" applyFont="1" applyFill="1" applyBorder="1" applyAlignment="1">
      <alignment horizontal="right"/>
    </xf>
    <xf numFmtId="169" fontId="54" fillId="4" borderId="13" xfId="0" applyNumberFormat="1" applyFont="1" applyFill="1" applyBorder="1" applyAlignment="1">
      <alignment horizontal="right"/>
    </xf>
    <xf numFmtId="169" fontId="33" fillId="4" borderId="25" xfId="0" applyNumberFormat="1" applyFont="1" applyFill="1" applyBorder="1" applyAlignment="1">
      <alignment horizontal="right"/>
    </xf>
    <xf numFmtId="169" fontId="17" fillId="4" borderId="26" xfId="0" applyNumberFormat="1" applyFont="1" applyFill="1" applyBorder="1" applyAlignment="1">
      <alignment horizontal="right"/>
    </xf>
    <xf numFmtId="3" fontId="101" fillId="4" borderId="10" xfId="0" applyNumberFormat="1" applyFont="1" applyFill="1" applyBorder="1" applyAlignment="1">
      <alignment vertical="top" wrapText="1"/>
    </xf>
    <xf numFmtId="3" fontId="101" fillId="4" borderId="2" xfId="0" applyNumberFormat="1" applyFont="1" applyFill="1" applyBorder="1" applyAlignment="1">
      <alignment horizontal="right" vertical="top" wrapText="1"/>
    </xf>
    <xf numFmtId="169" fontId="52" fillId="4" borderId="30" xfId="0" applyNumberFormat="1" applyFont="1" applyFill="1" applyBorder="1" applyAlignment="1">
      <alignment horizontal="right"/>
    </xf>
    <xf numFmtId="3" fontId="54" fillId="7" borderId="10" xfId="4" applyNumberFormat="1" applyFont="1" applyFill="1" applyBorder="1" applyAlignment="1"/>
    <xf numFmtId="3" fontId="54" fillId="7" borderId="2" xfId="4" applyNumberFormat="1" applyFont="1" applyFill="1" applyBorder="1" applyAlignment="1"/>
    <xf numFmtId="3" fontId="52" fillId="7" borderId="11" xfId="0" applyNumberFormat="1" applyFont="1" applyFill="1" applyBorder="1"/>
    <xf numFmtId="9" fontId="54" fillId="7" borderId="12" xfId="3" applyFont="1" applyFill="1" applyBorder="1" applyAlignment="1">
      <alignment vertical="top" wrapText="1"/>
    </xf>
    <xf numFmtId="9" fontId="54" fillId="7" borderId="24" xfId="3" applyFont="1" applyFill="1" applyBorder="1" applyAlignment="1">
      <alignment vertical="top" wrapText="1"/>
    </xf>
    <xf numFmtId="9" fontId="54" fillId="7" borderId="24" xfId="3" applyFont="1" applyFill="1" applyBorder="1" applyAlignment="1">
      <alignment vertical="top"/>
    </xf>
    <xf numFmtId="9" fontId="54" fillId="7" borderId="22" xfId="3" applyFont="1" applyFill="1" applyBorder="1" applyAlignment="1">
      <alignment vertical="top"/>
    </xf>
    <xf numFmtId="9" fontId="54" fillId="7" borderId="15" xfId="3" applyFont="1" applyFill="1" applyBorder="1" applyAlignment="1">
      <alignment vertical="top" wrapText="1"/>
    </xf>
    <xf numFmtId="9" fontId="54" fillId="7" borderId="0" xfId="3" applyFont="1" applyFill="1" applyBorder="1" applyAlignment="1">
      <alignment vertical="top" wrapText="1"/>
    </xf>
    <xf numFmtId="9" fontId="54" fillId="7" borderId="0" xfId="3" applyFont="1" applyFill="1" applyBorder="1" applyAlignment="1">
      <alignment vertical="top"/>
    </xf>
    <xf numFmtId="9" fontId="54" fillId="7" borderId="23" xfId="3" applyFont="1" applyFill="1" applyBorder="1" applyAlignment="1">
      <alignment vertical="top"/>
    </xf>
    <xf numFmtId="9" fontId="54" fillId="7" borderId="13" xfId="3" applyFont="1" applyFill="1" applyBorder="1" applyAlignment="1">
      <alignment vertical="top" wrapText="1"/>
    </xf>
    <xf numFmtId="9" fontId="54" fillId="7" borderId="1" xfId="3" applyFont="1" applyFill="1" applyBorder="1" applyAlignment="1">
      <alignment vertical="top" wrapText="1"/>
    </xf>
    <xf numFmtId="9" fontId="54" fillId="7" borderId="1" xfId="3" applyFont="1" applyFill="1" applyBorder="1" applyAlignment="1">
      <alignment vertical="top"/>
    </xf>
    <xf numFmtId="9" fontId="54" fillId="7" borderId="14" xfId="3" applyFont="1" applyFill="1" applyBorder="1" applyAlignment="1">
      <alignment vertical="top"/>
    </xf>
    <xf numFmtId="9" fontId="54" fillId="7" borderId="12" xfId="3" applyFont="1" applyFill="1" applyBorder="1" applyAlignment="1" applyProtection="1">
      <alignment horizontal="right" vertical="top"/>
    </xf>
    <xf numFmtId="9" fontId="54" fillId="7" borderId="24" xfId="3" applyFont="1" applyFill="1" applyBorder="1" applyAlignment="1" applyProtection="1">
      <alignment horizontal="right" vertical="top"/>
    </xf>
    <xf numFmtId="9" fontId="54" fillId="7" borderId="22" xfId="3" applyFont="1" applyFill="1" applyBorder="1" applyAlignment="1" applyProtection="1">
      <alignment horizontal="right" vertical="top"/>
    </xf>
    <xf numFmtId="3" fontId="1" fillId="7" borderId="13" xfId="0" applyNumberFormat="1" applyFont="1" applyFill="1" applyBorder="1" applyAlignment="1" applyProtection="1">
      <alignment horizontal="right"/>
    </xf>
    <xf numFmtId="3" fontId="1" fillId="7" borderId="1" xfId="0" applyNumberFormat="1" applyFont="1" applyFill="1" applyBorder="1" applyAlignment="1" applyProtection="1">
      <alignment horizontal="right"/>
    </xf>
    <xf numFmtId="3" fontId="1" fillId="7" borderId="14" xfId="0" applyNumberFormat="1" applyFont="1" applyFill="1" applyBorder="1" applyAlignment="1" applyProtection="1">
      <alignment horizontal="right"/>
    </xf>
    <xf numFmtId="3" fontId="54" fillId="7" borderId="26" xfId="0" applyNumberFormat="1" applyFont="1" applyFill="1" applyBorder="1" applyAlignment="1" applyProtection="1">
      <alignment horizontal="right" vertical="top"/>
    </xf>
    <xf numFmtId="9" fontId="54" fillId="7" borderId="25" xfId="3" applyFont="1" applyFill="1" applyBorder="1" applyAlignment="1" applyProtection="1">
      <alignment horizontal="right" vertical="top"/>
    </xf>
    <xf numFmtId="3" fontId="36" fillId="7" borderId="12" xfId="0" applyNumberFormat="1" applyFont="1" applyFill="1" applyBorder="1" applyAlignment="1">
      <alignment horizontal="right" vertical="top"/>
    </xf>
    <xf numFmtId="3" fontId="36" fillId="7" borderId="24" xfId="0" applyNumberFormat="1" applyFont="1" applyFill="1" applyBorder="1" applyAlignment="1">
      <alignment horizontal="right" vertical="top"/>
    </xf>
    <xf numFmtId="3" fontId="36" fillId="7" borderId="22" xfId="0" applyNumberFormat="1" applyFont="1" applyFill="1" applyBorder="1" applyAlignment="1">
      <alignment horizontal="right" vertical="top"/>
    </xf>
    <xf numFmtId="3" fontId="36" fillId="7" borderId="15" xfId="0" applyNumberFormat="1" applyFont="1" applyFill="1" applyBorder="1" applyAlignment="1">
      <alignment horizontal="right" vertical="top"/>
    </xf>
    <xf numFmtId="3" fontId="36" fillId="7" borderId="0" xfId="0" applyNumberFormat="1" applyFont="1" applyFill="1" applyBorder="1" applyAlignment="1">
      <alignment horizontal="right" vertical="top"/>
    </xf>
    <xf numFmtId="3" fontId="36" fillId="7" borderId="23" xfId="0" applyNumberFormat="1" applyFont="1" applyFill="1" applyBorder="1" applyAlignment="1">
      <alignment horizontal="right" vertical="top"/>
    </xf>
    <xf numFmtId="3" fontId="36" fillId="7" borderId="13" xfId="0" applyNumberFormat="1" applyFont="1" applyFill="1" applyBorder="1" applyAlignment="1">
      <alignment horizontal="right" vertical="top"/>
    </xf>
    <xf numFmtId="3" fontId="36" fillId="7" borderId="1" xfId="0" applyNumberFormat="1" applyFont="1" applyFill="1" applyBorder="1" applyAlignment="1">
      <alignment horizontal="right" vertical="top"/>
    </xf>
    <xf numFmtId="3" fontId="36" fillId="7" borderId="14" xfId="0" applyNumberFormat="1" applyFont="1" applyFill="1" applyBorder="1" applyAlignment="1">
      <alignment horizontal="right" vertical="top"/>
    </xf>
    <xf numFmtId="9" fontId="82" fillId="7" borderId="10" xfId="3" applyFont="1" applyFill="1" applyBorder="1" applyAlignment="1">
      <alignment horizontal="right" vertical="top" wrapText="1"/>
    </xf>
    <xf numFmtId="9" fontId="82" fillId="7" borderId="2" xfId="3" applyFont="1" applyFill="1" applyBorder="1" applyAlignment="1">
      <alignment horizontal="right" vertical="top" wrapText="1"/>
    </xf>
    <xf numFmtId="9" fontId="82" fillId="7" borderId="11" xfId="3" applyFont="1" applyFill="1" applyBorder="1" applyAlignment="1">
      <alignment horizontal="right" vertical="top" wrapText="1"/>
    </xf>
    <xf numFmtId="9" fontId="33" fillId="7" borderId="12" xfId="0" applyNumberFormat="1" applyFont="1" applyFill="1" applyBorder="1" applyAlignment="1">
      <alignment vertical="top" wrapText="1"/>
    </xf>
    <xf numFmtId="9" fontId="33" fillId="7" borderId="24" xfId="0" applyNumberFormat="1" applyFont="1" applyFill="1" applyBorder="1" applyAlignment="1">
      <alignment vertical="top" wrapText="1"/>
    </xf>
    <xf numFmtId="9" fontId="33" fillId="7" borderId="22" xfId="0" applyNumberFormat="1" applyFont="1" applyFill="1" applyBorder="1" applyAlignment="1">
      <alignment vertical="top" wrapText="1"/>
    </xf>
    <xf numFmtId="9" fontId="33" fillId="7" borderId="15" xfId="0" applyNumberFormat="1" applyFont="1" applyFill="1" applyBorder="1" applyAlignment="1">
      <alignment vertical="top" wrapText="1"/>
    </xf>
    <xf numFmtId="9" fontId="33" fillId="7" borderId="23" xfId="0" applyNumberFormat="1" applyFont="1" applyFill="1" applyBorder="1" applyAlignment="1">
      <alignment vertical="top" wrapText="1"/>
    </xf>
    <xf numFmtId="9" fontId="33" fillId="7" borderId="13" xfId="0" applyNumberFormat="1" applyFont="1" applyFill="1" applyBorder="1" applyAlignment="1">
      <alignment vertical="top" wrapText="1"/>
    </xf>
    <xf numFmtId="9" fontId="33" fillId="7" borderId="1" xfId="0" applyNumberFormat="1" applyFont="1" applyFill="1" applyBorder="1" applyAlignment="1">
      <alignment vertical="top" wrapText="1"/>
    </xf>
    <xf numFmtId="9" fontId="33" fillId="7" borderId="14" xfId="0" applyNumberFormat="1" applyFont="1" applyFill="1" applyBorder="1" applyAlignment="1">
      <alignment vertical="top" wrapText="1"/>
    </xf>
    <xf numFmtId="0" fontId="81" fillId="7" borderId="26" xfId="0" applyFont="1" applyFill="1" applyBorder="1" applyAlignment="1">
      <alignment horizontal="right" vertical="top"/>
    </xf>
    <xf numFmtId="1" fontId="36" fillId="7" borderId="27" xfId="0" applyNumberFormat="1" applyFont="1" applyFill="1" applyBorder="1" applyAlignment="1">
      <alignment horizontal="right" vertical="top"/>
    </xf>
    <xf numFmtId="1" fontId="52" fillId="7" borderId="25" xfId="0" applyNumberFormat="1" applyFont="1" applyFill="1" applyBorder="1" applyAlignment="1">
      <alignment vertical="top"/>
    </xf>
    <xf numFmtId="9" fontId="82" fillId="7" borderId="1" xfId="3" applyFont="1" applyFill="1" applyBorder="1" applyAlignment="1">
      <alignment horizontal="right" vertical="top" wrapText="1"/>
    </xf>
    <xf numFmtId="9" fontId="82" fillId="7" borderId="14" xfId="3" applyFont="1" applyFill="1" applyBorder="1" applyAlignment="1">
      <alignment horizontal="right" vertical="top" wrapText="1"/>
    </xf>
    <xf numFmtId="3" fontId="40" fillId="7" borderId="12" xfId="0" applyNumberFormat="1" applyFont="1" applyFill="1" applyBorder="1" applyAlignment="1">
      <alignment vertical="top" wrapText="1"/>
    </xf>
    <xf numFmtId="3" fontId="40" fillId="7" borderId="22" xfId="0" applyNumberFormat="1" applyFont="1" applyFill="1" applyBorder="1" applyAlignment="1">
      <alignment vertical="top" wrapText="1"/>
    </xf>
    <xf numFmtId="3" fontId="40" fillId="7" borderId="15" xfId="0" applyNumberFormat="1" applyFont="1" applyFill="1" applyBorder="1" applyAlignment="1">
      <alignment vertical="top" wrapText="1"/>
    </xf>
    <xf numFmtId="3" fontId="40" fillId="7" borderId="23" xfId="0" applyNumberFormat="1" applyFont="1" applyFill="1" applyBorder="1" applyAlignment="1">
      <alignment vertical="top" wrapText="1"/>
    </xf>
    <xf numFmtId="3" fontId="40" fillId="7" borderId="13" xfId="0" applyNumberFormat="1" applyFont="1" applyFill="1" applyBorder="1" applyAlignment="1">
      <alignment vertical="top" wrapText="1"/>
    </xf>
    <xf numFmtId="3" fontId="40" fillId="7" borderId="14" xfId="0" applyNumberFormat="1" applyFont="1" applyFill="1" applyBorder="1" applyAlignment="1">
      <alignment vertical="top" wrapText="1"/>
    </xf>
    <xf numFmtId="1" fontId="36" fillId="7" borderId="0" xfId="0" applyNumberFormat="1" applyFont="1" applyFill="1" applyBorder="1" applyAlignment="1">
      <alignment horizontal="right" vertical="top"/>
    </xf>
    <xf numFmtId="1" fontId="36" fillId="7" borderId="22" xfId="0" applyNumberFormat="1" applyFont="1" applyFill="1" applyBorder="1" applyAlignment="1">
      <alignment horizontal="right" vertical="top"/>
    </xf>
    <xf numFmtId="1" fontId="36" fillId="7" borderId="23" xfId="0" applyNumberFormat="1" applyFont="1" applyFill="1" applyBorder="1" applyAlignment="1">
      <alignment horizontal="right" vertical="top"/>
    </xf>
    <xf numFmtId="1" fontId="52" fillId="7" borderId="1" xfId="0" applyNumberFormat="1" applyFont="1" applyFill="1" applyBorder="1" applyAlignment="1">
      <alignment horizontal="right" vertical="top"/>
    </xf>
    <xf numFmtId="1" fontId="52" fillId="7" borderId="14" xfId="0" applyNumberFormat="1" applyFont="1" applyFill="1" applyBorder="1" applyAlignment="1">
      <alignment horizontal="right" vertical="top"/>
    </xf>
    <xf numFmtId="1" fontId="36" fillId="7" borderId="1" xfId="0" applyNumberFormat="1" applyFont="1" applyFill="1" applyBorder="1" applyAlignment="1">
      <alignment horizontal="right" vertical="top"/>
    </xf>
    <xf numFmtId="1" fontId="36" fillId="7" borderId="14" xfId="0" applyNumberFormat="1" applyFont="1" applyFill="1" applyBorder="1" applyAlignment="1">
      <alignment horizontal="right" vertical="top"/>
    </xf>
    <xf numFmtId="9" fontId="54" fillId="7" borderId="0" xfId="0" applyNumberFormat="1" applyFont="1" applyFill="1" applyBorder="1" applyAlignment="1">
      <alignment vertical="top" wrapText="1"/>
    </xf>
    <xf numFmtId="165" fontId="54" fillId="7" borderId="0" xfId="0" applyNumberFormat="1" applyFont="1" applyFill="1" applyBorder="1" applyAlignment="1">
      <alignment vertical="top" wrapText="1"/>
    </xf>
    <xf numFmtId="9" fontId="54" fillId="7" borderId="23" xfId="0" applyNumberFormat="1" applyFont="1" applyFill="1" applyBorder="1" applyAlignment="1">
      <alignment vertical="top" wrapText="1"/>
    </xf>
    <xf numFmtId="9" fontId="54" fillId="7" borderId="1" xfId="0" applyNumberFormat="1" applyFont="1" applyFill="1" applyBorder="1" applyAlignment="1">
      <alignment vertical="top" wrapText="1"/>
    </xf>
    <xf numFmtId="165" fontId="54" fillId="7" borderId="1" xfId="0" applyNumberFormat="1" applyFont="1" applyFill="1" applyBorder="1" applyAlignment="1">
      <alignment vertical="top" wrapText="1"/>
    </xf>
    <xf numFmtId="9" fontId="54" fillId="7" borderId="14" xfId="0" applyNumberFormat="1" applyFont="1" applyFill="1" applyBorder="1" applyAlignment="1">
      <alignment vertical="top" wrapText="1"/>
    </xf>
    <xf numFmtId="9" fontId="54" fillId="7" borderId="12" xfId="0" applyNumberFormat="1" applyFont="1" applyFill="1" applyBorder="1" applyAlignment="1">
      <alignment vertical="top"/>
    </xf>
    <xf numFmtId="9" fontId="54" fillId="7" borderId="24" xfId="0" applyNumberFormat="1" applyFont="1" applyFill="1" applyBorder="1" applyAlignment="1">
      <alignment vertical="top"/>
    </xf>
    <xf numFmtId="9" fontId="54" fillId="7" borderId="22" xfId="0" applyNumberFormat="1" applyFont="1" applyFill="1" applyBorder="1" applyAlignment="1">
      <alignment vertical="top"/>
    </xf>
    <xf numFmtId="9" fontId="22" fillId="7" borderId="15" xfId="0" applyNumberFormat="1" applyFont="1" applyFill="1" applyBorder="1" applyAlignment="1">
      <alignment vertical="top"/>
    </xf>
    <xf numFmtId="9" fontId="22" fillId="7" borderId="0" xfId="0" applyNumberFormat="1" applyFont="1" applyFill="1" applyBorder="1" applyAlignment="1">
      <alignment vertical="top"/>
    </xf>
    <xf numFmtId="9" fontId="22" fillId="7" borderId="23" xfId="0" applyNumberFormat="1" applyFont="1" applyFill="1" applyBorder="1" applyAlignment="1">
      <alignment vertical="top"/>
    </xf>
    <xf numFmtId="9" fontId="54" fillId="7" borderId="15" xfId="0" applyNumberFormat="1" applyFont="1" applyFill="1" applyBorder="1" applyAlignment="1">
      <alignment vertical="top" wrapText="1"/>
    </xf>
    <xf numFmtId="9" fontId="54" fillId="7" borderId="23" xfId="0" applyNumberFormat="1" applyFont="1" applyFill="1" applyBorder="1" applyAlignment="1">
      <alignment vertical="top"/>
    </xf>
    <xf numFmtId="9" fontId="54" fillId="7" borderId="13" xfId="0" applyNumberFormat="1" applyFont="1" applyFill="1" applyBorder="1" applyAlignment="1">
      <alignment vertical="top"/>
    </xf>
    <xf numFmtId="9" fontId="54" fillId="7" borderId="1" xfId="0" applyNumberFormat="1" applyFont="1" applyFill="1" applyBorder="1" applyAlignment="1">
      <alignment vertical="top"/>
    </xf>
    <xf numFmtId="9" fontId="54" fillId="7" borderId="14" xfId="0" applyNumberFormat="1" applyFont="1" applyFill="1" applyBorder="1" applyAlignment="1">
      <alignment vertical="top"/>
    </xf>
    <xf numFmtId="3" fontId="36" fillId="7" borderId="13" xfId="4" applyNumberFormat="1" applyFont="1" applyFill="1" applyBorder="1" applyAlignment="1">
      <alignment horizontal="right" vertical="top"/>
    </xf>
    <xf numFmtId="3" fontId="36" fillId="7" borderId="1" xfId="4" applyNumberFormat="1" applyFont="1" applyFill="1" applyBorder="1" applyAlignment="1">
      <alignment horizontal="right" vertical="top"/>
    </xf>
    <xf numFmtId="3" fontId="36" fillId="7" borderId="14" xfId="4" applyNumberFormat="1" applyFont="1" applyFill="1" applyBorder="1" applyAlignment="1">
      <alignment horizontal="right" vertical="top"/>
    </xf>
    <xf numFmtId="0" fontId="1" fillId="4" borderId="23" xfId="0" applyFont="1" applyFill="1" applyBorder="1" applyAlignment="1">
      <alignment horizontal="right" vertical="top" wrapText="1"/>
    </xf>
    <xf numFmtId="0" fontId="36" fillId="4" borderId="23" xfId="0" applyFont="1" applyFill="1" applyBorder="1" applyAlignment="1">
      <alignment horizontal="right" vertical="top"/>
    </xf>
    <xf numFmtId="168" fontId="54" fillId="7" borderId="22" xfId="0" applyNumberFormat="1" applyFont="1" applyFill="1" applyBorder="1" applyAlignment="1">
      <alignment horizontal="right" vertical="top" wrapText="1"/>
    </xf>
    <xf numFmtId="4" fontId="54" fillId="7" borderId="14" xfId="0" applyNumberFormat="1" applyFont="1" applyFill="1" applyBorder="1" applyAlignment="1">
      <alignment horizontal="right" vertical="top" wrapText="1"/>
    </xf>
    <xf numFmtId="0" fontId="54" fillId="7" borderId="10" xfId="0" applyFont="1" applyFill="1" applyBorder="1" applyAlignment="1">
      <alignment vertical="top"/>
    </xf>
    <xf numFmtId="3" fontId="54" fillId="7" borderId="1" xfId="4" applyNumberFormat="1" applyFont="1" applyFill="1" applyBorder="1" applyAlignment="1">
      <alignment horizontal="right"/>
    </xf>
    <xf numFmtId="3" fontId="54" fillId="7" borderId="14" xfId="4" applyNumberFormat="1" applyFont="1" applyFill="1" applyBorder="1" applyAlignment="1">
      <alignment horizontal="right"/>
    </xf>
    <xf numFmtId="3" fontId="54" fillId="7" borderId="0" xfId="0" applyNumberFormat="1" applyFont="1" applyFill="1" applyBorder="1" applyAlignment="1">
      <alignment wrapText="1"/>
    </xf>
    <xf numFmtId="3" fontId="54" fillId="7" borderId="23" xfId="0" applyNumberFormat="1" applyFont="1" applyFill="1" applyBorder="1"/>
    <xf numFmtId="3" fontId="33" fillId="7" borderId="1" xfId="0" applyNumberFormat="1" applyFont="1" applyFill="1" applyBorder="1" applyAlignment="1">
      <alignment wrapText="1"/>
    </xf>
    <xf numFmtId="3" fontId="33" fillId="7" borderId="14" xfId="0" applyNumberFormat="1" applyFont="1" applyFill="1" applyBorder="1" applyAlignment="1">
      <alignment wrapText="1"/>
    </xf>
    <xf numFmtId="3" fontId="85" fillId="7" borderId="12" xfId="0" applyNumberFormat="1" applyFont="1" applyFill="1" applyBorder="1" applyAlignment="1">
      <alignment horizontal="right" vertical="top" wrapText="1"/>
    </xf>
    <xf numFmtId="9" fontId="54" fillId="7" borderId="12" xfId="3" applyFont="1" applyFill="1" applyBorder="1" applyAlignment="1">
      <alignment horizontal="right"/>
    </xf>
    <xf numFmtId="9" fontId="54" fillId="7" borderId="24" xfId="3" applyFont="1" applyFill="1" applyBorder="1" applyAlignment="1">
      <alignment horizontal="right"/>
    </xf>
    <xf numFmtId="9" fontId="54" fillId="7" borderId="22" xfId="3" applyFont="1" applyFill="1" applyBorder="1" applyAlignment="1">
      <alignment horizontal="right"/>
    </xf>
    <xf numFmtId="3" fontId="85" fillId="7" borderId="15" xfId="0" applyNumberFormat="1" applyFont="1" applyFill="1" applyBorder="1" applyAlignment="1">
      <alignment horizontal="right" vertical="top" wrapText="1"/>
    </xf>
    <xf numFmtId="9" fontId="54" fillId="7" borderId="15" xfId="3" applyFont="1" applyFill="1" applyBorder="1" applyAlignment="1">
      <alignment horizontal="right"/>
    </xf>
    <xf numFmtId="9" fontId="54" fillId="7" borderId="0" xfId="3" applyFont="1" applyFill="1" applyBorder="1" applyAlignment="1">
      <alignment horizontal="right"/>
    </xf>
    <xf numFmtId="9" fontId="54" fillId="7" borderId="23" xfId="3" applyFont="1" applyFill="1" applyBorder="1" applyAlignment="1">
      <alignment horizontal="right"/>
    </xf>
    <xf numFmtId="3" fontId="85" fillId="7" borderId="13" xfId="0" applyNumberFormat="1" applyFont="1" applyFill="1" applyBorder="1" applyAlignment="1">
      <alignment horizontal="right" vertical="top" wrapText="1"/>
    </xf>
    <xf numFmtId="9" fontId="54" fillId="7" borderId="13" xfId="3" applyFont="1" applyFill="1" applyBorder="1" applyAlignment="1">
      <alignment horizontal="right"/>
    </xf>
    <xf numFmtId="9" fontId="54" fillId="7" borderId="1" xfId="3" applyFont="1" applyFill="1" applyBorder="1" applyAlignment="1">
      <alignment horizontal="right"/>
    </xf>
    <xf numFmtId="9" fontId="54" fillId="7" borderId="14" xfId="3" applyFont="1" applyFill="1" applyBorder="1" applyAlignment="1">
      <alignment horizontal="right"/>
    </xf>
    <xf numFmtId="3" fontId="54" fillId="7" borderId="12" xfId="0" applyNumberFormat="1" applyFont="1" applyFill="1" applyBorder="1"/>
    <xf numFmtId="3" fontId="54" fillId="7" borderId="24" xfId="0" applyNumberFormat="1" applyFont="1" applyFill="1" applyBorder="1"/>
    <xf numFmtId="3" fontId="54" fillId="7" borderId="22" xfId="0" applyNumberFormat="1" applyFont="1" applyFill="1" applyBorder="1"/>
    <xf numFmtId="3" fontId="54" fillId="7" borderId="15" xfId="0" applyNumberFormat="1" applyFont="1" applyFill="1" applyBorder="1"/>
    <xf numFmtId="3" fontId="54" fillId="7" borderId="0" xfId="0" applyNumberFormat="1" applyFont="1" applyFill="1" applyBorder="1"/>
    <xf numFmtId="3" fontId="54" fillId="7" borderId="13" xfId="0" applyNumberFormat="1" applyFont="1" applyFill="1" applyBorder="1"/>
    <xf numFmtId="3" fontId="54" fillId="7" borderId="1" xfId="0" applyNumberFormat="1" applyFont="1" applyFill="1" applyBorder="1"/>
    <xf numFmtId="3" fontId="54" fillId="7" borderId="14" xfId="0" applyNumberFormat="1" applyFont="1" applyFill="1" applyBorder="1"/>
    <xf numFmtId="3" fontId="54" fillId="7" borderId="24" xfId="3" applyNumberFormat="1" applyFont="1" applyFill="1" applyBorder="1" applyAlignment="1">
      <alignment horizontal="right"/>
    </xf>
    <xf numFmtId="165" fontId="34" fillId="7" borderId="22" xfId="3" applyNumberFormat="1" applyFont="1" applyFill="1" applyBorder="1" applyAlignment="1">
      <alignment vertical="top" wrapText="1"/>
    </xf>
    <xf numFmtId="3" fontId="54" fillId="7" borderId="0" xfId="3" applyNumberFormat="1" applyFont="1" applyFill="1" applyBorder="1" applyAlignment="1">
      <alignment horizontal="right"/>
    </xf>
    <xf numFmtId="165" fontId="34" fillId="7" borderId="23" xfId="3" applyNumberFormat="1" applyFont="1" applyFill="1" applyBorder="1" applyAlignment="1">
      <alignment vertical="top" wrapText="1"/>
    </xf>
    <xf numFmtId="3" fontId="54" fillId="7" borderId="1" xfId="3" applyNumberFormat="1" applyFont="1" applyFill="1" applyBorder="1" applyAlignment="1">
      <alignment horizontal="right"/>
    </xf>
    <xf numFmtId="165" fontId="34" fillId="7" borderId="14" xfId="3" applyNumberFormat="1" applyFont="1" applyFill="1" applyBorder="1" applyAlignment="1">
      <alignment vertical="top" wrapText="1"/>
    </xf>
    <xf numFmtId="0" fontId="43" fillId="26" borderId="7" xfId="0" applyFont="1" applyFill="1" applyBorder="1" applyAlignment="1">
      <alignment horizontal="right"/>
    </xf>
    <xf numFmtId="0" fontId="43" fillId="26" borderId="4" xfId="0" applyFont="1" applyFill="1" applyBorder="1" applyAlignment="1">
      <alignment horizontal="right"/>
    </xf>
    <xf numFmtId="0" fontId="43" fillId="26" borderId="6" xfId="0" applyFont="1" applyFill="1" applyBorder="1"/>
    <xf numFmtId="0" fontId="43" fillId="26" borderId="0" xfId="0" applyFont="1" applyFill="1" applyBorder="1" applyAlignment="1">
      <alignment horizontal="right"/>
    </xf>
    <xf numFmtId="0" fontId="43" fillId="26" borderId="8" xfId="0" applyFont="1" applyFill="1" applyBorder="1"/>
    <xf numFmtId="0" fontId="43" fillId="26" borderId="16" xfId="0" applyFont="1" applyFill="1" applyBorder="1" applyAlignment="1">
      <alignment horizontal="right"/>
    </xf>
    <xf numFmtId="0" fontId="43" fillId="26" borderId="5" xfId="0" applyFont="1" applyFill="1" applyBorder="1" applyAlignment="1">
      <alignment horizontal="right"/>
    </xf>
    <xf numFmtId="0" fontId="43" fillId="26" borderId="9" xfId="0" applyFont="1" applyFill="1" applyBorder="1" applyAlignment="1">
      <alignment horizontal="right"/>
    </xf>
    <xf numFmtId="0" fontId="43" fillId="25" borderId="7" xfId="0" applyFont="1" applyFill="1" applyBorder="1" applyAlignment="1">
      <alignment horizontal="right"/>
    </xf>
    <xf numFmtId="0" fontId="43" fillId="25" borderId="4" xfId="0" applyFont="1" applyFill="1" applyBorder="1" applyAlignment="1">
      <alignment horizontal="right"/>
    </xf>
    <xf numFmtId="0" fontId="43" fillId="25" borderId="6" xfId="0" applyFont="1" applyFill="1" applyBorder="1"/>
    <xf numFmtId="0" fontId="43" fillId="25" borderId="0" xfId="0" applyFont="1" applyFill="1" applyBorder="1" applyAlignment="1">
      <alignment horizontal="right"/>
    </xf>
    <xf numFmtId="0" fontId="43" fillId="25" borderId="8" xfId="0" applyFont="1" applyFill="1" applyBorder="1"/>
    <xf numFmtId="0" fontId="43" fillId="25" borderId="3" xfId="0" applyFont="1" applyFill="1" applyBorder="1" applyAlignment="1">
      <alignment horizontal="right"/>
    </xf>
    <xf numFmtId="0" fontId="43" fillId="25" borderId="6" xfId="0" applyFont="1" applyFill="1" applyBorder="1" applyAlignment="1">
      <alignment horizontal="right"/>
    </xf>
    <xf numFmtId="0" fontId="43" fillId="25" borderId="5" xfId="0" applyFont="1" applyFill="1" applyBorder="1" applyAlignment="1">
      <alignment horizontal="right"/>
    </xf>
    <xf numFmtId="0" fontId="43" fillId="25" borderId="9" xfId="0" applyFont="1" applyFill="1" applyBorder="1" applyAlignment="1">
      <alignment horizontal="right"/>
    </xf>
    <xf numFmtId="0" fontId="43" fillId="24" borderId="6" xfId="0" applyFont="1" applyFill="1" applyBorder="1" applyAlignment="1">
      <alignment horizontal="right"/>
    </xf>
    <xf numFmtId="0" fontId="43" fillId="24" borderId="0" xfId="0" applyFont="1" applyFill="1" applyBorder="1" applyAlignment="1">
      <alignment horizontal="right"/>
    </xf>
    <xf numFmtId="0" fontId="43" fillId="24" borderId="6" xfId="0" applyFont="1" applyFill="1" applyBorder="1"/>
    <xf numFmtId="0" fontId="43" fillId="24" borderId="3" xfId="0" applyFont="1" applyFill="1" applyBorder="1" applyAlignment="1">
      <alignment horizontal="right"/>
    </xf>
    <xf numFmtId="0" fontId="43" fillId="24" borderId="5" xfId="0" applyFont="1" applyFill="1" applyBorder="1" applyAlignment="1">
      <alignment horizontal="right"/>
    </xf>
    <xf numFmtId="0" fontId="43" fillId="24" borderId="8" xfId="0" applyFont="1" applyFill="1" applyBorder="1"/>
    <xf numFmtId="0" fontId="43" fillId="24" borderId="9" xfId="0" applyFont="1" applyFill="1" applyBorder="1" applyAlignment="1">
      <alignment horizontal="right"/>
    </xf>
    <xf numFmtId="0" fontId="70" fillId="13" borderId="7" xfId="0" applyFont="1" applyFill="1" applyBorder="1" applyAlignment="1">
      <alignment horizontal="right"/>
    </xf>
    <xf numFmtId="0" fontId="70" fillId="13" borderId="4" xfId="0" applyFont="1" applyFill="1" applyBorder="1" applyAlignment="1">
      <alignment horizontal="right"/>
    </xf>
    <xf numFmtId="0" fontId="70" fillId="13" borderId="8" xfId="0" applyFont="1" applyFill="1" applyBorder="1"/>
    <xf numFmtId="0" fontId="70" fillId="13" borderId="3" xfId="0" applyFont="1" applyFill="1" applyBorder="1" applyAlignment="1">
      <alignment horizontal="right"/>
    </xf>
    <xf numFmtId="0" fontId="43" fillId="15" borderId="6" xfId="0" applyFont="1" applyFill="1" applyBorder="1" applyAlignment="1">
      <alignment horizontal="right"/>
    </xf>
    <xf numFmtId="0" fontId="43" fillId="15" borderId="0" xfId="0" applyFont="1" applyFill="1" applyBorder="1" applyAlignment="1">
      <alignment horizontal="right"/>
    </xf>
    <xf numFmtId="0" fontId="43" fillId="15" borderId="6" xfId="0" applyFont="1" applyFill="1" applyBorder="1"/>
    <xf numFmtId="0" fontId="43" fillId="15" borderId="3" xfId="0" applyFont="1" applyFill="1" applyBorder="1" applyAlignment="1">
      <alignment horizontal="right"/>
    </xf>
    <xf numFmtId="0" fontId="43" fillId="15" borderId="5" xfId="0" applyFont="1" applyFill="1" applyBorder="1" applyAlignment="1">
      <alignment horizontal="right"/>
    </xf>
    <xf numFmtId="0" fontId="43" fillId="15" borderId="8" xfId="0" applyFont="1" applyFill="1" applyBorder="1"/>
    <xf numFmtId="0" fontId="43" fillId="15" borderId="9" xfId="0" applyFont="1" applyFill="1" applyBorder="1" applyAlignment="1">
      <alignment horizontal="right"/>
    </xf>
    <xf numFmtId="0" fontId="43" fillId="8" borderId="6" xfId="0" applyFont="1" applyFill="1" applyBorder="1" applyAlignment="1">
      <alignment horizontal="right"/>
    </xf>
    <xf numFmtId="0" fontId="43" fillId="8" borderId="5" xfId="0" applyFont="1" applyFill="1" applyBorder="1" applyAlignment="1">
      <alignment horizontal="right"/>
    </xf>
    <xf numFmtId="0" fontId="43" fillId="8" borderId="6" xfId="0" applyFont="1" applyFill="1" applyBorder="1"/>
    <xf numFmtId="0" fontId="43" fillId="8" borderId="8" xfId="0" applyFont="1" applyFill="1" applyBorder="1"/>
    <xf numFmtId="0" fontId="43" fillId="8" borderId="9" xfId="0" applyFont="1" applyFill="1" applyBorder="1" applyAlignment="1">
      <alignment horizontal="right"/>
    </xf>
    <xf numFmtId="0" fontId="43" fillId="8" borderId="7" xfId="0" applyFont="1" applyFill="1" applyBorder="1" applyAlignment="1">
      <alignment horizontal="right"/>
    </xf>
    <xf numFmtId="0" fontId="43" fillId="8" borderId="4" xfId="0" applyFont="1" applyFill="1" applyBorder="1" applyAlignment="1">
      <alignment horizontal="right"/>
    </xf>
    <xf numFmtId="0" fontId="43" fillId="8" borderId="0" xfId="0" applyFont="1" applyFill="1" applyBorder="1" applyAlignment="1">
      <alignment horizontal="right"/>
    </xf>
    <xf numFmtId="0" fontId="43" fillId="8" borderId="3" xfId="0" applyFont="1" applyFill="1" applyBorder="1" applyAlignment="1">
      <alignment horizontal="right"/>
    </xf>
    <xf numFmtId="0" fontId="70" fillId="22" borderId="6" xfId="0" applyFont="1" applyFill="1" applyBorder="1" applyAlignment="1">
      <alignment horizontal="right"/>
    </xf>
    <xf numFmtId="0" fontId="70" fillId="22" borderId="0" xfId="0" applyFont="1" applyFill="1" applyBorder="1" applyAlignment="1">
      <alignment horizontal="right"/>
    </xf>
    <xf numFmtId="0" fontId="70" fillId="22" borderId="6" xfId="0" applyFont="1" applyFill="1" applyBorder="1"/>
    <xf numFmtId="0" fontId="70" fillId="22" borderId="3" xfId="0" applyFont="1" applyFill="1" applyBorder="1" applyAlignment="1">
      <alignment horizontal="right"/>
    </xf>
    <xf numFmtId="0" fontId="70" fillId="22" borderId="5" xfId="0" applyFont="1" applyFill="1" applyBorder="1" applyAlignment="1">
      <alignment horizontal="right"/>
    </xf>
    <xf numFmtId="0" fontId="70" fillId="22" borderId="8" xfId="0" applyFont="1" applyFill="1" applyBorder="1"/>
    <xf numFmtId="0" fontId="70" fillId="22" borderId="9" xfId="0" applyFont="1" applyFill="1" applyBorder="1" applyAlignment="1">
      <alignment horizontal="right"/>
    </xf>
    <xf numFmtId="0" fontId="43" fillId="21" borderId="7" xfId="0" applyFont="1" applyFill="1" applyBorder="1" applyAlignment="1">
      <alignment horizontal="right"/>
    </xf>
    <xf numFmtId="0" fontId="43" fillId="21" borderId="4" xfId="0" applyFont="1" applyFill="1" applyBorder="1" applyAlignment="1">
      <alignment horizontal="right"/>
    </xf>
    <xf numFmtId="0" fontId="43" fillId="21" borderId="6" xfId="0" applyFont="1" applyFill="1" applyBorder="1"/>
    <xf numFmtId="0" fontId="43" fillId="21" borderId="0" xfId="0" applyFont="1" applyFill="1" applyBorder="1" applyAlignment="1">
      <alignment horizontal="right"/>
    </xf>
    <xf numFmtId="0" fontId="43" fillId="21" borderId="8" xfId="0" applyFont="1" applyFill="1" applyBorder="1"/>
    <xf numFmtId="0" fontId="43" fillId="21" borderId="3" xfId="0" applyFont="1" applyFill="1" applyBorder="1" applyAlignment="1">
      <alignment horizontal="right"/>
    </xf>
    <xf numFmtId="0" fontId="43" fillId="21" borderId="6" xfId="0" applyFont="1" applyFill="1" applyBorder="1" applyAlignment="1">
      <alignment horizontal="right"/>
    </xf>
    <xf numFmtId="0" fontId="43" fillId="21" borderId="5" xfId="0" applyFont="1" applyFill="1" applyBorder="1" applyAlignment="1">
      <alignment horizontal="right"/>
    </xf>
    <xf numFmtId="0" fontId="43" fillId="21" borderId="9" xfId="0" applyFont="1" applyFill="1" applyBorder="1" applyAlignment="1">
      <alignment horizontal="right"/>
    </xf>
    <xf numFmtId="0" fontId="1" fillId="4" borderId="0" xfId="0" applyFont="1" applyFill="1" applyBorder="1" applyAlignment="1" applyProtection="1">
      <alignment horizontal="left" vertical="top" wrapText="1"/>
      <protection locked="0"/>
    </xf>
    <xf numFmtId="165" fontId="43" fillId="4" borderId="16" xfId="3" applyNumberFormat="1" applyFont="1" applyFill="1" applyBorder="1"/>
    <xf numFmtId="165" fontId="43" fillId="4" borderId="5" xfId="3" applyNumberFormat="1" applyFont="1" applyFill="1" applyBorder="1"/>
    <xf numFmtId="0" fontId="43" fillId="4" borderId="5" xfId="0" applyFont="1" applyFill="1" applyBorder="1"/>
    <xf numFmtId="0" fontId="43" fillId="4" borderId="9" xfId="0" applyFont="1" applyFill="1" applyBorder="1"/>
    <xf numFmtId="0" fontId="60" fillId="4" borderId="4" xfId="0" applyFont="1" applyFill="1" applyBorder="1"/>
    <xf numFmtId="0" fontId="43" fillId="4" borderId="8" xfId="0" applyFont="1" applyFill="1" applyBorder="1" applyAlignment="1">
      <alignment horizontal="right"/>
    </xf>
    <xf numFmtId="3" fontId="54" fillId="0" borderId="12" xfId="0" applyNumberFormat="1" applyFont="1" applyFill="1" applyBorder="1" applyAlignment="1" applyProtection="1">
      <alignment vertical="top"/>
      <protection locked="0"/>
    </xf>
    <xf numFmtId="3" fontId="54" fillId="0" borderId="24" xfId="0" applyNumberFormat="1" applyFont="1" applyFill="1" applyBorder="1" applyAlignment="1" applyProtection="1">
      <alignment vertical="top"/>
      <protection locked="0"/>
    </xf>
    <xf numFmtId="3" fontId="54" fillId="0" borderId="22" xfId="0" applyNumberFormat="1" applyFont="1" applyFill="1" applyBorder="1" applyAlignment="1" applyProtection="1">
      <alignment vertical="top"/>
      <protection locked="0"/>
    </xf>
    <xf numFmtId="3" fontId="54" fillId="0" borderId="15" xfId="0" applyNumberFormat="1" applyFont="1" applyFill="1" applyBorder="1" applyAlignment="1" applyProtection="1">
      <alignment vertical="top"/>
      <protection locked="0"/>
    </xf>
    <xf numFmtId="3" fontId="54" fillId="0" borderId="0" xfId="0" applyNumberFormat="1" applyFont="1" applyFill="1" applyBorder="1" applyAlignment="1" applyProtection="1">
      <alignment vertical="top"/>
      <protection locked="0"/>
    </xf>
    <xf numFmtId="3" fontId="54" fillId="0" borderId="23" xfId="0" applyNumberFormat="1" applyFont="1" applyFill="1" applyBorder="1" applyAlignment="1" applyProtection="1">
      <alignment vertical="top"/>
      <protection locked="0"/>
    </xf>
    <xf numFmtId="3" fontId="54" fillId="0" borderId="15" xfId="0" applyNumberFormat="1" applyFont="1" applyFill="1" applyBorder="1" applyAlignment="1">
      <alignment vertical="top"/>
    </xf>
    <xf numFmtId="3" fontId="54" fillId="0" borderId="0" xfId="0" applyNumberFormat="1" applyFont="1" applyFill="1" applyBorder="1" applyAlignment="1">
      <alignment vertical="top"/>
    </xf>
    <xf numFmtId="3" fontId="54" fillId="0" borderId="23" xfId="0" applyNumberFormat="1" applyFont="1" applyFill="1" applyBorder="1" applyAlignment="1">
      <alignment vertical="top"/>
    </xf>
    <xf numFmtId="3" fontId="97" fillId="0" borderId="0" xfId="0" applyNumberFormat="1" applyFont="1" applyFill="1" applyBorder="1" applyAlignment="1" applyProtection="1">
      <alignment vertical="top"/>
      <protection locked="0"/>
    </xf>
    <xf numFmtId="3" fontId="54" fillId="0" borderId="13" xfId="0" applyNumberFormat="1" applyFont="1" applyFill="1" applyBorder="1" applyAlignment="1" applyProtection="1">
      <alignment vertical="top"/>
      <protection locked="0"/>
    </xf>
    <xf numFmtId="3" fontId="54" fillId="0" borderId="1" xfId="0" applyNumberFormat="1" applyFont="1" applyFill="1" applyBorder="1" applyAlignment="1" applyProtection="1">
      <alignment vertical="top"/>
      <protection locked="0"/>
    </xf>
    <xf numFmtId="3" fontId="54" fillId="0" borderId="14" xfId="0" applyNumberFormat="1" applyFont="1" applyFill="1" applyBorder="1" applyAlignment="1" applyProtection="1">
      <alignment vertical="top"/>
      <protection locked="0"/>
    </xf>
    <xf numFmtId="3" fontId="43" fillId="7" borderId="12" xfId="0" applyNumberFormat="1" applyFont="1" applyFill="1" applyBorder="1" applyAlignment="1">
      <alignment wrapText="1"/>
    </xf>
    <xf numFmtId="3" fontId="43" fillId="7" borderId="13" xfId="0" applyNumberFormat="1" applyFont="1" applyFill="1" applyBorder="1" applyAlignment="1">
      <alignment wrapText="1"/>
    </xf>
    <xf numFmtId="3" fontId="33" fillId="7" borderId="22" xfId="0" applyNumberFormat="1" applyFont="1" applyFill="1" applyBorder="1" applyAlignment="1">
      <alignment vertical="top"/>
    </xf>
    <xf numFmtId="3" fontId="33" fillId="7" borderId="14" xfId="0" applyNumberFormat="1" applyFont="1" applyFill="1" applyBorder="1" applyAlignment="1">
      <alignment vertical="top"/>
    </xf>
    <xf numFmtId="0" fontId="45" fillId="4" borderId="12" xfId="0" applyFont="1" applyFill="1" applyBorder="1" applyAlignment="1">
      <alignment horizontal="right" vertical="top"/>
    </xf>
    <xf numFmtId="0" fontId="45" fillId="4" borderId="12" xfId="0" applyFont="1" applyFill="1" applyBorder="1" applyAlignment="1">
      <alignment horizontal="right" vertical="top"/>
    </xf>
    <xf numFmtId="0" fontId="1" fillId="4" borderId="0" xfId="0" applyFont="1" applyFill="1" applyBorder="1" applyAlignment="1">
      <alignment horizontal="right" vertical="top"/>
    </xf>
    <xf numFmtId="166" fontId="54" fillId="4" borderId="13" xfId="2" applyNumberFormat="1" applyFont="1" applyFill="1" applyBorder="1" applyAlignment="1" applyProtection="1">
      <alignment vertical="top"/>
      <protection locked="0"/>
    </xf>
    <xf numFmtId="166" fontId="54" fillId="4" borderId="1" xfId="2" applyNumberFormat="1" applyFont="1" applyFill="1" applyBorder="1" applyAlignment="1" applyProtection="1">
      <alignment vertical="top"/>
      <protection locked="0"/>
    </xf>
    <xf numFmtId="166" fontId="54" fillId="4" borderId="14" xfId="2" applyNumberFormat="1" applyFont="1" applyFill="1" applyBorder="1" applyAlignment="1" applyProtection="1">
      <alignment vertical="top"/>
      <protection locked="0"/>
    </xf>
    <xf numFmtId="0" fontId="33" fillId="4" borderId="12" xfId="0" applyFont="1" applyFill="1" applyBorder="1" applyAlignment="1">
      <alignment vertical="top"/>
    </xf>
    <xf numFmtId="0" fontId="33" fillId="4" borderId="22" xfId="0" applyFont="1" applyFill="1" applyBorder="1" applyAlignment="1">
      <alignment vertical="top"/>
    </xf>
    <xf numFmtId="0" fontId="57" fillId="4" borderId="0" xfId="0" applyFont="1" applyFill="1" applyBorder="1"/>
    <xf numFmtId="0" fontId="104" fillId="4" borderId="0" xfId="0" applyFont="1" applyFill="1" applyBorder="1"/>
    <xf numFmtId="0" fontId="130" fillId="4" borderId="0" xfId="0" applyFont="1" applyFill="1" applyBorder="1"/>
    <xf numFmtId="2" fontId="43" fillId="4" borderId="0" xfId="0" applyNumberFormat="1" applyFont="1" applyFill="1" applyBorder="1" applyAlignment="1">
      <alignment horizontal="right"/>
    </xf>
    <xf numFmtId="0" fontId="45" fillId="7" borderId="12" xfId="0" applyFont="1" applyFill="1" applyBorder="1" applyAlignment="1">
      <alignment horizontal="right" vertical="top"/>
    </xf>
    <xf numFmtId="0" fontId="40" fillId="4" borderId="0" xfId="0" applyFont="1" applyFill="1" applyAlignment="1">
      <alignment horizontal="right" vertical="top"/>
    </xf>
    <xf numFmtId="0" fontId="104" fillId="4" borderId="0" xfId="0" applyFont="1" applyFill="1" applyAlignment="1">
      <alignment vertical="top"/>
    </xf>
    <xf numFmtId="0" fontId="104" fillId="4" borderId="0" xfId="0" applyFont="1" applyFill="1" applyAlignment="1">
      <alignment horizontal="right" vertical="top"/>
    </xf>
    <xf numFmtId="3" fontId="43" fillId="4" borderId="6" xfId="6" applyNumberFormat="1" applyFont="1" applyFill="1" applyBorder="1" applyAlignment="1">
      <alignment vertical="center" wrapText="1"/>
    </xf>
    <xf numFmtId="3" fontId="60" fillId="4" borderId="6" xfId="6" applyNumberFormat="1" applyFont="1" applyFill="1" applyBorder="1" applyAlignment="1">
      <alignment vertical="center" wrapText="1"/>
    </xf>
    <xf numFmtId="166" fontId="1" fillId="4" borderId="57" xfId="2" applyNumberFormat="1" applyFont="1" applyFill="1" applyBorder="1" applyAlignment="1" applyProtection="1">
      <alignment vertical="top"/>
      <protection locked="0"/>
    </xf>
    <xf numFmtId="166" fontId="1" fillId="4" borderId="58" xfId="2" applyNumberFormat="1" applyFont="1" applyFill="1" applyBorder="1" applyAlignment="1" applyProtection="1">
      <alignment vertical="top"/>
      <protection locked="0"/>
    </xf>
    <xf numFmtId="166" fontId="1" fillId="4" borderId="59" xfId="2" applyNumberFormat="1" applyFont="1" applyFill="1" applyBorder="1" applyAlignment="1" applyProtection="1">
      <alignment vertical="top"/>
      <protection locked="0"/>
    </xf>
    <xf numFmtId="0" fontId="52" fillId="4" borderId="1" xfId="0" applyFont="1" applyFill="1" applyBorder="1" applyAlignment="1">
      <alignment horizontal="left" wrapText="1"/>
    </xf>
    <xf numFmtId="0" fontId="54" fillId="7" borderId="30" xfId="0" applyFont="1" applyFill="1" applyBorder="1" applyAlignment="1">
      <alignment vertical="top" wrapText="1"/>
    </xf>
    <xf numFmtId="0" fontId="24" fillId="7" borderId="10" xfId="0" applyFont="1" applyFill="1" applyBorder="1" applyAlignment="1">
      <alignment horizontal="left"/>
    </xf>
    <xf numFmtId="0" fontId="24" fillId="7" borderId="2" xfId="0" applyFont="1" applyFill="1" applyBorder="1" applyAlignment="1">
      <alignment horizontal="left"/>
    </xf>
    <xf numFmtId="0" fontId="54" fillId="7" borderId="2" xfId="0" applyFont="1" applyFill="1" applyBorder="1" applyAlignment="1">
      <alignment horizontal="left"/>
    </xf>
    <xf numFmtId="9" fontId="24" fillId="7" borderId="2" xfId="3" applyFont="1" applyFill="1" applyBorder="1" applyAlignment="1">
      <alignment horizontal="left"/>
    </xf>
    <xf numFmtId="3" fontId="24" fillId="7" borderId="2" xfId="3" applyNumberFormat="1" applyFont="1" applyFill="1" applyBorder="1" applyAlignment="1">
      <alignment horizontal="left"/>
    </xf>
    <xf numFmtId="3" fontId="51" fillId="7" borderId="2" xfId="3" applyNumberFormat="1" applyFont="1" applyFill="1" applyBorder="1" applyAlignment="1">
      <alignment horizontal="left"/>
    </xf>
    <xf numFmtId="3" fontId="21" fillId="7" borderId="11" xfId="3" applyNumberFormat="1" applyFont="1" applyFill="1" applyBorder="1" applyAlignment="1">
      <alignment horizontal="left"/>
    </xf>
    <xf numFmtId="0" fontId="45" fillId="7" borderId="12" xfId="0" applyFont="1" applyFill="1" applyBorder="1" applyAlignment="1">
      <alignment horizontal="right"/>
    </xf>
    <xf numFmtId="0" fontId="43" fillId="7" borderId="22" xfId="0" applyFont="1" applyFill="1" applyBorder="1" applyAlignment="1">
      <alignment vertical="top" wrapText="1"/>
    </xf>
    <xf numFmtId="0" fontId="45" fillId="7" borderId="10" xfId="0" applyFont="1" applyFill="1" applyBorder="1" applyAlignment="1">
      <alignment horizontal="right"/>
    </xf>
    <xf numFmtId="0" fontId="43" fillId="7" borderId="11" xfId="0" applyFont="1" applyFill="1" applyBorder="1" applyAlignment="1">
      <alignment wrapText="1"/>
    </xf>
    <xf numFmtId="0" fontId="10" fillId="7" borderId="11" xfId="0" applyFont="1" applyFill="1" applyBorder="1" applyAlignment="1">
      <alignment vertical="top"/>
    </xf>
    <xf numFmtId="0" fontId="24" fillId="7" borderId="11" xfId="0" applyFont="1" applyFill="1" applyBorder="1" applyAlignment="1">
      <alignment vertical="top"/>
    </xf>
    <xf numFmtId="9" fontId="26" fillId="7" borderId="15" xfId="0" applyNumberFormat="1" applyFont="1" applyFill="1" applyBorder="1" applyAlignment="1">
      <alignment horizontal="right" vertical="top" wrapText="1"/>
    </xf>
    <xf numFmtId="9" fontId="26" fillId="7" borderId="0" xfId="0" applyNumberFormat="1" applyFont="1" applyFill="1" applyBorder="1" applyAlignment="1">
      <alignment horizontal="right" vertical="top" wrapText="1"/>
    </xf>
    <xf numFmtId="0" fontId="40" fillId="7" borderId="12" xfId="0" applyFont="1" applyFill="1" applyBorder="1" applyAlignment="1">
      <alignment vertical="top" wrapText="1"/>
    </xf>
    <xf numFmtId="0" fontId="40" fillId="7" borderId="24" xfId="0" applyFont="1" applyFill="1" applyBorder="1" applyAlignment="1">
      <alignment vertical="top" wrapText="1"/>
    </xf>
    <xf numFmtId="9" fontId="26" fillId="7" borderId="13" xfId="0" applyNumberFormat="1" applyFont="1" applyFill="1" applyBorder="1" applyAlignment="1">
      <alignment horizontal="right" vertical="top" wrapText="1"/>
    </xf>
    <xf numFmtId="9" fontId="26" fillId="7" borderId="1" xfId="0" applyNumberFormat="1" applyFont="1" applyFill="1" applyBorder="1" applyAlignment="1">
      <alignment horizontal="right" vertical="top" wrapText="1"/>
    </xf>
    <xf numFmtId="0" fontId="52" fillId="7" borderId="23" xfId="0" applyFont="1" applyFill="1" applyBorder="1" applyAlignment="1">
      <alignment vertical="top"/>
    </xf>
    <xf numFmtId="0" fontId="52" fillId="7" borderId="15" xfId="0" applyFont="1" applyFill="1" applyBorder="1" applyAlignment="1">
      <alignment horizontal="right" vertical="top" wrapText="1"/>
    </xf>
    <xf numFmtId="0" fontId="52" fillId="7" borderId="0" xfId="0" applyFont="1" applyFill="1" applyBorder="1" applyAlignment="1">
      <alignment horizontal="right" vertical="top" wrapText="1"/>
    </xf>
    <xf numFmtId="0" fontId="52" fillId="7" borderId="15" xfId="0" applyFont="1" applyFill="1" applyBorder="1" applyAlignment="1">
      <alignment vertical="top"/>
    </xf>
    <xf numFmtId="0" fontId="40" fillId="7" borderId="23" xfId="0" applyFont="1" applyFill="1" applyBorder="1" applyAlignment="1">
      <alignment vertical="top"/>
    </xf>
    <xf numFmtId="0" fontId="43" fillId="7" borderId="15" xfId="0" applyFont="1" applyFill="1" applyBorder="1" applyAlignment="1">
      <alignment vertical="top" wrapText="1"/>
    </xf>
    <xf numFmtId="0" fontId="30" fillId="7" borderId="14" xfId="0" applyFont="1" applyFill="1" applyBorder="1" applyAlignment="1">
      <alignment horizontal="right" vertical="top"/>
    </xf>
    <xf numFmtId="167" fontId="40" fillId="7" borderId="13" xfId="0" applyNumberFormat="1" applyFont="1" applyFill="1" applyBorder="1" applyAlignment="1">
      <alignment vertical="top" wrapText="1"/>
    </xf>
    <xf numFmtId="167" fontId="40" fillId="7" borderId="1" xfId="0" applyNumberFormat="1" applyFont="1" applyFill="1" applyBorder="1" applyAlignment="1">
      <alignment vertical="top" wrapText="1"/>
    </xf>
    <xf numFmtId="167" fontId="40" fillId="7" borderId="1" xfId="0" applyNumberFormat="1" applyFont="1" applyFill="1" applyBorder="1" applyAlignment="1">
      <alignment vertical="top"/>
    </xf>
    <xf numFmtId="0" fontId="43" fillId="7" borderId="0" xfId="0" applyFont="1" applyFill="1" applyBorder="1" applyAlignment="1">
      <alignment vertical="top" wrapText="1"/>
    </xf>
    <xf numFmtId="0" fontId="52" fillId="7" borderId="22" xfId="0" applyFont="1" applyFill="1" applyBorder="1" applyAlignment="1">
      <alignment vertical="top"/>
    </xf>
    <xf numFmtId="0" fontId="40" fillId="7" borderId="24" xfId="0" applyFont="1" applyFill="1" applyBorder="1" applyAlignment="1">
      <alignment vertical="top"/>
    </xf>
    <xf numFmtId="0" fontId="40" fillId="7" borderId="12" xfId="0" applyFont="1" applyFill="1" applyBorder="1" applyAlignment="1">
      <alignment vertical="top"/>
    </xf>
    <xf numFmtId="9" fontId="40" fillId="7" borderId="15" xfId="3" applyFont="1" applyFill="1" applyBorder="1" applyAlignment="1">
      <alignment vertical="top"/>
    </xf>
    <xf numFmtId="9" fontId="40" fillId="7" borderId="13" xfId="3" applyFont="1" applyFill="1" applyBorder="1" applyAlignment="1">
      <alignment vertical="top"/>
    </xf>
    <xf numFmtId="165" fontId="58" fillId="7" borderId="1" xfId="0" applyNumberFormat="1" applyFont="1" applyFill="1" applyBorder="1" applyAlignment="1">
      <alignment vertical="top"/>
    </xf>
    <xf numFmtId="165" fontId="40" fillId="7" borderId="24" xfId="0" applyNumberFormat="1" applyFont="1" applyFill="1" applyBorder="1" applyAlignment="1">
      <alignment vertical="top"/>
    </xf>
    <xf numFmtId="165" fontId="40" fillId="7" borderId="0" xfId="0" applyNumberFormat="1" applyFont="1" applyFill="1" applyBorder="1" applyAlignment="1">
      <alignment vertical="top"/>
    </xf>
    <xf numFmtId="4" fontId="54" fillId="0" borderId="4" xfId="0" applyNumberFormat="1" applyFont="1" applyFill="1" applyBorder="1"/>
    <xf numFmtId="4" fontId="54" fillId="0" borderId="0" xfId="0" applyNumberFormat="1" applyFont="1" applyFill="1" applyBorder="1"/>
    <xf numFmtId="0" fontId="104" fillId="4" borderId="0" xfId="0" applyFont="1" applyFill="1" applyBorder="1" applyAlignment="1">
      <alignment wrapText="1"/>
    </xf>
    <xf numFmtId="4" fontId="43" fillId="4" borderId="0" xfId="0" applyNumberFormat="1" applyFont="1" applyFill="1" applyBorder="1" applyAlignment="1">
      <alignment horizontal="center"/>
    </xf>
    <xf numFmtId="9" fontId="43" fillId="4" borderId="5" xfId="3" applyFont="1" applyFill="1" applyBorder="1"/>
    <xf numFmtId="0" fontId="65" fillId="4" borderId="0" xfId="0" applyFont="1" applyFill="1" applyBorder="1" applyAlignment="1">
      <alignment horizontal="right"/>
    </xf>
    <xf numFmtId="0" fontId="57" fillId="4" borderId="0" xfId="0" applyFont="1" applyFill="1" applyBorder="1" applyAlignment="1">
      <alignment horizontal="center"/>
    </xf>
    <xf numFmtId="0" fontId="104" fillId="11" borderId="0" xfId="0" applyFont="1" applyFill="1" applyBorder="1"/>
    <xf numFmtId="0" fontId="131" fillId="11" borderId="0" xfId="0" applyFont="1" applyFill="1" applyBorder="1"/>
    <xf numFmtId="0" fontId="60" fillId="11" borderId="0" xfId="0" applyFont="1" applyFill="1" applyBorder="1"/>
    <xf numFmtId="3" fontId="1" fillId="14" borderId="12" xfId="0" applyNumberFormat="1" applyFont="1" applyFill="1" applyBorder="1" applyAlignment="1" applyProtection="1">
      <alignment horizontal="right" vertical="top" wrapText="1"/>
      <protection locked="0"/>
    </xf>
    <xf numFmtId="3" fontId="1" fillId="14" borderId="24" xfId="0" applyNumberFormat="1" applyFont="1" applyFill="1" applyBorder="1" applyAlignment="1" applyProtection="1">
      <alignment horizontal="right" vertical="top" wrapText="1"/>
      <protection locked="0"/>
    </xf>
    <xf numFmtId="3" fontId="1" fillId="14" borderId="22" xfId="0" applyNumberFormat="1" applyFont="1" applyFill="1" applyBorder="1" applyAlignment="1" applyProtection="1">
      <alignment horizontal="right" vertical="top" wrapText="1"/>
      <protection locked="0"/>
    </xf>
    <xf numFmtId="3" fontId="1" fillId="14" borderId="13" xfId="0" applyNumberFormat="1" applyFont="1" applyFill="1" applyBorder="1" applyAlignment="1" applyProtection="1">
      <alignment horizontal="right" vertical="top" wrapText="1"/>
      <protection locked="0"/>
    </xf>
    <xf numFmtId="3" fontId="1" fillId="14" borderId="1" xfId="0" applyNumberFormat="1" applyFont="1" applyFill="1" applyBorder="1" applyAlignment="1" applyProtection="1">
      <alignment horizontal="right" vertical="top" wrapText="1"/>
      <protection locked="0"/>
    </xf>
    <xf numFmtId="3" fontId="1" fillId="14" borderId="14" xfId="0" applyNumberFormat="1" applyFont="1" applyFill="1" applyBorder="1" applyAlignment="1" applyProtection="1">
      <alignment horizontal="right" vertical="top" wrapText="1"/>
      <protection locked="0"/>
    </xf>
    <xf numFmtId="166" fontId="1" fillId="11" borderId="10" xfId="2" applyNumberFormat="1" applyFont="1" applyFill="1" applyBorder="1" applyAlignment="1" applyProtection="1">
      <alignment vertical="top"/>
      <protection locked="0"/>
    </xf>
    <xf numFmtId="166" fontId="1" fillId="11" borderId="2" xfId="2" applyNumberFormat="1" applyFont="1" applyFill="1" applyBorder="1" applyAlignment="1" applyProtection="1">
      <alignment vertical="top"/>
      <protection locked="0"/>
    </xf>
    <xf numFmtId="166" fontId="1" fillId="11" borderId="11" xfId="2" applyNumberFormat="1" applyFont="1" applyFill="1" applyBorder="1" applyAlignment="1" applyProtection="1">
      <alignment vertical="top"/>
      <protection locked="0"/>
    </xf>
    <xf numFmtId="0" fontId="1" fillId="4" borderId="0" xfId="0" applyFont="1" applyFill="1" applyBorder="1"/>
    <xf numFmtId="0" fontId="57" fillId="11" borderId="8" xfId="0" applyFont="1" applyFill="1" applyBorder="1" applyAlignment="1">
      <alignment horizontal="right" wrapText="1"/>
    </xf>
    <xf numFmtId="2" fontId="104" fillId="4" borderId="0" xfId="0" applyNumberFormat="1" applyFont="1" applyFill="1" applyBorder="1"/>
    <xf numFmtId="9" fontId="104" fillId="4" borderId="0" xfId="3" applyFont="1" applyFill="1" applyBorder="1"/>
    <xf numFmtId="0" fontId="65" fillId="11" borderId="0" xfId="0" applyFont="1" applyFill="1" applyBorder="1"/>
    <xf numFmtId="0" fontId="104" fillId="4" borderId="0" xfId="0" applyFont="1" applyFill="1" applyBorder="1" applyAlignment="1">
      <alignment horizontal="right"/>
    </xf>
    <xf numFmtId="169" fontId="43" fillId="4" borderId="0" xfId="0" applyNumberFormat="1" applyFont="1" applyFill="1" applyBorder="1"/>
    <xf numFmtId="0" fontId="74" fillId="11" borderId="4" xfId="0" applyFont="1" applyFill="1" applyBorder="1" applyAlignment="1">
      <alignment horizontal="center"/>
    </xf>
    <xf numFmtId="0" fontId="74" fillId="11" borderId="16" xfId="0" applyFont="1" applyFill="1" applyBorder="1" applyAlignment="1">
      <alignment horizontal="center"/>
    </xf>
    <xf numFmtId="0" fontId="41" fillId="2" borderId="0" xfId="0" applyFont="1" applyFill="1"/>
    <xf numFmtId="0" fontId="71" fillId="2" borderId="0" xfId="0" applyFont="1" applyFill="1"/>
    <xf numFmtId="0" fontId="99" fillId="7" borderId="62" xfId="0" applyFont="1" applyFill="1" applyBorder="1" applyAlignment="1">
      <alignment horizontal="right"/>
    </xf>
    <xf numFmtId="0" fontId="112" fillId="7" borderId="0" xfId="0" applyFont="1" applyFill="1" applyBorder="1" applyAlignment="1">
      <alignment horizontal="right"/>
    </xf>
    <xf numFmtId="0" fontId="132" fillId="7" borderId="0" xfId="0" applyFont="1" applyFill="1"/>
    <xf numFmtId="0" fontId="99" fillId="7" borderId="0" xfId="0" applyFont="1" applyFill="1"/>
    <xf numFmtId="0" fontId="121" fillId="7" borderId="0" xfId="0" applyFont="1" applyFill="1" applyAlignment="1">
      <alignment horizontal="right"/>
    </xf>
    <xf numFmtId="0" fontId="134" fillId="7" borderId="0" xfId="0" applyFont="1" applyFill="1"/>
    <xf numFmtId="0" fontId="65" fillId="7" borderId="0" xfId="0" applyNumberFormat="1" applyFont="1" applyFill="1" applyAlignment="1">
      <alignment horizontal="left" indent="1"/>
    </xf>
    <xf numFmtId="0" fontId="1" fillId="7" borderId="0" xfId="0" applyFont="1" applyFill="1"/>
    <xf numFmtId="0" fontId="52" fillId="7" borderId="0" xfId="0" applyFont="1" applyFill="1" applyBorder="1" applyAlignment="1">
      <alignment vertical="center" wrapText="1"/>
    </xf>
    <xf numFmtId="9" fontId="43" fillId="0" borderId="0" xfId="3" applyFont="1" applyFill="1" applyBorder="1" applyAlignment="1">
      <alignment horizontal="right" vertical="center" wrapText="1"/>
    </xf>
    <xf numFmtId="0" fontId="1" fillId="7" borderId="0" xfId="0" applyNumberFormat="1" applyFont="1" applyFill="1" applyAlignment="1">
      <alignment horizontal="left"/>
    </xf>
    <xf numFmtId="3" fontId="1" fillId="0" borderId="0" xfId="0" applyNumberFormat="1" applyFont="1" applyFill="1"/>
    <xf numFmtId="9" fontId="1" fillId="7" borderId="0" xfId="0" applyNumberFormat="1" applyFont="1" applyFill="1"/>
    <xf numFmtId="166" fontId="54" fillId="0" borderId="0" xfId="0" applyNumberFormat="1" applyFont="1" applyFill="1" applyBorder="1" applyAlignment="1">
      <alignment horizontal="right" vertical="center" wrapText="1"/>
    </xf>
    <xf numFmtId="0" fontId="52" fillId="7" borderId="0" xfId="0" applyFont="1" applyFill="1" applyAlignment="1">
      <alignment horizontal="left"/>
    </xf>
    <xf numFmtId="166" fontId="43" fillId="0" borderId="0" xfId="0" applyNumberFormat="1" applyFont="1" applyFill="1" applyBorder="1" applyAlignment="1">
      <alignment horizontal="right" vertical="center" wrapText="1"/>
    </xf>
    <xf numFmtId="0" fontId="1" fillId="7" borderId="0" xfId="0" applyFont="1" applyFill="1" applyAlignment="1">
      <alignment horizontal="left" indent="1"/>
    </xf>
    <xf numFmtId="166" fontId="1" fillId="7" borderId="0" xfId="0" applyNumberFormat="1" applyFont="1" applyFill="1"/>
    <xf numFmtId="43" fontId="1" fillId="7" borderId="0" xfId="0" applyNumberFormat="1" applyFont="1" applyFill="1"/>
    <xf numFmtId="3" fontId="54" fillId="0" borderId="0" xfId="0" applyNumberFormat="1" applyFont="1" applyFill="1" applyBorder="1" applyAlignment="1">
      <alignment horizontal="right" vertical="center" wrapText="1"/>
    </xf>
    <xf numFmtId="3" fontId="1" fillId="0" borderId="0" xfId="0" applyNumberFormat="1" applyFont="1" applyFill="1" applyBorder="1" applyAlignment="1">
      <alignment vertical="center" wrapText="1"/>
    </xf>
    <xf numFmtId="0" fontId="45" fillId="7" borderId="0" xfId="0" applyFont="1" applyFill="1"/>
    <xf numFmtId="0" fontId="137" fillId="7" borderId="0" xfId="0" applyFont="1" applyFill="1"/>
    <xf numFmtId="0" fontId="104" fillId="7" borderId="0" xfId="0" applyFont="1" applyFill="1"/>
    <xf numFmtId="0" fontId="80" fillId="6" borderId="0" xfId="0" applyFont="1" applyFill="1"/>
    <xf numFmtId="0" fontId="68" fillId="6" borderId="0" xfId="0" applyFont="1" applyFill="1"/>
    <xf numFmtId="0" fontId="124" fillId="7" borderId="0" xfId="0" applyFont="1" applyFill="1"/>
    <xf numFmtId="166" fontId="134" fillId="7" borderId="0" xfId="0" applyNumberFormat="1" applyFont="1" applyFill="1" applyAlignment="1">
      <alignment horizontal="right"/>
    </xf>
    <xf numFmtId="166" fontId="133" fillId="0" borderId="0" xfId="0" applyNumberFormat="1" applyFont="1" applyFill="1"/>
    <xf numFmtId="166" fontId="134" fillId="7" borderId="0" xfId="0" applyNumberFormat="1" applyFont="1" applyFill="1"/>
    <xf numFmtId="1" fontId="112" fillId="0" borderId="0" xfId="0" applyNumberFormat="1" applyFont="1" applyFill="1" applyAlignment="1">
      <alignment horizontal="right"/>
    </xf>
    <xf numFmtId="166" fontId="112" fillId="0" borderId="0" xfId="0" applyNumberFormat="1" applyFont="1" applyFill="1"/>
    <xf numFmtId="166" fontId="124" fillId="0" borderId="0" xfId="0" applyNumberFormat="1" applyFont="1" applyFill="1"/>
    <xf numFmtId="0" fontId="112" fillId="0" borderId="0" xfId="0" applyNumberFormat="1" applyFont="1" applyFill="1" applyAlignment="1">
      <alignment horizontal="right"/>
    </xf>
    <xf numFmtId="9" fontId="0" fillId="7" borderId="0" xfId="3" applyFont="1" applyFill="1"/>
    <xf numFmtId="1" fontId="112" fillId="7" borderId="0" xfId="0" applyNumberFormat="1" applyFont="1" applyFill="1"/>
    <xf numFmtId="166" fontId="112" fillId="7" borderId="0" xfId="0" applyNumberFormat="1" applyFont="1" applyFill="1"/>
    <xf numFmtId="166" fontId="105" fillId="7" borderId="0" xfId="0" applyNumberFormat="1" applyFont="1" applyFill="1"/>
    <xf numFmtId="166" fontId="99" fillId="7" borderId="0" xfId="0" applyNumberFormat="1" applyFont="1" applyFill="1"/>
    <xf numFmtId="1" fontId="0" fillId="0" borderId="0" xfId="0" applyNumberFormat="1" applyFont="1" applyFill="1" applyAlignment="1">
      <alignment horizontal="right"/>
    </xf>
    <xf numFmtId="166" fontId="0" fillId="0" borderId="0" xfId="0" applyNumberFormat="1" applyFont="1" applyFill="1"/>
    <xf numFmtId="0" fontId="0" fillId="7" borderId="0" xfId="0" applyFont="1" applyFill="1"/>
    <xf numFmtId="0" fontId="134" fillId="7" borderId="0" xfId="0" applyFont="1" applyFill="1" applyAlignment="1">
      <alignment horizontal="right"/>
    </xf>
    <xf numFmtId="0" fontId="1" fillId="7" borderId="18" xfId="0" applyFont="1" applyFill="1" applyBorder="1" applyAlignment="1">
      <alignment vertical="center" wrapText="1"/>
    </xf>
    <xf numFmtId="9" fontId="134" fillId="7" borderId="0" xfId="0" applyNumberFormat="1" applyFont="1" applyFill="1"/>
    <xf numFmtId="0" fontId="1" fillId="7" borderId="18" xfId="0" applyFont="1" applyFill="1" applyBorder="1"/>
    <xf numFmtId="0" fontId="1" fillId="7" borderId="19" xfId="0" applyFont="1" applyFill="1" applyBorder="1"/>
    <xf numFmtId="3" fontId="1" fillId="0" borderId="0" xfId="0" applyNumberFormat="1" applyFont="1" applyFill="1" applyBorder="1" applyAlignment="1">
      <alignment horizontal="right" vertical="center" wrapText="1"/>
    </xf>
    <xf numFmtId="0" fontId="0" fillId="7" borderId="0" xfId="0" applyFont="1" applyFill="1" applyAlignment="1">
      <alignment vertical="top"/>
    </xf>
    <xf numFmtId="0" fontId="52" fillId="7" borderId="0" xfId="0" applyFont="1" applyFill="1" applyBorder="1" applyAlignment="1">
      <alignment vertical="center"/>
    </xf>
    <xf numFmtId="166" fontId="0" fillId="7" borderId="0" xfId="0" applyNumberFormat="1" applyFont="1" applyFill="1"/>
    <xf numFmtId="166" fontId="0" fillId="7" borderId="0" xfId="0" applyNumberFormat="1" applyFont="1" applyFill="1" applyAlignment="1">
      <alignment horizontal="right" wrapText="1"/>
    </xf>
    <xf numFmtId="166" fontId="0" fillId="7" borderId="0" xfId="0" applyNumberFormat="1" applyFont="1" applyFill="1" applyAlignment="1">
      <alignment horizontal="right"/>
    </xf>
    <xf numFmtId="0" fontId="0" fillId="7" borderId="0" xfId="0" applyNumberFormat="1" applyFont="1" applyFill="1"/>
    <xf numFmtId="9" fontId="0" fillId="7" borderId="0" xfId="0" applyNumberFormat="1" applyFont="1" applyFill="1"/>
    <xf numFmtId="0" fontId="0" fillId="4" borderId="20" xfId="0" applyFont="1" applyFill="1" applyBorder="1"/>
    <xf numFmtId="0" fontId="0" fillId="4" borderId="20" xfId="0" applyFont="1" applyFill="1" applyBorder="1" applyAlignment="1">
      <alignment horizontal="right"/>
    </xf>
    <xf numFmtId="0" fontId="0" fillId="4" borderId="19" xfId="0" applyFont="1" applyFill="1" applyBorder="1"/>
    <xf numFmtId="0" fontId="0" fillId="4" borderId="3" xfId="0" applyFont="1" applyFill="1" applyBorder="1" applyAlignment="1">
      <alignment horizontal="right"/>
    </xf>
    <xf numFmtId="0" fontId="0" fillId="4" borderId="9" xfId="0" applyFont="1" applyFill="1" applyBorder="1" applyAlignment="1">
      <alignment horizontal="right"/>
    </xf>
    <xf numFmtId="0" fontId="0" fillId="4" borderId="19" xfId="0" applyFont="1" applyFill="1" applyBorder="1" applyAlignment="1">
      <alignment horizontal="right"/>
    </xf>
    <xf numFmtId="3" fontId="0" fillId="0" borderId="0" xfId="0" applyNumberFormat="1" applyFont="1" applyFill="1" applyBorder="1"/>
    <xf numFmtId="3" fontId="0" fillId="7" borderId="18" xfId="0" applyNumberFormat="1" applyFont="1" applyFill="1" applyBorder="1"/>
    <xf numFmtId="3" fontId="0" fillId="0" borderId="3" xfId="0" applyNumberFormat="1" applyFont="1" applyFill="1" applyBorder="1"/>
    <xf numFmtId="3" fontId="0" fillId="7" borderId="19" xfId="0" applyNumberFormat="1" applyFont="1" applyFill="1" applyBorder="1"/>
    <xf numFmtId="3" fontId="0" fillId="7" borderId="0" xfId="0" applyNumberFormat="1" applyFont="1" applyFill="1" applyBorder="1"/>
    <xf numFmtId="0" fontId="99" fillId="7" borderId="0" xfId="0" applyFont="1" applyFill="1" applyAlignment="1">
      <alignment vertical="center"/>
    </xf>
    <xf numFmtId="0" fontId="138" fillId="7" borderId="0" xfId="0" applyNumberFormat="1" applyFont="1" applyFill="1" applyAlignment="1">
      <alignment horizontal="left" indent="1"/>
    </xf>
    <xf numFmtId="166" fontId="99" fillId="7" borderId="0" xfId="0" applyNumberFormat="1" applyFont="1" applyFill="1" applyAlignment="1">
      <alignment horizontal="right" wrapText="1"/>
    </xf>
    <xf numFmtId="0" fontId="0" fillId="0" borderId="0" xfId="0" applyNumberFormat="1" applyFont="1" applyFill="1" applyAlignment="1">
      <alignment horizontal="right"/>
    </xf>
    <xf numFmtId="0" fontId="99" fillId="7" borderId="0" xfId="0" applyFont="1" applyFill="1" applyAlignment="1">
      <alignment horizontal="right" wrapText="1"/>
    </xf>
    <xf numFmtId="166" fontId="111" fillId="7" borderId="0" xfId="0" applyNumberFormat="1" applyFont="1" applyFill="1" applyAlignment="1">
      <alignment horizontal="right" vertical="center"/>
    </xf>
    <xf numFmtId="3" fontId="43" fillId="0" borderId="0" xfId="0" applyNumberFormat="1" applyFont="1" applyFill="1"/>
    <xf numFmtId="0" fontId="124" fillId="7" borderId="0" xfId="0" applyFont="1" applyFill="1" applyAlignment="1">
      <alignment horizontal="right"/>
    </xf>
    <xf numFmtId="0" fontId="1" fillId="4" borderId="0" xfId="7" applyFont="1" applyFill="1" applyBorder="1" applyAlignment="1"/>
    <xf numFmtId="3" fontId="54" fillId="0" borderId="0" xfId="0" applyNumberFormat="1" applyFont="1" applyFill="1" applyBorder="1"/>
    <xf numFmtId="3" fontId="54" fillId="0" borderId="5" xfId="0" applyNumberFormat="1" applyFont="1" applyFill="1" applyBorder="1"/>
    <xf numFmtId="3" fontId="54" fillId="0" borderId="3" xfId="0" applyNumberFormat="1" applyFont="1" applyFill="1" applyBorder="1"/>
    <xf numFmtId="3" fontId="54" fillId="0" borderId="9" xfId="0" applyNumberFormat="1" applyFont="1" applyFill="1" applyBorder="1"/>
    <xf numFmtId="3" fontId="54" fillId="0" borderId="4" xfId="0" applyNumberFormat="1" applyFont="1" applyFill="1" applyBorder="1"/>
    <xf numFmtId="3" fontId="54" fillId="0" borderId="16" xfId="0" applyNumberFormat="1" applyFont="1" applyFill="1" applyBorder="1"/>
    <xf numFmtId="165" fontId="43" fillId="4" borderId="9" xfId="3" applyNumberFormat="1" applyFont="1" applyFill="1" applyBorder="1"/>
    <xf numFmtId="0" fontId="43" fillId="4" borderId="7" xfId="0" applyFont="1" applyFill="1" applyBorder="1" applyAlignment="1">
      <alignment horizontal="right"/>
    </xf>
    <xf numFmtId="166" fontId="43" fillId="4" borderId="4" xfId="2" applyNumberFormat="1" applyFont="1" applyFill="1" applyBorder="1"/>
    <xf numFmtId="166" fontId="43" fillId="4" borderId="16" xfId="2" applyNumberFormat="1" applyFont="1" applyFill="1" applyBorder="1"/>
    <xf numFmtId="166" fontId="43" fillId="4" borderId="3" xfId="2" applyNumberFormat="1" applyFont="1" applyFill="1" applyBorder="1"/>
    <xf numFmtId="166" fontId="43" fillId="4" borderId="9" xfId="2" applyNumberFormat="1" applyFont="1" applyFill="1" applyBorder="1"/>
    <xf numFmtId="0" fontId="0" fillId="7" borderId="0" xfId="0" applyFont="1" applyFill="1" applyAlignment="1">
      <alignment horizontal="right" wrapText="1"/>
    </xf>
    <xf numFmtId="0" fontId="105" fillId="7" borderId="0" xfId="0" applyFont="1" applyFill="1"/>
    <xf numFmtId="0" fontId="105" fillId="7" borderId="0" xfId="0" applyFont="1" applyFill="1" applyAlignment="1">
      <alignment horizontal="right"/>
    </xf>
    <xf numFmtId="9" fontId="105" fillId="7" borderId="0" xfId="0" applyNumberFormat="1" applyFont="1" applyFill="1" applyAlignment="1">
      <alignment horizontal="left"/>
    </xf>
    <xf numFmtId="0" fontId="70" fillId="8" borderId="0" xfId="0" applyFont="1" applyFill="1" applyBorder="1" applyAlignment="1">
      <alignment horizontal="left" vertical="center" wrapText="1"/>
    </xf>
    <xf numFmtId="0" fontId="70" fillId="25" borderId="0" xfId="0" applyFont="1" applyFill="1" applyBorder="1" applyAlignment="1">
      <alignment horizontal="left" vertical="center" wrapText="1"/>
    </xf>
    <xf numFmtId="0" fontId="70" fillId="24" borderId="0" xfId="0" applyFont="1" applyFill="1" applyBorder="1" applyAlignment="1">
      <alignment horizontal="left" vertical="center" wrapText="1"/>
    </xf>
    <xf numFmtId="0" fontId="70" fillId="13" borderId="0" xfId="0" applyFont="1" applyFill="1" applyBorder="1" applyAlignment="1">
      <alignment horizontal="left" vertical="center" wrapText="1"/>
    </xf>
    <xf numFmtId="0" fontId="70" fillId="15" borderId="0" xfId="0" applyFont="1" applyFill="1" applyBorder="1" applyAlignment="1">
      <alignment horizontal="left" vertical="center" wrapText="1"/>
    </xf>
    <xf numFmtId="0" fontId="70" fillId="22" borderId="0" xfId="0" applyFont="1" applyFill="1" applyBorder="1" applyAlignment="1">
      <alignment horizontal="left" vertical="center" wrapText="1"/>
    </xf>
    <xf numFmtId="0" fontId="70" fillId="21" borderId="0" xfId="0" applyFont="1" applyFill="1" applyBorder="1" applyAlignment="1">
      <alignment horizontal="left" vertical="center" wrapText="1"/>
    </xf>
    <xf numFmtId="0" fontId="140" fillId="26" borderId="0" xfId="0" applyFont="1" applyFill="1" applyBorder="1" applyAlignment="1">
      <alignment horizontal="center" vertical="center"/>
    </xf>
    <xf numFmtId="0" fontId="140" fillId="25" borderId="0" xfId="0" applyFont="1" applyFill="1" applyBorder="1" applyAlignment="1">
      <alignment horizontal="center" vertical="center" wrapText="1"/>
    </xf>
    <xf numFmtId="0" fontId="140" fillId="24" borderId="0" xfId="0" applyFont="1" applyFill="1" applyBorder="1" applyAlignment="1">
      <alignment horizontal="center" vertical="center" wrapText="1"/>
    </xf>
    <xf numFmtId="0" fontId="140" fillId="8" borderId="0" xfId="0" applyFont="1" applyFill="1" applyBorder="1" applyAlignment="1">
      <alignment horizontal="center" vertical="center" wrapText="1"/>
    </xf>
    <xf numFmtId="0" fontId="140" fillId="21" borderId="0" xfId="0" applyFont="1" applyFill="1" applyBorder="1" applyAlignment="1">
      <alignment horizontal="center" vertical="center" wrapText="1"/>
    </xf>
    <xf numFmtId="0" fontId="141" fillId="22" borderId="0" xfId="0" applyFont="1" applyFill="1" applyBorder="1" applyAlignment="1">
      <alignment horizontal="center" vertical="center" wrapText="1"/>
    </xf>
    <xf numFmtId="0" fontId="141" fillId="13" borderId="0" xfId="0" applyFont="1" applyFill="1" applyBorder="1" applyAlignment="1">
      <alignment horizontal="center" vertical="center" wrapText="1"/>
    </xf>
    <xf numFmtId="0" fontId="141" fillId="15" borderId="0" xfId="0" applyFont="1" applyFill="1" applyBorder="1" applyAlignment="1">
      <alignment horizontal="center" vertical="center" wrapText="1"/>
    </xf>
    <xf numFmtId="0" fontId="50" fillId="26" borderId="0" xfId="0" applyFont="1" applyFill="1" applyBorder="1" applyAlignment="1">
      <alignment horizontal="left" vertical="center"/>
    </xf>
    <xf numFmtId="0" fontId="62" fillId="7" borderId="24" xfId="0" applyFont="1" applyFill="1" applyBorder="1" applyAlignment="1">
      <alignment vertical="top" wrapText="1"/>
    </xf>
    <xf numFmtId="0" fontId="44" fillId="2" borderId="0" xfId="0" applyNumberFormat="1" applyFont="1" applyFill="1" applyAlignment="1">
      <alignment horizontal="right"/>
    </xf>
    <xf numFmtId="0" fontId="142" fillId="27" borderId="0" xfId="0" applyFont="1" applyFill="1" applyAlignment="1">
      <alignment vertical="center"/>
    </xf>
    <xf numFmtId="0" fontId="66" fillId="7" borderId="0" xfId="7" applyFill="1"/>
    <xf numFmtId="0" fontId="1" fillId="4" borderId="0" xfId="0" applyFont="1" applyFill="1" applyAlignment="1">
      <alignment vertical="top" wrapText="1"/>
    </xf>
    <xf numFmtId="0" fontId="74" fillId="11" borderId="4" xfId="0" applyFont="1" applyFill="1" applyBorder="1" applyAlignment="1">
      <alignment horizontal="center"/>
    </xf>
    <xf numFmtId="0" fontId="57" fillId="4" borderId="7" xfId="0" applyFont="1" applyFill="1" applyBorder="1"/>
    <xf numFmtId="0" fontId="43" fillId="4" borderId="16" xfId="0" applyFont="1" applyFill="1" applyBorder="1"/>
    <xf numFmtId="0" fontId="43" fillId="11" borderId="4" xfId="0" applyFont="1" applyFill="1" applyBorder="1" applyAlignment="1">
      <alignment horizontal="right"/>
    </xf>
    <xf numFmtId="9" fontId="43" fillId="11" borderId="4" xfId="3" applyFont="1" applyFill="1" applyBorder="1"/>
    <xf numFmtId="9" fontId="43" fillId="11" borderId="7" xfId="3" applyFont="1" applyFill="1" applyBorder="1"/>
    <xf numFmtId="165" fontId="43" fillId="11" borderId="16" xfId="3" applyNumberFormat="1" applyFont="1" applyFill="1" applyBorder="1"/>
    <xf numFmtId="169" fontId="54" fillId="11" borderId="4" xfId="0" applyNumberFormat="1" applyFont="1" applyFill="1" applyBorder="1" applyAlignment="1"/>
    <xf numFmtId="169" fontId="54" fillId="11" borderId="16" xfId="0" applyNumberFormat="1" applyFont="1" applyFill="1" applyBorder="1" applyAlignment="1"/>
    <xf numFmtId="0" fontId="43" fillId="11" borderId="6" xfId="0" applyFont="1" applyFill="1" applyBorder="1" applyAlignment="1">
      <alignment horizontal="right"/>
    </xf>
    <xf numFmtId="0" fontId="43" fillId="11" borderId="0" xfId="0" applyFont="1" applyFill="1" applyBorder="1" applyAlignment="1">
      <alignment horizontal="right"/>
    </xf>
    <xf numFmtId="0" fontId="43" fillId="11" borderId="8" xfId="0" applyFont="1" applyFill="1" applyBorder="1"/>
    <xf numFmtId="0" fontId="43" fillId="11" borderId="3" xfId="0" applyFont="1" applyFill="1" applyBorder="1" applyAlignment="1">
      <alignment horizontal="right"/>
    </xf>
    <xf numFmtId="9" fontId="43" fillId="11" borderId="6" xfId="3" applyFont="1" applyFill="1" applyBorder="1"/>
    <xf numFmtId="165" fontId="43" fillId="11" borderId="5" xfId="3" applyNumberFormat="1" applyFont="1" applyFill="1" applyBorder="1"/>
    <xf numFmtId="0" fontId="61" fillId="11" borderId="0" xfId="0" applyFont="1" applyFill="1" applyBorder="1"/>
    <xf numFmtId="170" fontId="43" fillId="11" borderId="0" xfId="0" applyNumberFormat="1" applyFont="1" applyFill="1" applyBorder="1"/>
    <xf numFmtId="9" fontId="43" fillId="11" borderId="3" xfId="3" applyFont="1" applyFill="1" applyBorder="1"/>
    <xf numFmtId="9" fontId="43" fillId="11" borderId="8" xfId="3" applyFont="1" applyFill="1" applyBorder="1"/>
    <xf numFmtId="165" fontId="43" fillId="11" borderId="9" xfId="3" applyNumberFormat="1" applyFont="1" applyFill="1" applyBorder="1"/>
    <xf numFmtId="0" fontId="43" fillId="11" borderId="3" xfId="0" applyFont="1" applyFill="1" applyBorder="1"/>
    <xf numFmtId="0" fontId="43" fillId="11" borderId="9" xfId="0" applyFont="1" applyFill="1" applyBorder="1"/>
    <xf numFmtId="0" fontId="74" fillId="4" borderId="4" xfId="0" applyFont="1" applyFill="1" applyBorder="1" applyAlignment="1">
      <alignment horizontal="center"/>
    </xf>
    <xf numFmtId="0" fontId="74" fillId="4" borderId="4" xfId="0" applyFont="1" applyFill="1" applyBorder="1" applyAlignment="1"/>
    <xf numFmtId="0" fontId="74" fillId="4" borderId="16" xfId="0" applyFont="1" applyFill="1" applyBorder="1" applyAlignment="1"/>
    <xf numFmtId="0" fontId="65" fillId="4" borderId="0" xfId="0" applyFont="1" applyFill="1" applyBorder="1"/>
    <xf numFmtId="0" fontId="57" fillId="4" borderId="5" xfId="0" applyFont="1" applyFill="1" applyBorder="1" applyAlignment="1">
      <alignment horizontal="right"/>
    </xf>
    <xf numFmtId="0" fontId="43" fillId="4" borderId="6" xfId="6" applyFont="1" applyFill="1" applyBorder="1" applyAlignment="1">
      <alignment horizontal="right" vertical="center" wrapText="1"/>
    </xf>
    <xf numFmtId="0" fontId="43" fillId="4" borderId="22" xfId="0" applyFont="1" applyFill="1" applyBorder="1" applyAlignment="1">
      <alignment horizontal="left" vertical="top" wrapText="1"/>
    </xf>
    <xf numFmtId="0" fontId="43" fillId="4" borderId="14" xfId="0" applyFont="1" applyFill="1" applyBorder="1" applyAlignment="1">
      <alignment horizontal="left" vertical="top" wrapText="1"/>
    </xf>
    <xf numFmtId="0" fontId="45" fillId="4" borderId="12" xfId="0" applyFont="1" applyFill="1" applyBorder="1" applyAlignment="1">
      <alignment horizontal="right" vertical="top"/>
    </xf>
    <xf numFmtId="0" fontId="45" fillId="4" borderId="13" xfId="0" applyFont="1" applyFill="1" applyBorder="1" applyAlignment="1">
      <alignment horizontal="right" vertical="top"/>
    </xf>
    <xf numFmtId="3" fontId="35" fillId="7" borderId="0" xfId="0" applyNumberFormat="1" applyFont="1" applyFill="1" applyBorder="1" applyAlignment="1">
      <alignment horizontal="right" vertical="top"/>
    </xf>
    <xf numFmtId="3" fontId="43" fillId="4" borderId="10" xfId="4" applyNumberFormat="1" applyFont="1" applyFill="1" applyBorder="1" applyAlignment="1">
      <alignment horizontal="right" vertical="top"/>
    </xf>
    <xf numFmtId="3" fontId="43" fillId="4" borderId="2" xfId="4" applyNumberFormat="1" applyFont="1" applyFill="1" applyBorder="1" applyAlignment="1">
      <alignment horizontal="right" vertical="top"/>
    </xf>
    <xf numFmtId="3" fontId="43" fillId="4" borderId="11" xfId="4" applyNumberFormat="1" applyFont="1" applyFill="1" applyBorder="1" applyAlignment="1">
      <alignment horizontal="right" vertical="top"/>
    </xf>
    <xf numFmtId="3" fontId="143" fillId="4" borderId="10" xfId="4" applyNumberFormat="1" applyFont="1" applyFill="1" applyBorder="1" applyAlignment="1">
      <alignment horizontal="right" vertical="top"/>
    </xf>
    <xf numFmtId="3" fontId="143" fillId="4" borderId="2" xfId="4" applyNumberFormat="1" applyFont="1" applyFill="1" applyBorder="1" applyAlignment="1">
      <alignment horizontal="right" vertical="top"/>
    </xf>
    <xf numFmtId="3" fontId="143" fillId="4" borderId="11" xfId="4" applyNumberFormat="1" applyFont="1" applyFill="1" applyBorder="1" applyAlignment="1">
      <alignment horizontal="right" vertical="top"/>
    </xf>
    <xf numFmtId="1" fontId="104" fillId="4" borderId="0" xfId="0" applyNumberFormat="1" applyFont="1" applyFill="1" applyBorder="1"/>
    <xf numFmtId="1" fontId="54" fillId="4" borderId="4" xfId="0" applyNumberFormat="1" applyFont="1" applyFill="1" applyBorder="1" applyAlignment="1"/>
    <xf numFmtId="1" fontId="54" fillId="4" borderId="16" xfId="0" applyNumberFormat="1" applyFont="1" applyFill="1" applyBorder="1" applyAlignment="1"/>
    <xf numFmtId="1" fontId="43" fillId="0" borderId="0" xfId="0" applyNumberFormat="1" applyFont="1" applyFill="1" applyBorder="1"/>
    <xf numFmtId="1" fontId="43" fillId="0" borderId="5" xfId="0" applyNumberFormat="1" applyFont="1" applyFill="1" applyBorder="1"/>
    <xf numFmtId="1" fontId="43" fillId="4" borderId="0" xfId="0" applyNumberFormat="1" applyFont="1" applyFill="1" applyBorder="1"/>
    <xf numFmtId="1" fontId="43" fillId="4" borderId="3" xfId="0" applyNumberFormat="1" applyFont="1" applyFill="1" applyBorder="1"/>
    <xf numFmtId="1" fontId="43" fillId="0" borderId="4" xfId="0" applyNumberFormat="1" applyFont="1" applyFill="1" applyBorder="1"/>
    <xf numFmtId="1" fontId="43" fillId="0" borderId="16" xfId="0" applyNumberFormat="1" applyFont="1" applyFill="1" applyBorder="1"/>
    <xf numFmtId="1" fontId="43" fillId="11" borderId="0" xfId="0" applyNumberFormat="1" applyFont="1" applyFill="1" applyBorder="1"/>
    <xf numFmtId="1" fontId="43" fillId="11" borderId="3" xfId="0" applyNumberFormat="1" applyFont="1" applyFill="1" applyBorder="1"/>
    <xf numFmtId="3" fontId="1" fillId="7" borderId="0" xfId="0" applyNumberFormat="1" applyFont="1" applyFill="1" applyAlignment="1">
      <alignment horizontal="right" vertical="top"/>
    </xf>
    <xf numFmtId="167" fontId="43" fillId="4" borderId="0" xfId="0" applyNumberFormat="1" applyFont="1" applyFill="1" applyBorder="1"/>
    <xf numFmtId="167" fontId="43" fillId="4" borderId="4" xfId="0" applyNumberFormat="1" applyFont="1" applyFill="1" applyBorder="1"/>
    <xf numFmtId="177" fontId="43" fillId="4" borderId="7" xfId="0" applyNumberFormat="1" applyFont="1" applyFill="1" applyBorder="1"/>
    <xf numFmtId="177" fontId="43" fillId="4" borderId="6" xfId="0" applyNumberFormat="1" applyFont="1" applyFill="1" applyBorder="1"/>
    <xf numFmtId="43" fontId="43" fillId="4" borderId="8" xfId="0" applyNumberFormat="1" applyFont="1" applyFill="1" applyBorder="1"/>
    <xf numFmtId="0" fontId="57" fillId="11" borderId="7" xfId="0" applyFont="1" applyFill="1" applyBorder="1" applyAlignment="1">
      <alignment horizontal="right"/>
    </xf>
    <xf numFmtId="0" fontId="57" fillId="11" borderId="16" xfId="0" applyFont="1" applyFill="1" applyBorder="1"/>
    <xf numFmtId="0" fontId="57" fillId="11" borderId="28" xfId="0" applyFont="1" applyFill="1" applyBorder="1"/>
    <xf numFmtId="0" fontId="57" fillId="11" borderId="28" xfId="0" applyFont="1" applyFill="1" applyBorder="1" applyAlignment="1">
      <alignment horizontal="right"/>
    </xf>
    <xf numFmtId="0" fontId="57" fillId="11" borderId="21" xfId="0" applyFont="1" applyFill="1" applyBorder="1" applyAlignment="1">
      <alignment horizontal="right"/>
    </xf>
    <xf numFmtId="1" fontId="43" fillId="4" borderId="4" xfId="0" applyNumberFormat="1" applyFont="1" applyFill="1" applyBorder="1"/>
    <xf numFmtId="177" fontId="43" fillId="4" borderId="8" xfId="0" applyNumberFormat="1" applyFont="1" applyFill="1" applyBorder="1"/>
    <xf numFmtId="0" fontId="70" fillId="22" borderId="7" xfId="0" applyFont="1" applyFill="1" applyBorder="1" applyAlignment="1">
      <alignment horizontal="right"/>
    </xf>
    <xf numFmtId="0" fontId="70" fillId="22" borderId="4" xfId="0" applyFont="1" applyFill="1" applyBorder="1" applyAlignment="1">
      <alignment horizontal="right"/>
    </xf>
    <xf numFmtId="0" fontId="43" fillId="15" borderId="7" xfId="0" applyFont="1" applyFill="1" applyBorder="1" applyAlignment="1">
      <alignment horizontal="right"/>
    </xf>
    <xf numFmtId="0" fontId="43" fillId="15" borderId="4" xfId="0" applyFont="1" applyFill="1" applyBorder="1" applyAlignment="1">
      <alignment horizontal="right"/>
    </xf>
    <xf numFmtId="0" fontId="43" fillId="24" borderId="7" xfId="0" applyFont="1" applyFill="1" applyBorder="1" applyAlignment="1">
      <alignment horizontal="right"/>
    </xf>
    <xf numFmtId="0" fontId="43" fillId="24" borderId="4" xfId="0" applyFont="1" applyFill="1" applyBorder="1" applyAlignment="1">
      <alignment horizontal="right"/>
    </xf>
    <xf numFmtId="2" fontId="43" fillId="4" borderId="4" xfId="0" applyNumberFormat="1" applyFont="1" applyFill="1" applyBorder="1"/>
    <xf numFmtId="2" fontId="43" fillId="4" borderId="3" xfId="0" applyNumberFormat="1" applyFont="1" applyFill="1" applyBorder="1"/>
    <xf numFmtId="0" fontId="43" fillId="11" borderId="5" xfId="0" applyFont="1" applyFill="1" applyBorder="1" applyAlignment="1">
      <alignment horizontal="right" wrapText="1"/>
    </xf>
    <xf numFmtId="1" fontId="43" fillId="0" borderId="20" xfId="6" applyNumberFormat="1" applyFont="1" applyFill="1" applyBorder="1" applyAlignment="1">
      <alignment vertical="center" wrapText="1"/>
    </xf>
    <xf numFmtId="0" fontId="51" fillId="7" borderId="12" xfId="0" applyFont="1" applyFill="1" applyBorder="1" applyAlignment="1">
      <alignment horizontal="center" vertical="center"/>
    </xf>
    <xf numFmtId="0" fontId="51" fillId="7" borderId="15" xfId="0" applyFont="1" applyFill="1" applyBorder="1" applyAlignment="1">
      <alignment horizontal="center" vertical="center"/>
    </xf>
    <xf numFmtId="0" fontId="51" fillId="7" borderId="13" xfId="0" applyFont="1" applyFill="1" applyBorder="1" applyAlignment="1">
      <alignment horizontal="center" vertical="center"/>
    </xf>
    <xf numFmtId="9" fontId="54" fillId="7" borderId="12" xfId="3" applyFont="1" applyFill="1" applyBorder="1" applyAlignment="1">
      <alignment horizontal="center"/>
    </xf>
    <xf numFmtId="9" fontId="54" fillId="7" borderId="24" xfId="3" applyFont="1" applyFill="1" applyBorder="1" applyAlignment="1">
      <alignment horizontal="center"/>
    </xf>
    <xf numFmtId="9" fontId="54" fillId="7" borderId="22" xfId="3" applyFont="1" applyFill="1" applyBorder="1" applyAlignment="1">
      <alignment horizontal="center"/>
    </xf>
    <xf numFmtId="9" fontId="54" fillId="7" borderId="15" xfId="3" applyFont="1" applyFill="1" applyBorder="1" applyAlignment="1">
      <alignment horizontal="center"/>
    </xf>
    <xf numFmtId="9" fontId="54" fillId="7" borderId="0" xfId="3" applyFont="1" applyFill="1" applyBorder="1" applyAlignment="1">
      <alignment horizontal="center"/>
    </xf>
    <xf numFmtId="9" fontId="54" fillId="7" borderId="23" xfId="3" applyFont="1" applyFill="1" applyBorder="1" applyAlignment="1">
      <alignment horizontal="center"/>
    </xf>
    <xf numFmtId="9" fontId="54" fillId="7" borderId="13" xfId="3" applyFont="1" applyFill="1" applyBorder="1" applyAlignment="1">
      <alignment horizontal="center"/>
    </xf>
    <xf numFmtId="9" fontId="54" fillId="7" borderId="1" xfId="3" applyFont="1" applyFill="1" applyBorder="1" applyAlignment="1">
      <alignment horizontal="center"/>
    </xf>
    <xf numFmtId="9" fontId="54" fillId="7" borderId="14" xfId="3" applyFont="1" applyFill="1" applyBorder="1" applyAlignment="1">
      <alignment horizontal="center"/>
    </xf>
    <xf numFmtId="9" fontId="51" fillId="7" borderId="12" xfId="0" applyNumberFormat="1" applyFont="1" applyFill="1" applyBorder="1"/>
    <xf numFmtId="0" fontId="39" fillId="7" borderId="22" xfId="0" applyFont="1" applyFill="1" applyBorder="1"/>
    <xf numFmtId="9" fontId="51" fillId="7" borderId="15" xfId="0" applyNumberFormat="1" applyFont="1" applyFill="1" applyBorder="1"/>
    <xf numFmtId="0" fontId="39" fillId="7" borderId="23" xfId="0" applyFont="1" applyFill="1" applyBorder="1"/>
    <xf numFmtId="9" fontId="54" fillId="7" borderId="15" xfId="0" applyNumberFormat="1" applyFont="1" applyFill="1" applyBorder="1"/>
    <xf numFmtId="9" fontId="54" fillId="7" borderId="23" xfId="0" applyNumberFormat="1" applyFont="1" applyFill="1" applyBorder="1"/>
    <xf numFmtId="9" fontId="51" fillId="7" borderId="13" xfId="0" applyNumberFormat="1" applyFont="1" applyFill="1" applyBorder="1"/>
    <xf numFmtId="0" fontId="39" fillId="7" borderId="14" xfId="0" applyFont="1" applyFill="1" applyBorder="1"/>
    <xf numFmtId="3" fontId="71" fillId="4" borderId="40" xfId="6" applyNumberFormat="1" applyFont="1" applyFill="1" applyBorder="1" applyAlignment="1" applyProtection="1">
      <alignment vertical="center" wrapText="1"/>
      <protection locked="0"/>
    </xf>
    <xf numFmtId="3" fontId="71" fillId="4" borderId="41" xfId="6" applyNumberFormat="1" applyFont="1" applyFill="1" applyBorder="1" applyAlignment="1" applyProtection="1">
      <alignment vertical="center" wrapText="1"/>
      <protection locked="0"/>
    </xf>
    <xf numFmtId="3" fontId="71" fillId="4" borderId="42" xfId="6" applyNumberFormat="1" applyFont="1" applyFill="1" applyBorder="1" applyAlignment="1" applyProtection="1">
      <alignment vertical="center" wrapText="1"/>
      <protection locked="0"/>
    </xf>
    <xf numFmtId="3" fontId="71" fillId="4" borderId="43" xfId="6" applyNumberFormat="1" applyFont="1" applyFill="1" applyBorder="1" applyAlignment="1" applyProtection="1">
      <alignment vertical="center" wrapText="1"/>
      <protection locked="0"/>
    </xf>
    <xf numFmtId="3" fontId="71" fillId="4" borderId="0" xfId="6" applyNumberFormat="1" applyFont="1" applyFill="1" applyBorder="1" applyAlignment="1" applyProtection="1">
      <alignment vertical="center" wrapText="1"/>
      <protection locked="0"/>
    </xf>
    <xf numFmtId="3" fontId="71" fillId="4" borderId="44" xfId="6" applyNumberFormat="1" applyFont="1" applyFill="1" applyBorder="1" applyAlignment="1" applyProtection="1">
      <alignment vertical="center" wrapText="1"/>
      <protection locked="0"/>
    </xf>
    <xf numFmtId="3" fontId="71" fillId="4" borderId="45" xfId="6" applyNumberFormat="1" applyFont="1" applyFill="1" applyBorder="1" applyAlignment="1" applyProtection="1">
      <alignment vertical="center" wrapText="1"/>
      <protection locked="0"/>
    </xf>
    <xf numFmtId="3" fontId="71" fillId="4" borderId="46" xfId="6" applyNumberFormat="1" applyFont="1" applyFill="1" applyBorder="1" applyAlignment="1" applyProtection="1">
      <alignment vertical="center" wrapText="1"/>
      <protection locked="0"/>
    </xf>
    <xf numFmtId="3" fontId="71" fillId="4" borderId="47" xfId="6" applyNumberFormat="1" applyFont="1" applyFill="1" applyBorder="1" applyAlignment="1" applyProtection="1">
      <alignment vertical="center" wrapText="1"/>
      <protection locked="0"/>
    </xf>
    <xf numFmtId="166" fontId="52" fillId="11" borderId="0" xfId="2" applyNumberFormat="1" applyFont="1" applyFill="1" applyAlignment="1">
      <alignment vertical="top"/>
    </xf>
    <xf numFmtId="9" fontId="1" fillId="0" borderId="0" xfId="3" applyFont="1" applyFill="1" applyBorder="1" applyAlignment="1">
      <alignment vertical="center"/>
    </xf>
    <xf numFmtId="165" fontId="1" fillId="0" borderId="0" xfId="0" applyNumberFormat="1" applyFont="1" applyFill="1" applyBorder="1" applyAlignment="1" applyProtection="1">
      <alignment horizontal="right" vertical="center"/>
      <protection locked="0"/>
    </xf>
    <xf numFmtId="9" fontId="1" fillId="0" borderId="0" xfId="3" applyFont="1" applyFill="1"/>
    <xf numFmtId="9" fontId="1" fillId="0" borderId="0" xfId="0" applyNumberFormat="1" applyFont="1" applyFill="1" applyBorder="1"/>
    <xf numFmtId="0" fontId="1" fillId="4" borderId="13" xfId="0" applyFont="1" applyFill="1" applyBorder="1" applyAlignment="1">
      <alignment horizontal="right" vertical="top"/>
    </xf>
    <xf numFmtId="170" fontId="43" fillId="4" borderId="9" xfId="0" applyNumberFormat="1" applyFont="1" applyFill="1" applyBorder="1"/>
    <xf numFmtId="0" fontId="57" fillId="11" borderId="6" xfId="6" applyFont="1" applyFill="1" applyBorder="1" applyAlignment="1">
      <alignment horizontal="right" vertical="center" wrapText="1"/>
    </xf>
    <xf numFmtId="167" fontId="43" fillId="0" borderId="6" xfId="0" applyNumberFormat="1" applyFont="1" applyFill="1" applyBorder="1"/>
    <xf numFmtId="170" fontId="1" fillId="0" borderId="5" xfId="0" applyNumberFormat="1" applyFont="1" applyFill="1" applyBorder="1"/>
    <xf numFmtId="0" fontId="40" fillId="4" borderId="0" xfId="0" applyFont="1" applyFill="1" applyAlignment="1" applyProtection="1">
      <alignment vertical="top"/>
      <protection locked="0"/>
    </xf>
    <xf numFmtId="3" fontId="40" fillId="4" borderId="12" xfId="0" applyNumberFormat="1" applyFont="1" applyFill="1" applyBorder="1" applyAlignment="1" applyProtection="1">
      <alignment vertical="top"/>
      <protection locked="0"/>
    </xf>
    <xf numFmtId="3" fontId="40" fillId="4" borderId="24" xfId="0" applyNumberFormat="1" applyFont="1" applyFill="1" applyBorder="1" applyAlignment="1" applyProtection="1">
      <alignment vertical="top"/>
      <protection locked="0"/>
    </xf>
    <xf numFmtId="3" fontId="40" fillId="4" borderId="22" xfId="0" applyNumberFormat="1" applyFont="1" applyFill="1" applyBorder="1" applyAlignment="1" applyProtection="1">
      <alignment vertical="top"/>
      <protection locked="0"/>
    </xf>
    <xf numFmtId="3" fontId="40" fillId="4" borderId="15" xfId="0" applyNumberFormat="1" applyFont="1" applyFill="1" applyBorder="1" applyAlignment="1" applyProtection="1">
      <alignment vertical="top"/>
      <protection locked="0"/>
    </xf>
    <xf numFmtId="3" fontId="40" fillId="4" borderId="0" xfId="0" applyNumberFormat="1" applyFont="1" applyFill="1" applyBorder="1" applyAlignment="1" applyProtection="1">
      <alignment vertical="top"/>
      <protection locked="0"/>
    </xf>
    <xf numFmtId="3" fontId="40" fillId="4" borderId="23" xfId="0" applyNumberFormat="1" applyFont="1" applyFill="1" applyBorder="1" applyAlignment="1" applyProtection="1">
      <alignment vertical="top"/>
      <protection locked="0"/>
    </xf>
    <xf numFmtId="3" fontId="40" fillId="4" borderId="13" xfId="0" applyNumberFormat="1" applyFont="1" applyFill="1" applyBorder="1" applyAlignment="1" applyProtection="1">
      <alignment vertical="top"/>
      <protection locked="0"/>
    </xf>
    <xf numFmtId="3" fontId="40" fillId="4" borderId="1" xfId="0" applyNumberFormat="1" applyFont="1" applyFill="1" applyBorder="1" applyAlignment="1" applyProtection="1">
      <alignment vertical="top"/>
      <protection locked="0"/>
    </xf>
    <xf numFmtId="3" fontId="40" fillId="4" borderId="14" xfId="0" applyNumberFormat="1" applyFont="1" applyFill="1" applyBorder="1" applyAlignment="1" applyProtection="1">
      <alignment vertical="top"/>
      <protection locked="0"/>
    </xf>
    <xf numFmtId="0" fontId="52" fillId="4" borderId="0" xfId="0" applyFont="1" applyFill="1" applyBorder="1"/>
    <xf numFmtId="0" fontId="1" fillId="4" borderId="13" xfId="0" applyFont="1" applyFill="1" applyBorder="1" applyAlignment="1">
      <alignment horizontal="center"/>
    </xf>
    <xf numFmtId="0" fontId="1" fillId="4" borderId="1" xfId="0" applyFont="1" applyFill="1" applyBorder="1" applyAlignment="1">
      <alignment horizontal="center"/>
    </xf>
    <xf numFmtId="0" fontId="39" fillId="4" borderId="0" xfId="0" applyFont="1" applyFill="1" applyAlignment="1">
      <alignment horizontal="center"/>
    </xf>
    <xf numFmtId="0" fontId="1" fillId="4" borderId="0" xfId="0" applyFont="1" applyFill="1" applyAlignment="1">
      <alignment horizontal="center"/>
    </xf>
    <xf numFmtId="9" fontId="54" fillId="7" borderId="10" xfId="3" applyFont="1" applyFill="1" applyBorder="1" applyAlignment="1">
      <alignment horizontal="center"/>
    </xf>
    <xf numFmtId="9" fontId="54" fillId="7" borderId="2" xfId="3" applyFont="1" applyFill="1" applyBorder="1" applyAlignment="1">
      <alignment horizontal="center"/>
    </xf>
    <xf numFmtId="9" fontId="54" fillId="7" borderId="11" xfId="3" applyFont="1" applyFill="1" applyBorder="1" applyAlignment="1">
      <alignment horizontal="center"/>
    </xf>
    <xf numFmtId="0" fontId="44" fillId="28" borderId="0" xfId="0" applyFont="1" applyFill="1" applyBorder="1" applyAlignment="1">
      <alignment vertical="top"/>
    </xf>
    <xf numFmtId="0" fontId="44" fillId="28" borderId="0" xfId="0" applyFont="1" applyFill="1" applyAlignment="1">
      <alignment vertical="top" wrapText="1"/>
    </xf>
    <xf numFmtId="0" fontId="44" fillId="28" borderId="0" xfId="0" applyFont="1" applyFill="1" applyAlignment="1">
      <alignment vertical="top"/>
    </xf>
    <xf numFmtId="0" fontId="109" fillId="28" borderId="0" xfId="0" applyFont="1" applyFill="1" applyAlignment="1">
      <alignment vertical="top"/>
    </xf>
    <xf numFmtId="0" fontId="41" fillId="28" borderId="0" xfId="0" applyFont="1" applyFill="1" applyBorder="1"/>
    <xf numFmtId="0" fontId="41" fillId="28" borderId="0" xfId="0" applyFont="1" applyFill="1" applyBorder="1" applyAlignment="1"/>
    <xf numFmtId="0" fontId="70" fillId="28" borderId="7" xfId="0" applyFont="1" applyFill="1" applyBorder="1" applyAlignment="1">
      <alignment horizontal="right"/>
    </xf>
    <xf numFmtId="0" fontId="70" fillId="28" borderId="4" xfId="0" applyFont="1" applyFill="1" applyBorder="1" applyAlignment="1">
      <alignment horizontal="right"/>
    </xf>
    <xf numFmtId="0" fontId="70" fillId="28" borderId="8" xfId="0" applyFont="1" applyFill="1" applyBorder="1"/>
    <xf numFmtId="0" fontId="70" fillId="28" borderId="3" xfId="0" applyFont="1" applyFill="1" applyBorder="1" applyAlignment="1">
      <alignment horizontal="right"/>
    </xf>
    <xf numFmtId="0" fontId="57" fillId="11" borderId="3" xfId="0" applyFont="1" applyFill="1" applyBorder="1" applyAlignment="1">
      <alignment horizontal="center"/>
    </xf>
    <xf numFmtId="4" fontId="43" fillId="4" borderId="5" xfId="0" applyNumberFormat="1" applyFont="1" applyFill="1" applyBorder="1" applyAlignment="1">
      <alignment horizontal="center"/>
    </xf>
    <xf numFmtId="3" fontId="57" fillId="4" borderId="3" xfId="0" applyNumberFormat="1" applyFont="1" applyFill="1" applyBorder="1"/>
    <xf numFmtId="3" fontId="43" fillId="0" borderId="19" xfId="0" applyNumberFormat="1" applyFont="1" applyFill="1" applyBorder="1"/>
    <xf numFmtId="0" fontId="57" fillId="4" borderId="18" xfId="6" applyFont="1" applyFill="1" applyBorder="1" applyAlignment="1">
      <alignment horizontal="left" vertical="center" wrapText="1"/>
    </xf>
    <xf numFmtId="166" fontId="43" fillId="0" borderId="19" xfId="2" applyNumberFormat="1" applyFont="1" applyFill="1" applyBorder="1" applyAlignment="1">
      <alignment horizontal="right" vertical="center" wrapText="1"/>
    </xf>
    <xf numFmtId="3" fontId="43" fillId="0" borderId="6" xfId="0" applyNumberFormat="1" applyFont="1" applyFill="1" applyBorder="1"/>
    <xf numFmtId="3" fontId="43" fillId="0" borderId="4" xfId="0" applyNumberFormat="1" applyFont="1" applyFill="1" applyBorder="1"/>
    <xf numFmtId="3" fontId="43" fillId="0" borderId="5" xfId="0" applyNumberFormat="1" applyFont="1" applyFill="1" applyBorder="1"/>
    <xf numFmtId="3" fontId="43" fillId="0" borderId="7" xfId="0" applyNumberFormat="1" applyFont="1" applyFill="1" applyBorder="1"/>
    <xf numFmtId="3" fontId="43" fillId="0" borderId="16" xfId="0" applyNumberFormat="1" applyFont="1" applyFill="1" applyBorder="1"/>
    <xf numFmtId="9" fontId="43" fillId="4" borderId="9" xfId="3" applyFont="1" applyFill="1" applyBorder="1"/>
    <xf numFmtId="3" fontId="43" fillId="4" borderId="16" xfId="0" applyNumberFormat="1" applyFont="1" applyFill="1" applyBorder="1"/>
    <xf numFmtId="166" fontId="43" fillId="0" borderId="6" xfId="2" applyNumberFormat="1" applyFont="1" applyFill="1" applyBorder="1" applyAlignment="1">
      <alignment horizontal="right" vertical="center" wrapText="1"/>
    </xf>
    <xf numFmtId="166" fontId="43" fillId="0" borderId="20" xfId="2" applyNumberFormat="1" applyFont="1" applyFill="1" applyBorder="1" applyAlignment="1">
      <alignment horizontal="right" vertical="center" wrapText="1"/>
    </xf>
    <xf numFmtId="0" fontId="57" fillId="11" borderId="3" xfId="0" applyFont="1" applyFill="1" applyBorder="1" applyAlignment="1">
      <alignment horizontal="left"/>
    </xf>
    <xf numFmtId="0" fontId="70" fillId="28" borderId="6" xfId="0" applyFont="1" applyFill="1" applyBorder="1"/>
    <xf numFmtId="0" fontId="70" fillId="28" borderId="0" xfId="0" applyFont="1" applyFill="1" applyBorder="1" applyAlignment="1">
      <alignment horizontal="right"/>
    </xf>
    <xf numFmtId="0" fontId="70" fillId="28" borderId="6" xfId="0" applyFont="1" applyFill="1" applyBorder="1" applyAlignment="1">
      <alignment horizontal="right"/>
    </xf>
    <xf numFmtId="0" fontId="70" fillId="28" borderId="5" xfId="0" applyFont="1" applyFill="1" applyBorder="1" applyAlignment="1">
      <alignment horizontal="right"/>
    </xf>
    <xf numFmtId="0" fontId="70" fillId="28" borderId="9" xfId="0" applyFont="1" applyFill="1" applyBorder="1" applyAlignment="1">
      <alignment horizontal="right"/>
    </xf>
    <xf numFmtId="0" fontId="41" fillId="28" borderId="0" xfId="0" applyFont="1" applyFill="1" applyBorder="1" applyAlignment="1" applyProtection="1">
      <alignment horizontal="center" vertical="center"/>
    </xf>
    <xf numFmtId="0" fontId="144" fillId="4" borderId="7" xfId="0" applyFont="1" applyFill="1" applyBorder="1"/>
    <xf numFmtId="0" fontId="144" fillId="11" borderId="7" xfId="0" applyFont="1" applyFill="1" applyBorder="1"/>
    <xf numFmtId="0" fontId="144" fillId="14" borderId="7" xfId="0" applyFont="1" applyFill="1" applyBorder="1"/>
    <xf numFmtId="0" fontId="144" fillId="11" borderId="6" xfId="0" applyFont="1" applyFill="1" applyBorder="1" applyAlignment="1">
      <alignment horizontal="left" indent="1"/>
    </xf>
    <xf numFmtId="0" fontId="144" fillId="4" borderId="6" xfId="0" applyFont="1" applyFill="1" applyBorder="1" applyAlignment="1">
      <alignment horizontal="left" indent="1"/>
    </xf>
    <xf numFmtId="0" fontId="144" fillId="11" borderId="29" xfId="0" applyFont="1" applyFill="1" applyBorder="1"/>
    <xf numFmtId="0" fontId="64" fillId="11" borderId="4" xfId="0" applyFont="1" applyFill="1" applyBorder="1" applyAlignment="1"/>
    <xf numFmtId="3" fontId="104" fillId="4" borderId="0" xfId="0" applyNumberFormat="1" applyFont="1" applyFill="1" applyBorder="1"/>
    <xf numFmtId="0" fontId="104" fillId="11" borderId="7" xfId="0" applyFont="1" applyFill="1" applyBorder="1" applyAlignment="1">
      <alignment horizontal="right"/>
    </xf>
    <xf numFmtId="0" fontId="104" fillId="11" borderId="4" xfId="0" applyFont="1" applyFill="1" applyBorder="1" applyAlignment="1">
      <alignment horizontal="right"/>
    </xf>
    <xf numFmtId="0" fontId="87" fillId="11" borderId="4" xfId="0" applyFont="1" applyFill="1" applyBorder="1" applyAlignment="1"/>
    <xf numFmtId="0" fontId="87" fillId="11" borderId="16" xfId="0" applyFont="1" applyFill="1" applyBorder="1" applyAlignment="1"/>
    <xf numFmtId="0" fontId="74" fillId="11" borderId="20" xfId="0" applyFont="1" applyFill="1" applyBorder="1" applyAlignment="1">
      <alignment horizontal="right"/>
    </xf>
    <xf numFmtId="0" fontId="1" fillId="4" borderId="0" xfId="0" applyFont="1" applyFill="1" applyAlignment="1">
      <alignment horizontal="left" vertical="center" indent="1"/>
    </xf>
    <xf numFmtId="3" fontId="54" fillId="4" borderId="0" xfId="0" applyNumberFormat="1" applyFont="1" applyFill="1" applyAlignment="1">
      <alignment vertical="top"/>
    </xf>
    <xf numFmtId="166" fontId="40" fillId="4" borderId="0" xfId="2" applyNumberFormat="1" applyFont="1" applyFill="1" applyAlignment="1">
      <alignment vertical="top"/>
    </xf>
    <xf numFmtId="43" fontId="40" fillId="4" borderId="0" xfId="0" applyNumberFormat="1" applyFont="1" applyFill="1" applyAlignment="1">
      <alignment vertical="top"/>
    </xf>
    <xf numFmtId="9" fontId="40" fillId="4" borderId="0" xfId="3" applyFont="1" applyFill="1" applyAlignment="1">
      <alignment vertical="top"/>
    </xf>
    <xf numFmtId="0" fontId="1" fillId="4" borderId="22" xfId="0" applyFont="1" applyFill="1" applyBorder="1" applyAlignment="1">
      <alignment horizontal="right" vertical="top"/>
    </xf>
    <xf numFmtId="0" fontId="1" fillId="4" borderId="23" xfId="0" applyFont="1" applyFill="1" applyBorder="1" applyAlignment="1">
      <alignment horizontal="right" vertical="top"/>
    </xf>
    <xf numFmtId="0" fontId="40" fillId="4" borderId="12" xfId="0" applyFont="1" applyFill="1" applyBorder="1" applyAlignment="1">
      <alignment horizontal="right" vertical="top"/>
    </xf>
    <xf numFmtId="0" fontId="40" fillId="4" borderId="15" xfId="0" applyFont="1" applyFill="1" applyBorder="1" applyAlignment="1">
      <alignment horizontal="right" vertical="top"/>
    </xf>
    <xf numFmtId="0" fontId="40" fillId="4" borderId="1" xfId="0" applyFont="1" applyFill="1" applyBorder="1" applyAlignment="1">
      <alignment vertical="top" wrapText="1"/>
    </xf>
    <xf numFmtId="43" fontId="40" fillId="4" borderId="24" xfId="0" applyNumberFormat="1" applyFont="1" applyFill="1" applyBorder="1" applyAlignment="1">
      <alignment vertical="top"/>
    </xf>
    <xf numFmtId="43" fontId="40" fillId="4" borderId="0" xfId="0" applyNumberFormat="1" applyFont="1" applyFill="1" applyBorder="1" applyAlignment="1">
      <alignment vertical="top"/>
    </xf>
    <xf numFmtId="0" fontId="1" fillId="4" borderId="14" xfId="0" applyFont="1" applyFill="1" applyBorder="1" applyAlignment="1">
      <alignment horizontal="right" vertical="top"/>
    </xf>
    <xf numFmtId="43" fontId="40" fillId="4" borderId="1" xfId="0" applyNumberFormat="1" applyFont="1" applyFill="1" applyBorder="1" applyAlignment="1">
      <alignment vertical="top"/>
    </xf>
    <xf numFmtId="165" fontId="40" fillId="4" borderId="2" xfId="3" applyNumberFormat="1" applyFont="1" applyFill="1" applyBorder="1" applyAlignment="1">
      <alignment vertical="top"/>
    </xf>
    <xf numFmtId="43" fontId="40" fillId="4" borderId="22" xfId="0" applyNumberFormat="1" applyFont="1" applyFill="1" applyBorder="1" applyAlignment="1">
      <alignment vertical="top"/>
    </xf>
    <xf numFmtId="0" fontId="104" fillId="4" borderId="24" xfId="0" applyFont="1" applyFill="1" applyBorder="1" applyAlignment="1">
      <alignment vertical="top"/>
    </xf>
    <xf numFmtId="9" fontId="40" fillId="4" borderId="0" xfId="3" applyFont="1" applyFill="1" applyBorder="1" applyAlignment="1">
      <alignment vertical="top"/>
    </xf>
    <xf numFmtId="0" fontId="40" fillId="4" borderId="0" xfId="0" applyFont="1" applyFill="1" applyAlignment="1">
      <alignment horizontal="right" vertical="top" indent="1"/>
    </xf>
    <xf numFmtId="0" fontId="40" fillId="4" borderId="1" xfId="0" applyFont="1" applyFill="1" applyBorder="1" applyAlignment="1">
      <alignment horizontal="right" vertical="top" indent="1"/>
    </xf>
    <xf numFmtId="0" fontId="57" fillId="4" borderId="0" xfId="0" applyFont="1" applyFill="1" applyAlignment="1">
      <alignment horizontal="right" vertical="top"/>
    </xf>
    <xf numFmtId="3" fontId="43" fillId="4" borderId="0" xfId="0" applyNumberFormat="1" applyFont="1" applyFill="1" applyAlignment="1">
      <alignment vertical="top"/>
    </xf>
    <xf numFmtId="3" fontId="57" fillId="4" borderId="0" xfId="0" applyNumberFormat="1" applyFont="1" applyFill="1" applyAlignment="1">
      <alignment vertical="top"/>
    </xf>
    <xf numFmtId="9" fontId="97" fillId="4" borderId="0" xfId="0" applyNumberFormat="1" applyFont="1" applyFill="1" applyAlignment="1">
      <alignment horizontal="left" vertical="top"/>
    </xf>
    <xf numFmtId="0" fontId="40" fillId="4" borderId="2" xfId="0" applyFont="1" applyFill="1" applyBorder="1" applyAlignment="1">
      <alignment vertical="top"/>
    </xf>
    <xf numFmtId="0" fontId="1" fillId="4" borderId="11" xfId="0" quotePrefix="1" applyFont="1" applyFill="1" applyBorder="1" applyAlignment="1">
      <alignment horizontal="right" vertical="top" wrapText="1"/>
    </xf>
    <xf numFmtId="0" fontId="40" fillId="4" borderId="15" xfId="0" applyFont="1" applyFill="1" applyBorder="1" applyAlignment="1">
      <alignment vertical="top" wrapText="1"/>
    </xf>
    <xf numFmtId="0" fontId="1" fillId="4" borderId="12" xfId="0" applyFont="1" applyFill="1" applyBorder="1" applyAlignment="1">
      <alignment horizontal="left" vertical="top"/>
    </xf>
    <xf numFmtId="0" fontId="104" fillId="4" borderId="15" xfId="0" applyFont="1" applyFill="1" applyBorder="1" applyAlignment="1">
      <alignment vertical="top"/>
    </xf>
    <xf numFmtId="0" fontId="104" fillId="4" borderId="0" xfId="0" applyFont="1" applyFill="1" applyBorder="1" applyAlignment="1">
      <alignment vertical="top"/>
    </xf>
    <xf numFmtId="0" fontId="40" fillId="4" borderId="13" xfId="0" applyFont="1" applyFill="1" applyBorder="1" applyAlignment="1">
      <alignment vertical="top" wrapText="1"/>
    </xf>
    <xf numFmtId="0" fontId="1" fillId="4" borderId="15" xfId="0" applyFont="1" applyFill="1" applyBorder="1" applyAlignment="1">
      <alignment horizontal="left" vertical="top"/>
    </xf>
    <xf numFmtId="0" fontId="40" fillId="4" borderId="0" xfId="0" applyFont="1" applyFill="1" applyBorder="1" applyAlignment="1">
      <alignment horizontal="right" vertical="top" indent="1"/>
    </xf>
    <xf numFmtId="0" fontId="104" fillId="4" borderId="1" xfId="0" applyFont="1" applyFill="1" applyBorder="1" applyAlignment="1">
      <alignment horizontal="right" vertical="top"/>
    </xf>
    <xf numFmtId="0" fontId="40" fillId="4" borderId="11" xfId="0" applyFont="1" applyFill="1" applyBorder="1" applyAlignment="1">
      <alignment vertical="top"/>
    </xf>
    <xf numFmtId="0" fontId="40" fillId="11" borderId="10" xfId="0" applyFont="1" applyFill="1" applyBorder="1" applyAlignment="1">
      <alignment vertical="top" wrapText="1"/>
    </xf>
    <xf numFmtId="0" fontId="40" fillId="11" borderId="2" xfId="0" applyFont="1" applyFill="1" applyBorder="1" applyAlignment="1">
      <alignment vertical="top" wrapText="1"/>
    </xf>
    <xf numFmtId="0" fontId="52" fillId="11" borderId="2" xfId="0" applyFont="1" applyFill="1" applyBorder="1" applyAlignment="1">
      <alignment horizontal="right" vertical="top"/>
    </xf>
    <xf numFmtId="0" fontId="52" fillId="11" borderId="2" xfId="0" applyFont="1" applyFill="1" applyBorder="1" applyAlignment="1">
      <alignment horizontal="right" vertical="top" wrapText="1"/>
    </xf>
    <xf numFmtId="0" fontId="52" fillId="11" borderId="11" xfId="0" applyFont="1" applyFill="1" applyBorder="1" applyAlignment="1">
      <alignment horizontal="right" vertical="top"/>
    </xf>
    <xf numFmtId="166" fontId="43" fillId="4" borderId="27" xfId="2" applyNumberFormat="1" applyFont="1" applyFill="1" applyBorder="1" applyAlignment="1">
      <alignment horizontal="right" vertical="top"/>
    </xf>
    <xf numFmtId="166" fontId="43" fillId="4" borderId="25" xfId="2" applyNumberFormat="1" applyFont="1" applyFill="1" applyBorder="1" applyAlignment="1">
      <alignment horizontal="right" vertical="top"/>
    </xf>
    <xf numFmtId="0" fontId="40" fillId="4" borderId="23" xfId="0" applyFont="1" applyFill="1" applyBorder="1" applyAlignment="1">
      <alignment horizontal="center" vertical="top"/>
    </xf>
    <xf numFmtId="0" fontId="40" fillId="4" borderId="14" xfId="0" applyFont="1" applyFill="1" applyBorder="1" applyAlignment="1">
      <alignment horizontal="center" vertical="top"/>
    </xf>
    <xf numFmtId="0" fontId="52" fillId="11" borderId="26" xfId="0" applyFont="1" applyFill="1" applyBorder="1" applyAlignment="1">
      <alignment horizontal="right" vertical="top" wrapText="1"/>
    </xf>
    <xf numFmtId="0" fontId="40" fillId="6" borderId="0" xfId="0" applyFont="1" applyFill="1" applyAlignment="1">
      <alignment vertical="top" wrapText="1"/>
    </xf>
    <xf numFmtId="3" fontId="40" fillId="6" borderId="0" xfId="0" applyNumberFormat="1" applyFont="1" applyFill="1" applyAlignment="1">
      <alignment vertical="top"/>
    </xf>
    <xf numFmtId="0" fontId="40" fillId="6" borderId="0" xfId="0" applyFont="1" applyFill="1" applyAlignment="1">
      <alignment vertical="top"/>
    </xf>
    <xf numFmtId="0" fontId="40" fillId="6" borderId="0" xfId="0" applyFont="1" applyFill="1" applyBorder="1" applyAlignment="1">
      <alignment vertical="top"/>
    </xf>
    <xf numFmtId="0" fontId="40" fillId="6" borderId="0" xfId="0" applyFont="1" applyFill="1" applyBorder="1" applyAlignment="1">
      <alignment vertical="top" wrapText="1"/>
    </xf>
    <xf numFmtId="0" fontId="55" fillId="6" borderId="0" xfId="0" applyFont="1" applyFill="1" applyAlignment="1">
      <alignment vertical="top"/>
    </xf>
    <xf numFmtId="0" fontId="69" fillId="4" borderId="0" xfId="0" applyFont="1" applyFill="1" applyBorder="1" applyAlignment="1">
      <alignment vertical="top"/>
    </xf>
    <xf numFmtId="0" fontId="52" fillId="4" borderId="0" xfId="0" applyFont="1" applyFill="1" applyAlignment="1">
      <alignment horizontal="left" vertical="top"/>
    </xf>
    <xf numFmtId="0" fontId="43" fillId="4" borderId="0" xfId="0" applyFont="1" applyFill="1" applyAlignment="1">
      <alignment vertical="top"/>
    </xf>
    <xf numFmtId="0" fontId="1" fillId="11" borderId="0" xfId="0" applyFont="1" applyFill="1" applyAlignment="1">
      <alignment vertical="top"/>
    </xf>
    <xf numFmtId="0" fontId="69" fillId="4" borderId="0" xfId="0" applyFont="1" applyFill="1" applyAlignment="1">
      <alignment horizontal="left"/>
    </xf>
    <xf numFmtId="3" fontId="54" fillId="4" borderId="2" xfId="0" applyNumberFormat="1" applyFont="1" applyFill="1" applyBorder="1" applyAlignment="1">
      <alignment vertical="top"/>
    </xf>
    <xf numFmtId="0" fontId="1" fillId="4" borderId="10" xfId="0" applyFont="1" applyFill="1" applyBorder="1" applyAlignment="1">
      <alignment horizontal="left" vertical="top"/>
    </xf>
    <xf numFmtId="0" fontId="55" fillId="4" borderId="2" xfId="0" applyFont="1" applyFill="1" applyBorder="1" applyAlignment="1">
      <alignment vertical="top"/>
    </xf>
    <xf numFmtId="0" fontId="40" fillId="4" borderId="22" xfId="0" applyFont="1" applyFill="1" applyBorder="1" applyAlignment="1">
      <alignment horizontal="right" vertical="top"/>
    </xf>
    <xf numFmtId="0" fontId="40" fillId="4" borderId="23" xfId="0" applyFont="1" applyFill="1" applyBorder="1" applyAlignment="1">
      <alignment horizontal="right" vertical="top"/>
    </xf>
    <xf numFmtId="0" fontId="55" fillId="4" borderId="1" xfId="0" applyFont="1" applyFill="1" applyBorder="1" applyAlignment="1">
      <alignment vertical="top"/>
    </xf>
    <xf numFmtId="0" fontId="40" fillId="4" borderId="14" xfId="0" applyFont="1" applyFill="1" applyBorder="1" applyAlignment="1">
      <alignment horizontal="right" vertical="top"/>
    </xf>
    <xf numFmtId="9" fontId="40" fillId="4" borderId="12" xfId="3" applyFont="1" applyFill="1" applyBorder="1" applyAlignment="1">
      <alignment vertical="top"/>
    </xf>
    <xf numFmtId="9" fontId="40" fillId="4" borderId="24" xfId="3" applyFont="1" applyFill="1" applyBorder="1" applyAlignment="1">
      <alignment vertical="top"/>
    </xf>
    <xf numFmtId="9" fontId="40" fillId="4" borderId="22" xfId="3" applyFont="1" applyFill="1" applyBorder="1" applyAlignment="1">
      <alignment vertical="top"/>
    </xf>
    <xf numFmtId="9" fontId="40" fillId="4" borderId="15" xfId="3" applyFont="1" applyFill="1" applyBorder="1" applyAlignment="1">
      <alignment vertical="top"/>
    </xf>
    <xf numFmtId="9" fontId="40" fillId="4" borderId="23" xfId="3" applyFont="1" applyFill="1" applyBorder="1" applyAlignment="1">
      <alignment vertical="top"/>
    </xf>
    <xf numFmtId="9" fontId="40" fillId="4" borderId="13" xfId="3" applyFont="1" applyFill="1" applyBorder="1" applyAlignment="1">
      <alignment vertical="top"/>
    </xf>
    <xf numFmtId="9" fontId="40" fillId="4" borderId="1" xfId="3" applyFont="1" applyFill="1" applyBorder="1" applyAlignment="1">
      <alignment vertical="top"/>
    </xf>
    <xf numFmtId="9" fontId="40" fillId="4" borderId="14" xfId="3" applyFont="1" applyFill="1" applyBorder="1" applyAlignment="1">
      <alignment vertical="top"/>
    </xf>
    <xf numFmtId="0" fontId="69" fillId="4" borderId="0" xfId="0" applyFont="1" applyFill="1" applyBorder="1" applyAlignment="1">
      <alignment horizontal="right" wrapText="1"/>
    </xf>
    <xf numFmtId="0" fontId="43" fillId="4" borderId="0" xfId="0" applyFont="1" applyFill="1" applyAlignment="1">
      <alignment horizontal="left" vertical="top"/>
    </xf>
    <xf numFmtId="0" fontId="45" fillId="11" borderId="11" xfId="0" applyFont="1" applyFill="1" applyBorder="1" applyAlignment="1">
      <alignment horizontal="right" vertical="top"/>
    </xf>
    <xf numFmtId="9" fontId="104" fillId="4" borderId="0" xfId="0" applyNumberFormat="1" applyFont="1" applyFill="1" applyAlignment="1">
      <alignment horizontal="right" vertical="top"/>
    </xf>
    <xf numFmtId="3" fontId="104" fillId="4" borderId="10" xfId="0" applyNumberFormat="1" applyFont="1" applyFill="1" applyBorder="1" applyAlignment="1">
      <alignment horizontal="right" vertical="top"/>
    </xf>
    <xf numFmtId="3" fontId="104" fillId="4" borderId="2" xfId="0" applyNumberFormat="1" applyFont="1" applyFill="1" applyBorder="1" applyAlignment="1">
      <alignment horizontal="right" vertical="top"/>
    </xf>
    <xf numFmtId="3" fontId="104" fillId="4" borderId="11" xfId="0" applyNumberFormat="1" applyFont="1" applyFill="1" applyBorder="1" applyAlignment="1">
      <alignment horizontal="right" vertical="top"/>
    </xf>
    <xf numFmtId="3" fontId="43" fillId="4" borderId="8" xfId="3" applyNumberFormat="1" applyFont="1" applyFill="1" applyBorder="1"/>
    <xf numFmtId="3" fontId="43" fillId="4" borderId="3" xfId="3" applyNumberFormat="1" applyFont="1" applyFill="1" applyBorder="1"/>
    <xf numFmtId="3" fontId="43" fillId="4" borderId="9" xfId="3" applyNumberFormat="1" applyFont="1" applyFill="1" applyBorder="1"/>
    <xf numFmtId="3" fontId="43" fillId="4" borderId="28" xfId="0" applyNumberFormat="1" applyFont="1" applyFill="1" applyBorder="1"/>
    <xf numFmtId="3" fontId="43" fillId="4" borderId="21" xfId="0" applyNumberFormat="1" applyFont="1" applyFill="1" applyBorder="1"/>
    <xf numFmtId="3" fontId="54" fillId="4" borderId="3" xfId="0" applyNumberFormat="1" applyFont="1" applyFill="1" applyBorder="1" applyAlignment="1"/>
    <xf numFmtId="3" fontId="54" fillId="4" borderId="9" xfId="0" applyNumberFormat="1" applyFont="1" applyFill="1" applyBorder="1" applyAlignment="1"/>
    <xf numFmtId="3" fontId="43" fillId="10" borderId="4" xfId="0" applyNumberFormat="1" applyFont="1" applyFill="1" applyBorder="1"/>
    <xf numFmtId="3" fontId="43" fillId="10" borderId="16" xfId="0" applyNumberFormat="1" applyFont="1" applyFill="1" applyBorder="1"/>
    <xf numFmtId="3" fontId="43" fillId="10" borderId="0" xfId="0" applyNumberFormat="1" applyFont="1" applyFill="1" applyBorder="1"/>
    <xf numFmtId="3" fontId="43" fillId="10" borderId="5" xfId="0" applyNumberFormat="1" applyFont="1" applyFill="1" applyBorder="1"/>
    <xf numFmtId="3" fontId="54" fillId="0" borderId="3" xfId="0" applyNumberFormat="1" applyFont="1" applyBorder="1" applyAlignment="1"/>
    <xf numFmtId="3" fontId="54" fillId="0" borderId="9" xfId="0" applyNumberFormat="1" applyFont="1" applyBorder="1" applyAlignment="1"/>
    <xf numFmtId="3" fontId="1" fillId="4" borderId="3" xfId="0" applyNumberFormat="1" applyFont="1" applyFill="1" applyBorder="1" applyAlignment="1"/>
    <xf numFmtId="166" fontId="43" fillId="4" borderId="0" xfId="0" applyNumberFormat="1" applyFont="1" applyFill="1" applyBorder="1" applyAlignment="1">
      <alignment horizontal="left" vertical="top" wrapText="1"/>
    </xf>
    <xf numFmtId="3" fontId="28" fillId="11" borderId="0" xfId="0" applyNumberFormat="1" applyFont="1" applyFill="1" applyAlignment="1">
      <alignment vertical="top"/>
    </xf>
    <xf numFmtId="178" fontId="43" fillId="4" borderId="0" xfId="0" applyNumberFormat="1" applyFont="1" applyFill="1" applyBorder="1"/>
    <xf numFmtId="179" fontId="43" fillId="4" borderId="0" xfId="0" applyNumberFormat="1" applyFont="1" applyFill="1" applyBorder="1"/>
    <xf numFmtId="3" fontId="40" fillId="11" borderId="15" xfId="0" applyNumberFormat="1" applyFont="1" applyFill="1" applyBorder="1" applyAlignment="1">
      <alignment vertical="top"/>
    </xf>
    <xf numFmtId="3" fontId="40" fillId="11" borderId="0" xfId="0" applyNumberFormat="1" applyFont="1" applyFill="1" applyBorder="1" applyAlignment="1">
      <alignment vertical="top"/>
    </xf>
    <xf numFmtId="3" fontId="40" fillId="11" borderId="15" xfId="0" applyNumberFormat="1" applyFont="1" applyFill="1" applyBorder="1" applyAlignment="1" applyProtection="1">
      <alignment vertical="top"/>
      <protection locked="0"/>
    </xf>
    <xf numFmtId="3" fontId="40" fillId="11" borderId="0" xfId="0" applyNumberFormat="1" applyFont="1" applyFill="1" applyBorder="1" applyAlignment="1" applyProtection="1">
      <alignment vertical="top"/>
      <protection locked="0"/>
    </xf>
    <xf numFmtId="0" fontId="64" fillId="11" borderId="16" xfId="0" applyFont="1" applyFill="1" applyBorder="1" applyAlignment="1">
      <alignment horizontal="right"/>
    </xf>
    <xf numFmtId="170" fontId="54" fillId="0" borderId="0" xfId="0" applyNumberFormat="1" applyFont="1" applyFill="1" applyBorder="1"/>
    <xf numFmtId="0" fontId="87" fillId="11" borderId="7" xfId="0" applyFont="1" applyFill="1" applyBorder="1" applyAlignment="1"/>
    <xf numFmtId="170" fontId="60" fillId="4" borderId="0" xfId="0" applyNumberFormat="1" applyFont="1" applyFill="1" applyBorder="1"/>
    <xf numFmtId="0" fontId="43" fillId="4" borderId="0" xfId="0" applyFont="1" applyFill="1" applyBorder="1" applyAlignment="1">
      <alignment horizontal="left"/>
    </xf>
    <xf numFmtId="4" fontId="43" fillId="4" borderId="3" xfId="0" applyNumberFormat="1" applyFont="1" applyFill="1" applyBorder="1" applyAlignment="1">
      <alignment horizontal="right"/>
    </xf>
    <xf numFmtId="3" fontId="55" fillId="29" borderId="0" xfId="0" applyNumberFormat="1" applyFont="1" applyFill="1" applyBorder="1" applyAlignment="1">
      <alignment horizontal="right"/>
    </xf>
    <xf numFmtId="3" fontId="55" fillId="29" borderId="0" xfId="0" applyNumberFormat="1" applyFont="1" applyFill="1" applyBorder="1" applyAlignment="1">
      <alignment horizontal="right" vertical="top"/>
    </xf>
    <xf numFmtId="3" fontId="91" fillId="29" borderId="0" xfId="0" applyNumberFormat="1" applyFont="1" applyFill="1" applyBorder="1" applyAlignment="1">
      <alignment horizontal="left"/>
    </xf>
    <xf numFmtId="1" fontId="1" fillId="4" borderId="0" xfId="0" applyNumberFormat="1" applyFont="1" applyFill="1" applyAlignment="1">
      <alignment horizontal="right" vertical="top"/>
    </xf>
    <xf numFmtId="0" fontId="1" fillId="11" borderId="0" xfId="0" applyFont="1" applyFill="1" applyAlignment="1">
      <alignment horizontal="right" vertical="top"/>
    </xf>
    <xf numFmtId="9" fontId="33" fillId="11" borderId="0" xfId="0" applyNumberFormat="1" applyFont="1" applyFill="1" applyAlignment="1">
      <alignment vertical="top"/>
    </xf>
    <xf numFmtId="9" fontId="54" fillId="11" borderId="0" xfId="3" applyFont="1" applyFill="1" applyAlignment="1">
      <alignment vertical="top"/>
    </xf>
    <xf numFmtId="166" fontId="33" fillId="11" borderId="15" xfId="2" applyNumberFormat="1" applyFont="1" applyFill="1" applyBorder="1" applyAlignment="1" applyProtection="1">
      <alignment vertical="top"/>
      <protection locked="0"/>
    </xf>
    <xf numFmtId="166" fontId="33" fillId="11" borderId="0" xfId="2" applyNumberFormat="1" applyFont="1" applyFill="1" applyBorder="1" applyAlignment="1" applyProtection="1">
      <alignment vertical="top"/>
      <protection locked="0"/>
    </xf>
    <xf numFmtId="3" fontId="52" fillId="0" borderId="24" xfId="6" applyNumberFormat="1" applyFont="1" applyFill="1" applyBorder="1" applyAlignment="1">
      <alignment vertical="center" wrapText="1"/>
    </xf>
    <xf numFmtId="3" fontId="1" fillId="0" borderId="0" xfId="6" applyNumberFormat="1" applyFont="1" applyFill="1" applyBorder="1" applyAlignment="1">
      <alignment vertical="center" wrapText="1"/>
    </xf>
    <xf numFmtId="3" fontId="1" fillId="0" borderId="33" xfId="6" applyNumberFormat="1" applyFont="1" applyFill="1" applyBorder="1" applyAlignment="1">
      <alignment vertical="center" wrapText="1"/>
    </xf>
    <xf numFmtId="3" fontId="1" fillId="0" borderId="24" xfId="6" applyNumberFormat="1" applyFont="1" applyFill="1" applyBorder="1" applyAlignment="1">
      <alignment vertical="center" wrapText="1"/>
    </xf>
    <xf numFmtId="166" fontId="54" fillId="4" borderId="15" xfId="2" applyNumberFormat="1" applyFont="1" applyFill="1" applyBorder="1" applyAlignment="1" applyProtection="1">
      <alignment vertical="top"/>
      <protection locked="0"/>
    </xf>
    <xf numFmtId="0" fontId="1" fillId="0" borderId="17" xfId="0" applyFont="1" applyFill="1" applyBorder="1" applyAlignment="1">
      <alignment horizontal="left" vertical="top" wrapText="1"/>
    </xf>
    <xf numFmtId="9" fontId="43" fillId="4" borderId="20" xfId="0" applyNumberFormat="1" applyFont="1" applyFill="1" applyBorder="1"/>
    <xf numFmtId="1" fontId="43" fillId="4" borderId="7" xfId="0" applyNumberFormat="1" applyFont="1" applyFill="1" applyBorder="1"/>
    <xf numFmtId="1" fontId="43" fillId="4" borderId="6" xfId="0" applyNumberFormat="1" applyFont="1" applyFill="1" applyBorder="1"/>
    <xf numFmtId="167" fontId="43" fillId="0" borderId="0" xfId="0" applyNumberFormat="1" applyFont="1" applyFill="1" applyBorder="1"/>
    <xf numFmtId="0" fontId="55" fillId="4" borderId="0" xfId="0" applyFont="1" applyFill="1" applyBorder="1" applyAlignment="1">
      <alignment horizontal="left"/>
    </xf>
    <xf numFmtId="0" fontId="60" fillId="4" borderId="0" xfId="0" applyFont="1" applyFill="1" applyBorder="1" applyAlignment="1">
      <alignment horizontal="left"/>
    </xf>
    <xf numFmtId="3" fontId="43" fillId="4" borderId="29" xfId="0" applyNumberFormat="1" applyFont="1" applyFill="1" applyBorder="1"/>
    <xf numFmtId="0" fontId="43" fillId="4" borderId="0" xfId="0" quotePrefix="1" applyFont="1" applyFill="1" applyBorder="1"/>
    <xf numFmtId="15" fontId="39" fillId="4" borderId="0" xfId="0" applyNumberFormat="1" applyFont="1" applyFill="1"/>
    <xf numFmtId="0" fontId="0" fillId="4" borderId="0" xfId="0" applyFill="1"/>
    <xf numFmtId="0" fontId="67" fillId="4" borderId="0" xfId="7" applyFont="1" applyFill="1" applyAlignment="1">
      <alignment horizontal="left" vertical="top"/>
    </xf>
    <xf numFmtId="0" fontId="1" fillId="0" borderId="0"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50" fillId="2" borderId="0" xfId="0" applyFont="1" applyFill="1" applyBorder="1" applyAlignment="1">
      <alignment horizontal="left" vertical="center" wrapText="1"/>
    </xf>
    <xf numFmtId="0" fontId="1" fillId="0" borderId="0" xfId="0" applyFont="1" applyFill="1" applyBorder="1" applyAlignment="1">
      <alignment horizontal="left" vertical="top" wrapText="1"/>
    </xf>
    <xf numFmtId="0" fontId="26" fillId="4" borderId="0" xfId="0" applyFont="1" applyFill="1" applyAlignment="1">
      <alignment horizontal="left" vertical="top" wrapText="1"/>
    </xf>
    <xf numFmtId="0" fontId="37" fillId="4" borderId="0" xfId="0" applyFont="1" applyFill="1" applyAlignment="1">
      <alignment horizontal="left" vertical="top" wrapText="1"/>
    </xf>
    <xf numFmtId="0" fontId="29" fillId="4" borderId="0" xfId="0" applyFont="1" applyFill="1" applyAlignment="1">
      <alignment horizontal="left" vertical="top" wrapText="1"/>
    </xf>
    <xf numFmtId="0" fontId="1" fillId="4" borderId="0" xfId="0" applyFont="1" applyFill="1" applyAlignment="1">
      <alignment horizontal="left" vertical="top"/>
    </xf>
    <xf numFmtId="0" fontId="43" fillId="4" borderId="22" xfId="0" applyFont="1" applyFill="1" applyBorder="1" applyAlignment="1">
      <alignment horizontal="left" vertical="top" wrapText="1"/>
    </xf>
    <xf numFmtId="0" fontId="43" fillId="4" borderId="23" xfId="0" applyFont="1" applyFill="1" applyBorder="1" applyAlignment="1">
      <alignment horizontal="left" vertical="top" wrapText="1"/>
    </xf>
    <xf numFmtId="0" fontId="43" fillId="4" borderId="14" xfId="0" applyFont="1" applyFill="1" applyBorder="1" applyAlignment="1">
      <alignment horizontal="left" vertical="top" wrapText="1"/>
    </xf>
    <xf numFmtId="0" fontId="43" fillId="11" borderId="22" xfId="0" applyFont="1" applyFill="1" applyBorder="1" applyAlignment="1" applyProtection="1">
      <alignment horizontal="left" vertical="top" wrapText="1"/>
      <protection locked="0"/>
    </xf>
    <xf numFmtId="0" fontId="43" fillId="11" borderId="23" xfId="0" applyFont="1" applyFill="1" applyBorder="1" applyAlignment="1" applyProtection="1">
      <alignment horizontal="left" vertical="top" wrapText="1"/>
      <protection locked="0"/>
    </xf>
    <xf numFmtId="0" fontId="43" fillId="11" borderId="14" xfId="0" applyFont="1" applyFill="1" applyBorder="1" applyAlignment="1" applyProtection="1">
      <alignment horizontal="left" vertical="top" wrapText="1"/>
      <protection locked="0"/>
    </xf>
    <xf numFmtId="0" fontId="45" fillId="4" borderId="12" xfId="0" applyFont="1" applyFill="1" applyBorder="1" applyAlignment="1">
      <alignment horizontal="right" vertical="top"/>
    </xf>
    <xf numFmtId="0" fontId="45" fillId="4" borderId="15" xfId="0" applyFont="1" applyFill="1" applyBorder="1" applyAlignment="1">
      <alignment horizontal="right" vertical="top"/>
    </xf>
    <xf numFmtId="0" fontId="45" fillId="4" borderId="13" xfId="0" applyFont="1" applyFill="1" applyBorder="1" applyAlignment="1">
      <alignment horizontal="right" vertical="top"/>
    </xf>
    <xf numFmtId="0" fontId="51" fillId="11" borderId="11" xfId="0" applyFont="1" applyFill="1" applyBorder="1" applyAlignment="1">
      <alignment horizontal="left" vertical="top" wrapText="1"/>
    </xf>
    <xf numFmtId="0" fontId="51" fillId="4" borderId="22" xfId="0" applyFont="1" applyFill="1" applyBorder="1" applyAlignment="1">
      <alignment horizontal="left" vertical="top" wrapText="1"/>
    </xf>
    <xf numFmtId="0" fontId="51" fillId="4" borderId="14" xfId="0" applyFont="1" applyFill="1" applyBorder="1" applyAlignment="1">
      <alignment horizontal="left" vertical="top" wrapText="1"/>
    </xf>
    <xf numFmtId="0" fontId="43" fillId="4" borderId="22" xfId="0" applyFont="1" applyFill="1" applyBorder="1" applyAlignment="1" applyProtection="1">
      <alignment horizontal="left" vertical="top" wrapText="1"/>
      <protection locked="0"/>
    </xf>
    <xf numFmtId="0" fontId="43" fillId="4" borderId="23" xfId="0" applyFont="1" applyFill="1" applyBorder="1" applyAlignment="1" applyProtection="1">
      <alignment horizontal="left" vertical="top" wrapText="1"/>
      <protection locked="0"/>
    </xf>
    <xf numFmtId="0" fontId="43" fillId="4" borderId="14" xfId="0" applyFont="1" applyFill="1" applyBorder="1" applyAlignment="1" applyProtection="1">
      <alignment horizontal="left" vertical="top" wrapText="1"/>
      <protection locked="0"/>
    </xf>
    <xf numFmtId="0" fontId="38" fillId="4" borderId="0" xfId="0" applyFont="1" applyFill="1" applyBorder="1" applyAlignment="1" applyProtection="1">
      <alignment horizontal="left" vertical="top" wrapText="1"/>
      <protection locked="0"/>
    </xf>
    <xf numFmtId="0" fontId="38" fillId="4" borderId="0" xfId="0" applyFont="1" applyFill="1" applyBorder="1" applyAlignment="1">
      <alignment horizontal="left" vertical="top" wrapText="1"/>
    </xf>
    <xf numFmtId="0" fontId="51" fillId="11" borderId="22" xfId="0" applyFont="1" applyFill="1" applyBorder="1" applyAlignment="1">
      <alignment horizontal="left" vertical="top" wrapText="1"/>
    </xf>
    <xf numFmtId="0" fontId="51" fillId="11" borderId="14" xfId="0" applyFont="1" applyFill="1" applyBorder="1" applyAlignment="1">
      <alignment horizontal="left" vertical="top" wrapText="1"/>
    </xf>
    <xf numFmtId="0" fontId="40" fillId="4" borderId="0" xfId="0" applyFont="1" applyFill="1" applyAlignment="1">
      <alignment horizontal="center" wrapText="1"/>
    </xf>
    <xf numFmtId="0" fontId="51" fillId="4" borderId="11" xfId="0" applyFont="1" applyFill="1" applyBorder="1" applyAlignment="1">
      <alignment horizontal="left" vertical="top" wrapText="1"/>
    </xf>
    <xf numFmtId="0" fontId="77" fillId="4" borderId="0" xfId="0" applyFont="1" applyFill="1" applyBorder="1" applyAlignment="1">
      <alignment horizontal="left" wrapText="1"/>
    </xf>
    <xf numFmtId="0" fontId="76" fillId="4" borderId="0" xfId="0" applyFont="1" applyFill="1" applyBorder="1" applyAlignment="1">
      <alignment horizontal="left" vertical="top"/>
    </xf>
    <xf numFmtId="0" fontId="45" fillId="11" borderId="12" xfId="0" applyFont="1" applyFill="1" applyBorder="1" applyAlignment="1">
      <alignment horizontal="center" vertical="top"/>
    </xf>
    <xf numFmtId="0" fontId="45" fillId="11" borderId="15" xfId="0" applyFont="1" applyFill="1" applyBorder="1" applyAlignment="1">
      <alignment horizontal="center" vertical="top"/>
    </xf>
    <xf numFmtId="0" fontId="45" fillId="11" borderId="13" xfId="0" applyFont="1" applyFill="1" applyBorder="1" applyAlignment="1">
      <alignment horizontal="center" vertical="top"/>
    </xf>
    <xf numFmtId="0" fontId="43" fillId="11" borderId="22" xfId="0" applyFont="1" applyFill="1" applyBorder="1" applyAlignment="1">
      <alignment horizontal="left" vertical="top" wrapText="1"/>
    </xf>
    <xf numFmtId="0" fontId="43" fillId="11" borderId="23" xfId="0" applyFont="1" applyFill="1" applyBorder="1" applyAlignment="1">
      <alignment horizontal="left" vertical="top" wrapText="1"/>
    </xf>
    <xf numFmtId="0" fontId="43" fillId="11" borderId="14" xfId="0" applyFont="1" applyFill="1" applyBorder="1" applyAlignment="1">
      <alignment horizontal="left" vertical="top" wrapText="1"/>
    </xf>
    <xf numFmtId="0" fontId="43" fillId="0" borderId="6" xfId="0" applyFont="1" applyFill="1" applyBorder="1" applyAlignment="1" applyProtection="1">
      <alignment horizontal="left" vertical="top" wrapText="1"/>
      <protection locked="0"/>
    </xf>
    <xf numFmtId="0" fontId="43" fillId="0" borderId="0" xfId="0" applyFont="1" applyFill="1" applyBorder="1" applyAlignment="1" applyProtection="1">
      <alignment horizontal="left" vertical="top" wrapText="1"/>
      <protection locked="0"/>
    </xf>
    <xf numFmtId="0" fontId="43" fillId="0" borderId="5" xfId="0" applyFont="1" applyFill="1" applyBorder="1" applyAlignment="1" applyProtection="1">
      <alignment horizontal="left" vertical="top" wrapText="1"/>
      <protection locked="0"/>
    </xf>
    <xf numFmtId="0" fontId="43" fillId="0" borderId="7" xfId="0" applyFont="1" applyFill="1" applyBorder="1" applyAlignment="1" applyProtection="1">
      <alignment horizontal="left" vertical="top" wrapText="1"/>
      <protection locked="0"/>
    </xf>
    <xf numFmtId="0" fontId="43" fillId="0" borderId="4" xfId="0" applyFont="1" applyFill="1" applyBorder="1" applyAlignment="1" applyProtection="1">
      <alignment horizontal="left" vertical="top" wrapText="1"/>
      <protection locked="0"/>
    </xf>
    <xf numFmtId="0" fontId="43" fillId="0" borderId="16" xfId="0" applyFont="1" applyFill="1" applyBorder="1" applyAlignment="1" applyProtection="1">
      <alignment horizontal="left" vertical="top" wrapText="1"/>
      <protection locked="0"/>
    </xf>
    <xf numFmtId="0" fontId="62" fillId="4" borderId="22" xfId="0" applyFont="1" applyFill="1" applyBorder="1" applyAlignment="1">
      <alignment horizontal="left" vertical="top" wrapText="1"/>
    </xf>
    <xf numFmtId="0" fontId="62" fillId="4" borderId="14" xfId="0" applyFont="1" applyFill="1" applyBorder="1" applyAlignment="1">
      <alignment horizontal="left" vertical="top" wrapText="1"/>
    </xf>
    <xf numFmtId="0" fontId="62" fillId="11" borderId="22" xfId="0" applyFont="1" applyFill="1" applyBorder="1" applyAlignment="1">
      <alignment horizontal="left" wrapText="1"/>
    </xf>
    <xf numFmtId="0" fontId="62" fillId="11" borderId="23" xfId="0" applyFont="1" applyFill="1" applyBorder="1" applyAlignment="1">
      <alignment horizontal="left" wrapText="1"/>
    </xf>
    <xf numFmtId="0" fontId="62" fillId="11" borderId="14" xfId="0" applyFont="1" applyFill="1" applyBorder="1" applyAlignment="1">
      <alignment horizontal="left" wrapText="1"/>
    </xf>
    <xf numFmtId="0" fontId="45" fillId="11" borderId="12" xfId="0" applyFont="1" applyFill="1" applyBorder="1" applyAlignment="1">
      <alignment horizontal="right" vertical="top"/>
    </xf>
    <xf numFmtId="0" fontId="45" fillId="11" borderId="13" xfId="0" applyFont="1" applyFill="1" applyBorder="1" applyAlignment="1">
      <alignment horizontal="right" vertical="top"/>
    </xf>
    <xf numFmtId="0" fontId="62" fillId="11" borderId="22" xfId="0" applyFont="1" applyFill="1" applyBorder="1" applyAlignment="1">
      <alignment horizontal="left" vertical="top" wrapText="1"/>
    </xf>
    <xf numFmtId="0" fontId="62" fillId="11" borderId="14" xfId="0" applyFont="1" applyFill="1" applyBorder="1" applyAlignment="1">
      <alignment horizontal="left" vertical="top" wrapText="1"/>
    </xf>
    <xf numFmtId="0" fontId="51" fillId="4" borderId="23" xfId="0" applyFont="1" applyFill="1" applyBorder="1" applyAlignment="1">
      <alignment horizontal="left" vertical="top" wrapText="1"/>
    </xf>
    <xf numFmtId="0" fontId="62" fillId="4" borderId="22" xfId="0" applyFont="1" applyFill="1" applyBorder="1" applyAlignment="1">
      <alignment horizontal="left" wrapText="1"/>
    </xf>
    <xf numFmtId="0" fontId="62" fillId="4" borderId="23" xfId="0" applyFont="1" applyFill="1" applyBorder="1" applyAlignment="1">
      <alignment horizontal="left" wrapText="1"/>
    </xf>
    <xf numFmtId="0" fontId="62" fillId="4" borderId="14" xfId="0" applyFont="1" applyFill="1" applyBorder="1" applyAlignment="1">
      <alignment horizontal="left" wrapText="1"/>
    </xf>
    <xf numFmtId="0" fontId="43" fillId="0" borderId="8" xfId="0" applyFont="1" applyFill="1" applyBorder="1" applyAlignment="1" applyProtection="1">
      <alignment horizontal="left" vertical="top" wrapText="1"/>
      <protection locked="0"/>
    </xf>
    <xf numFmtId="0" fontId="43" fillId="0" borderId="3" xfId="0" applyFont="1" applyFill="1" applyBorder="1" applyAlignment="1" applyProtection="1">
      <alignment horizontal="left" vertical="top" wrapText="1"/>
      <protection locked="0"/>
    </xf>
    <xf numFmtId="0" fontId="43" fillId="0" borderId="9" xfId="0" applyFont="1" applyFill="1" applyBorder="1" applyAlignment="1" applyProtection="1">
      <alignment horizontal="left" vertical="top" wrapText="1"/>
      <protection locked="0"/>
    </xf>
    <xf numFmtId="0" fontId="1" fillId="4" borderId="26" xfId="0" applyFont="1" applyFill="1" applyBorder="1" applyAlignment="1">
      <alignment horizontal="center" vertical="center"/>
    </xf>
    <xf numFmtId="0" fontId="40" fillId="4" borderId="25" xfId="0" applyFont="1" applyFill="1" applyBorder="1" applyAlignment="1">
      <alignment horizontal="center" vertical="center"/>
    </xf>
    <xf numFmtId="0" fontId="1" fillId="4" borderId="26" xfId="0" applyFont="1" applyFill="1" applyBorder="1" applyAlignment="1">
      <alignment horizontal="center" vertical="center" wrapText="1"/>
    </xf>
    <xf numFmtId="0" fontId="40" fillId="4" borderId="27" xfId="0" applyFont="1" applyFill="1" applyBorder="1" applyAlignment="1">
      <alignment horizontal="center" vertical="center" wrapText="1"/>
    </xf>
    <xf numFmtId="0" fontId="40" fillId="4" borderId="25" xfId="0" applyFont="1" applyFill="1" applyBorder="1" applyAlignment="1">
      <alignment horizontal="center" vertical="center" wrapText="1"/>
    </xf>
    <xf numFmtId="0" fontId="52" fillId="11" borderId="12" xfId="0" applyFont="1" applyFill="1" applyBorder="1" applyAlignment="1">
      <alignment horizontal="center" vertical="top"/>
    </xf>
    <xf numFmtId="0" fontId="52" fillId="11" borderId="22" xfId="0" applyFont="1" applyFill="1" applyBorder="1" applyAlignment="1">
      <alignment horizontal="center" vertical="top"/>
    </xf>
    <xf numFmtId="0" fontId="1" fillId="4" borderId="12" xfId="0" applyFont="1" applyFill="1" applyBorder="1" applyAlignment="1">
      <alignment horizontal="left" vertical="top" wrapText="1"/>
    </xf>
    <xf numFmtId="0" fontId="1" fillId="4" borderId="24" xfId="0" applyFont="1" applyFill="1" applyBorder="1" applyAlignment="1">
      <alignment horizontal="left" vertical="top" wrapText="1"/>
    </xf>
    <xf numFmtId="0" fontId="1" fillId="4" borderId="15" xfId="0" applyFont="1" applyFill="1" applyBorder="1" applyAlignment="1">
      <alignment horizontal="left" vertical="top" wrapText="1"/>
    </xf>
    <xf numFmtId="0" fontId="1" fillId="4" borderId="0" xfId="0" applyFont="1" applyFill="1" applyBorder="1" applyAlignment="1">
      <alignment horizontal="left" vertical="top" wrapText="1"/>
    </xf>
    <xf numFmtId="0" fontId="1" fillId="4" borderId="12" xfId="0" applyFont="1" applyFill="1" applyBorder="1" applyAlignment="1">
      <alignment horizontal="right" vertical="center" wrapText="1"/>
    </xf>
    <xf numFmtId="0" fontId="1" fillId="4" borderId="24" xfId="0" applyFont="1" applyFill="1" applyBorder="1" applyAlignment="1">
      <alignment horizontal="right" vertical="center" wrapText="1"/>
    </xf>
    <xf numFmtId="0" fontId="1" fillId="4" borderId="15" xfId="0" applyFont="1" applyFill="1" applyBorder="1" applyAlignment="1">
      <alignment horizontal="right" vertical="center" wrapText="1"/>
    </xf>
    <xf numFmtId="0" fontId="1" fillId="4" borderId="0" xfId="0" applyFont="1" applyFill="1" applyBorder="1" applyAlignment="1">
      <alignment horizontal="right" vertical="center" wrapText="1"/>
    </xf>
    <xf numFmtId="0" fontId="1" fillId="4" borderId="13" xfId="0" applyFont="1" applyFill="1" applyBorder="1" applyAlignment="1">
      <alignment horizontal="right" vertical="center" wrapText="1"/>
    </xf>
    <xf numFmtId="0" fontId="1" fillId="4" borderId="1" xfId="0" applyFont="1" applyFill="1" applyBorder="1" applyAlignment="1">
      <alignment horizontal="right" vertical="center" wrapText="1"/>
    </xf>
    <xf numFmtId="0" fontId="1" fillId="4" borderId="10" xfId="0" applyFont="1" applyFill="1" applyBorder="1" applyAlignment="1">
      <alignment horizontal="right" vertical="top" wrapText="1"/>
    </xf>
    <xf numFmtId="0" fontId="1" fillId="4" borderId="2" xfId="0" applyFont="1" applyFill="1" applyBorder="1" applyAlignment="1">
      <alignment horizontal="right" vertical="top" wrapText="1"/>
    </xf>
    <xf numFmtId="0" fontId="1" fillId="4" borderId="12" xfId="0" applyFont="1" applyFill="1" applyBorder="1" applyAlignment="1">
      <alignment horizontal="right" vertical="center"/>
    </xf>
    <xf numFmtId="0" fontId="1" fillId="4" borderId="24" xfId="0" applyFont="1" applyFill="1" applyBorder="1" applyAlignment="1">
      <alignment horizontal="right" vertical="center"/>
    </xf>
    <xf numFmtId="0" fontId="1" fillId="4" borderId="13" xfId="0" applyFont="1" applyFill="1" applyBorder="1" applyAlignment="1">
      <alignment horizontal="right" vertical="center"/>
    </xf>
    <xf numFmtId="0" fontId="1" fillId="4" borderId="1" xfId="0" applyFont="1" applyFill="1" applyBorder="1" applyAlignment="1">
      <alignment horizontal="right" vertical="center"/>
    </xf>
    <xf numFmtId="0" fontId="1" fillId="4" borderId="27"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2" fillId="4" borderId="23" xfId="0" applyFont="1" applyFill="1" applyBorder="1" applyAlignment="1">
      <alignment horizontal="left" vertical="top" wrapText="1"/>
    </xf>
    <xf numFmtId="3" fontId="126" fillId="11" borderId="40" xfId="6" applyNumberFormat="1" applyFont="1" applyFill="1" applyBorder="1" applyAlignment="1" applyProtection="1">
      <alignment horizontal="center" vertical="center" wrapText="1"/>
      <protection locked="0"/>
    </xf>
    <xf numFmtId="3" fontId="126" fillId="11" borderId="41" xfId="6" applyNumberFormat="1" applyFont="1" applyFill="1" applyBorder="1" applyAlignment="1" applyProtection="1">
      <alignment horizontal="center" vertical="center" wrapText="1"/>
      <protection locked="0"/>
    </xf>
    <xf numFmtId="3" fontId="126" fillId="11" borderId="42" xfId="6" applyNumberFormat="1" applyFont="1" applyFill="1" applyBorder="1" applyAlignment="1" applyProtection="1">
      <alignment horizontal="center" vertical="center" wrapText="1"/>
      <protection locked="0"/>
    </xf>
    <xf numFmtId="3" fontId="126" fillId="11" borderId="43" xfId="6" applyNumberFormat="1" applyFont="1" applyFill="1" applyBorder="1" applyAlignment="1" applyProtection="1">
      <alignment horizontal="center" vertical="center" wrapText="1"/>
      <protection locked="0"/>
    </xf>
    <xf numFmtId="3" fontId="126" fillId="11" borderId="0" xfId="6" applyNumberFormat="1" applyFont="1" applyFill="1" applyBorder="1" applyAlignment="1" applyProtection="1">
      <alignment horizontal="center" vertical="center" wrapText="1"/>
      <protection locked="0"/>
    </xf>
    <xf numFmtId="3" fontId="126" fillId="11" borderId="44" xfId="6" applyNumberFormat="1" applyFont="1" applyFill="1" applyBorder="1" applyAlignment="1" applyProtection="1">
      <alignment horizontal="center" vertical="center" wrapText="1"/>
      <protection locked="0"/>
    </xf>
    <xf numFmtId="3" fontId="126" fillId="11" borderId="45" xfId="6" applyNumberFormat="1" applyFont="1" applyFill="1" applyBorder="1" applyAlignment="1" applyProtection="1">
      <alignment horizontal="center" vertical="center" wrapText="1"/>
      <protection locked="0"/>
    </xf>
    <xf numFmtId="3" fontId="126" fillId="11" borderId="46" xfId="6" applyNumberFormat="1" applyFont="1" applyFill="1" applyBorder="1" applyAlignment="1" applyProtection="1">
      <alignment horizontal="center" vertical="center" wrapText="1"/>
      <protection locked="0"/>
    </xf>
    <xf numFmtId="3" fontId="126" fillId="11" borderId="47" xfId="6" applyNumberFormat="1" applyFont="1" applyFill="1" applyBorder="1" applyAlignment="1" applyProtection="1">
      <alignment horizontal="center" vertical="center" wrapText="1"/>
      <protection locked="0"/>
    </xf>
    <xf numFmtId="0" fontId="43" fillId="4" borderId="24" xfId="0" applyFont="1" applyFill="1" applyBorder="1" applyAlignment="1" applyProtection="1">
      <alignment horizontal="left" vertical="top" wrapText="1"/>
      <protection locked="0"/>
    </xf>
    <xf numFmtId="0" fontId="43" fillId="4" borderId="0" xfId="0" applyFont="1" applyFill="1" applyBorder="1" applyAlignment="1" applyProtection="1">
      <alignment horizontal="left" vertical="top" wrapText="1"/>
      <protection locked="0"/>
    </xf>
    <xf numFmtId="0" fontId="67" fillId="4" borderId="0" xfId="7" quotePrefix="1" applyFont="1" applyFill="1" applyBorder="1" applyAlignment="1" applyProtection="1">
      <alignment horizontal="left" vertical="top" wrapText="1"/>
      <protection locked="0"/>
    </xf>
    <xf numFmtId="0" fontId="67" fillId="4" borderId="0" xfId="7" applyFont="1" applyFill="1" applyBorder="1" applyAlignment="1" applyProtection="1">
      <alignment horizontal="left" vertical="top" wrapText="1"/>
      <protection locked="0"/>
    </xf>
    <xf numFmtId="0" fontId="62" fillId="11" borderId="23" xfId="0" applyFont="1" applyFill="1" applyBorder="1" applyAlignment="1">
      <alignment horizontal="left" vertical="top" wrapText="1"/>
    </xf>
    <xf numFmtId="0" fontId="51" fillId="11" borderId="23" xfId="0" applyFont="1" applyFill="1" applyBorder="1" applyAlignment="1">
      <alignment horizontal="left" vertical="top" wrapText="1"/>
    </xf>
    <xf numFmtId="0" fontId="1" fillId="4" borderId="0" xfId="0" applyFont="1" applyFill="1" applyBorder="1" applyAlignment="1" applyProtection="1">
      <alignment horizontal="left" vertical="top" wrapText="1"/>
      <protection locked="0"/>
    </xf>
    <xf numFmtId="0" fontId="45" fillId="4" borderId="12" xfId="0" applyFont="1" applyFill="1" applyBorder="1" applyAlignment="1">
      <alignment horizontal="center" vertical="top"/>
    </xf>
    <xf numFmtId="0" fontId="45" fillId="4" borderId="15" xfId="0" applyFont="1" applyFill="1" applyBorder="1" applyAlignment="1">
      <alignment horizontal="center" vertical="top"/>
    </xf>
    <xf numFmtId="0" fontId="45" fillId="4" borderId="13" xfId="0" applyFont="1" applyFill="1" applyBorder="1" applyAlignment="1">
      <alignment horizontal="center" vertical="top"/>
    </xf>
    <xf numFmtId="0" fontId="43" fillId="4" borderId="22" xfId="0" applyFont="1" applyFill="1" applyBorder="1" applyAlignment="1">
      <alignment horizontal="center" vertical="top" wrapText="1"/>
    </xf>
    <xf numFmtId="0" fontId="43" fillId="4" borderId="23" xfId="0" applyFont="1" applyFill="1" applyBorder="1" applyAlignment="1">
      <alignment horizontal="center" vertical="top" wrapText="1"/>
    </xf>
    <xf numFmtId="0" fontId="43" fillId="4" borderId="14" xfId="0" applyFont="1" applyFill="1" applyBorder="1" applyAlignment="1">
      <alignment horizontal="center" vertical="top" wrapText="1"/>
    </xf>
    <xf numFmtId="0" fontId="43" fillId="11" borderId="24" xfId="0" applyFont="1" applyFill="1" applyBorder="1" applyAlignment="1" applyProtection="1">
      <alignment horizontal="left" vertical="top" wrapText="1"/>
      <protection locked="0"/>
    </xf>
    <xf numFmtId="0" fontId="43" fillId="11" borderId="0" xfId="0" applyFont="1" applyFill="1" applyBorder="1" applyAlignment="1" applyProtection="1">
      <alignment horizontal="left" vertical="top" wrapText="1"/>
      <protection locked="0"/>
    </xf>
    <xf numFmtId="0" fontId="43" fillId="11" borderId="1" xfId="0" applyFont="1" applyFill="1" applyBorder="1" applyAlignment="1" applyProtection="1">
      <alignment horizontal="left" vertical="top" wrapText="1"/>
      <protection locked="0"/>
    </xf>
    <xf numFmtId="0" fontId="52" fillId="4" borderId="0" xfId="0" applyFont="1" applyFill="1" applyAlignment="1">
      <alignment horizontal="right" vertical="top" wrapText="1"/>
    </xf>
    <xf numFmtId="0" fontId="52" fillId="4" borderId="1" xfId="0" applyFont="1" applyFill="1" applyBorder="1" applyAlignment="1">
      <alignment horizontal="right" vertical="top" wrapText="1"/>
    </xf>
    <xf numFmtId="0" fontId="43" fillId="4" borderId="1" xfId="0" applyFont="1" applyFill="1" applyBorder="1" applyAlignment="1" applyProtection="1">
      <alignment horizontal="left" vertical="top" wrapText="1"/>
      <protection locked="0"/>
    </xf>
    <xf numFmtId="0" fontId="51" fillId="4" borderId="1" xfId="0" applyFont="1" applyFill="1" applyBorder="1" applyAlignment="1">
      <alignment horizontal="left" vertical="top" wrapText="1"/>
    </xf>
    <xf numFmtId="0" fontId="43" fillId="11" borderId="22" xfId="0" applyFont="1" applyFill="1" applyBorder="1" applyAlignment="1">
      <alignment horizontal="center" vertical="top" wrapText="1"/>
    </xf>
    <xf numFmtId="0" fontId="43" fillId="11" borderId="23" xfId="0" applyFont="1" applyFill="1" applyBorder="1" applyAlignment="1">
      <alignment horizontal="center" vertical="top" wrapText="1"/>
    </xf>
    <xf numFmtId="0" fontId="43" fillId="11" borderId="14" xfId="0" applyFont="1" applyFill="1" applyBorder="1" applyAlignment="1">
      <alignment horizontal="center" vertical="top" wrapText="1"/>
    </xf>
    <xf numFmtId="0" fontId="0" fillId="0" borderId="14" xfId="0" applyBorder="1" applyAlignment="1">
      <alignment horizontal="left" vertical="top" wrapText="1"/>
    </xf>
    <xf numFmtId="0" fontId="124" fillId="0" borderId="7" xfId="0" applyFont="1" applyFill="1" applyBorder="1" applyAlignment="1" applyProtection="1">
      <alignment horizontal="left" vertical="top" wrapText="1"/>
      <protection locked="0"/>
    </xf>
    <xf numFmtId="0" fontId="124" fillId="0" borderId="4" xfId="0" applyFont="1" applyFill="1" applyBorder="1" applyAlignment="1" applyProtection="1">
      <alignment horizontal="left" vertical="top" wrapText="1"/>
      <protection locked="0"/>
    </xf>
    <xf numFmtId="0" fontId="124" fillId="0" borderId="16" xfId="0" applyFont="1" applyFill="1" applyBorder="1" applyAlignment="1" applyProtection="1">
      <alignment horizontal="left" vertical="top" wrapText="1"/>
      <protection locked="0"/>
    </xf>
    <xf numFmtId="0" fontId="56" fillId="11" borderId="12" xfId="0" applyFont="1" applyFill="1" applyBorder="1" applyAlignment="1">
      <alignment horizontal="right" vertical="top"/>
    </xf>
    <xf numFmtId="0" fontId="56" fillId="11" borderId="13" xfId="0" applyFont="1" applyFill="1" applyBorder="1" applyAlignment="1">
      <alignment horizontal="right" vertical="top"/>
    </xf>
    <xf numFmtId="0" fontId="124" fillId="0" borderId="6" xfId="0" applyFont="1" applyFill="1" applyBorder="1" applyAlignment="1" applyProtection="1">
      <alignment horizontal="left" vertical="top" wrapText="1"/>
      <protection locked="0"/>
    </xf>
    <xf numFmtId="0" fontId="124" fillId="0" borderId="0" xfId="0" applyFont="1" applyFill="1" applyBorder="1" applyAlignment="1" applyProtection="1">
      <alignment horizontal="left" vertical="top" wrapText="1"/>
      <protection locked="0"/>
    </xf>
    <xf numFmtId="0" fontId="124" fillId="0" borderId="5" xfId="0" applyFont="1" applyFill="1" applyBorder="1" applyAlignment="1" applyProtection="1">
      <alignment horizontal="left" vertical="top" wrapText="1"/>
      <protection locked="0"/>
    </xf>
    <xf numFmtId="0" fontId="57" fillId="0" borderId="7" xfId="0" applyFont="1" applyFill="1" applyBorder="1" applyAlignment="1" applyProtection="1">
      <alignment horizontal="left" vertical="top" wrapText="1"/>
      <protection locked="0"/>
    </xf>
    <xf numFmtId="0" fontId="57" fillId="0" borderId="4" xfId="0" applyFont="1" applyFill="1" applyBorder="1" applyAlignment="1" applyProtection="1">
      <alignment horizontal="left" vertical="top" wrapText="1"/>
      <protection locked="0"/>
    </xf>
    <xf numFmtId="0" fontId="57" fillId="0" borderId="16" xfId="0" applyFont="1" applyFill="1" applyBorder="1" applyAlignment="1" applyProtection="1">
      <alignment horizontal="left" vertical="top" wrapText="1"/>
      <protection locked="0"/>
    </xf>
    <xf numFmtId="0" fontId="57" fillId="0" borderId="6" xfId="0" applyFont="1" applyFill="1" applyBorder="1" applyAlignment="1" applyProtection="1">
      <alignment horizontal="left" vertical="top" wrapText="1"/>
      <protection locked="0"/>
    </xf>
    <xf numFmtId="0" fontId="57" fillId="0" borderId="0" xfId="0" applyFont="1" applyFill="1" applyBorder="1" applyAlignment="1" applyProtection="1">
      <alignment horizontal="left" vertical="top" wrapText="1"/>
      <protection locked="0"/>
    </xf>
    <xf numFmtId="0" fontId="57" fillId="0" borderId="5" xfId="0" applyFont="1" applyFill="1" applyBorder="1" applyAlignment="1" applyProtection="1">
      <alignment horizontal="left" vertical="top" wrapText="1"/>
      <protection locked="0"/>
    </xf>
    <xf numFmtId="0" fontId="39" fillId="0" borderId="20" xfId="0" applyFont="1" applyFill="1" applyBorder="1" applyAlignment="1">
      <alignment horizontal="left" vertical="top" wrapText="1"/>
    </xf>
    <xf numFmtId="0" fontId="39" fillId="0" borderId="18" xfId="0" applyFont="1" applyFill="1" applyBorder="1" applyAlignment="1">
      <alignment horizontal="left" vertical="top" wrapText="1"/>
    </xf>
    <xf numFmtId="0" fontId="39" fillId="0" borderId="19" xfId="0" applyFont="1" applyFill="1" applyBorder="1" applyAlignment="1">
      <alignment horizontal="left" vertical="top" wrapText="1"/>
    </xf>
    <xf numFmtId="0" fontId="73" fillId="0" borderId="20" xfId="0" applyFont="1" applyFill="1" applyBorder="1" applyAlignment="1">
      <alignment horizontal="left" vertical="top" wrapText="1"/>
    </xf>
    <xf numFmtId="0" fontId="73" fillId="0" borderId="19" xfId="0" applyFont="1" applyFill="1" applyBorder="1" applyAlignment="1">
      <alignment horizontal="left" vertical="top" wrapText="1"/>
    </xf>
    <xf numFmtId="0" fontId="73" fillId="0" borderId="18" xfId="0" applyFont="1" applyFill="1" applyBorder="1" applyAlignment="1">
      <alignment horizontal="left" vertical="top" wrapText="1"/>
    </xf>
    <xf numFmtId="0" fontId="44" fillId="2" borderId="7"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1" fillId="4" borderId="22" xfId="0" applyFont="1" applyFill="1" applyBorder="1" applyAlignment="1">
      <alignment horizontal="left" vertical="top" wrapText="1"/>
    </xf>
    <xf numFmtId="0" fontId="1" fillId="4" borderId="23" xfId="0" applyFont="1" applyFill="1" applyBorder="1" applyAlignment="1">
      <alignment horizontal="left" vertical="top" wrapText="1"/>
    </xf>
    <xf numFmtId="0" fontId="24" fillId="7" borderId="22" xfId="0" applyFont="1" applyFill="1" applyBorder="1" applyAlignment="1">
      <alignment horizontal="left" vertical="top" wrapText="1"/>
    </xf>
    <xf numFmtId="0" fontId="24" fillId="7" borderId="23" xfId="0" applyFont="1" applyFill="1" applyBorder="1" applyAlignment="1">
      <alignment horizontal="left" vertical="top" wrapText="1"/>
    </xf>
    <xf numFmtId="0" fontId="24" fillId="7" borderId="14" xfId="0" applyFont="1" applyFill="1" applyBorder="1" applyAlignment="1">
      <alignment horizontal="left" vertical="top" wrapText="1"/>
    </xf>
    <xf numFmtId="0" fontId="43" fillId="7" borderId="22" xfId="0" applyFont="1" applyFill="1" applyBorder="1" applyAlignment="1">
      <alignment horizontal="left" vertical="top" wrapText="1"/>
    </xf>
    <xf numFmtId="0" fontId="43" fillId="7" borderId="23" xfId="0" applyFont="1" applyFill="1" applyBorder="1" applyAlignment="1">
      <alignment horizontal="left" vertical="top" wrapText="1"/>
    </xf>
    <xf numFmtId="0" fontId="43" fillId="7" borderId="14" xfId="0" applyFont="1" applyFill="1" applyBorder="1" applyAlignment="1">
      <alignment horizontal="left" vertical="top" wrapText="1"/>
    </xf>
    <xf numFmtId="0" fontId="45" fillId="7" borderId="12" xfId="0" applyFont="1" applyFill="1" applyBorder="1" applyAlignment="1">
      <alignment horizontal="right" vertical="top"/>
    </xf>
    <xf numFmtId="0" fontId="45" fillId="7" borderId="15" xfId="0" applyFont="1" applyFill="1" applyBorder="1" applyAlignment="1">
      <alignment horizontal="right" vertical="top"/>
    </xf>
    <xf numFmtId="0" fontId="45" fillId="7" borderId="13" xfId="0" applyFont="1" applyFill="1" applyBorder="1" applyAlignment="1">
      <alignment horizontal="right" vertical="top"/>
    </xf>
    <xf numFmtId="0" fontId="25" fillId="7" borderId="22" xfId="0" applyFont="1" applyFill="1" applyBorder="1" applyAlignment="1">
      <alignment horizontal="left" vertical="top" wrapText="1"/>
    </xf>
    <xf numFmtId="0" fontId="34" fillId="7" borderId="14" xfId="0" applyFont="1" applyFill="1" applyBorder="1" applyAlignment="1">
      <alignment horizontal="left" vertical="top" wrapText="1"/>
    </xf>
    <xf numFmtId="0" fontId="51" fillId="7" borderId="22" xfId="0" applyFont="1" applyFill="1" applyBorder="1" applyAlignment="1">
      <alignment horizontal="left" vertical="top" wrapText="1"/>
    </xf>
    <xf numFmtId="0" fontId="51" fillId="7" borderId="23" xfId="0" applyFont="1" applyFill="1" applyBorder="1" applyAlignment="1">
      <alignment horizontal="left" vertical="top" wrapText="1"/>
    </xf>
    <xf numFmtId="0" fontId="51" fillId="7" borderId="14" xfId="0" applyFont="1" applyFill="1" applyBorder="1" applyAlignment="1">
      <alignment horizontal="left" vertical="top" wrapText="1"/>
    </xf>
    <xf numFmtId="0" fontId="2" fillId="4" borderId="22" xfId="0" applyFont="1" applyFill="1" applyBorder="1" applyAlignment="1">
      <alignment horizontal="left" vertical="top" wrapText="1"/>
    </xf>
    <xf numFmtId="0" fontId="2" fillId="4" borderId="14" xfId="0" applyFont="1" applyFill="1" applyBorder="1" applyAlignment="1">
      <alignment horizontal="left" vertical="top" wrapText="1"/>
    </xf>
    <xf numFmtId="0" fontId="2" fillId="7" borderId="22" xfId="0" applyFont="1" applyFill="1" applyBorder="1" applyAlignment="1">
      <alignment horizontal="left" vertical="top" wrapText="1"/>
    </xf>
    <xf numFmtId="0" fontId="2" fillId="7" borderId="14" xfId="0" applyFont="1" applyFill="1" applyBorder="1" applyAlignment="1">
      <alignment horizontal="left" vertical="top" wrapText="1"/>
    </xf>
    <xf numFmtId="0" fontId="33" fillId="7" borderId="22" xfId="0" applyFont="1" applyFill="1" applyBorder="1" applyAlignment="1">
      <alignment horizontal="left" vertical="top" wrapText="1"/>
    </xf>
    <xf numFmtId="0" fontId="33" fillId="7" borderId="14" xfId="0" applyFont="1" applyFill="1" applyBorder="1" applyAlignment="1">
      <alignment horizontal="left" vertical="top" wrapText="1"/>
    </xf>
    <xf numFmtId="0" fontId="56" fillId="7" borderId="12" xfId="0" applyFont="1" applyFill="1" applyBorder="1" applyAlignment="1">
      <alignment horizontal="right" vertical="top"/>
    </xf>
    <xf numFmtId="0" fontId="56" fillId="7" borderId="13" xfId="0" applyFont="1" applyFill="1" applyBorder="1" applyAlignment="1">
      <alignment horizontal="right" vertical="top"/>
    </xf>
    <xf numFmtId="0" fontId="34" fillId="4" borderId="22" xfId="0" applyFont="1" applyFill="1" applyBorder="1" applyAlignment="1">
      <alignment horizontal="left" vertical="top" wrapText="1"/>
    </xf>
    <xf numFmtId="0" fontId="34" fillId="4" borderId="14" xfId="0" applyFont="1" applyFill="1" applyBorder="1" applyAlignment="1">
      <alignment horizontal="left" vertical="top" wrapText="1"/>
    </xf>
    <xf numFmtId="0" fontId="43" fillId="4" borderId="12" xfId="0" applyFont="1" applyFill="1" applyBorder="1" applyAlignment="1">
      <alignment horizontal="right" vertical="top"/>
    </xf>
    <xf numFmtId="0" fontId="43" fillId="4" borderId="13" xfId="0" applyFont="1" applyFill="1" applyBorder="1" applyAlignment="1">
      <alignment horizontal="right" vertical="top"/>
    </xf>
    <xf numFmtId="165" fontId="34" fillId="4" borderId="0" xfId="3" applyNumberFormat="1" applyFont="1" applyFill="1" applyBorder="1" applyAlignment="1">
      <alignment horizontal="right" vertical="center"/>
    </xf>
    <xf numFmtId="0" fontId="9" fillId="7" borderId="22" xfId="0" applyFont="1" applyFill="1" applyBorder="1" applyAlignment="1">
      <alignment horizontal="left" vertical="top" wrapText="1"/>
    </xf>
    <xf numFmtId="0" fontId="22" fillId="7" borderId="23" xfId="0" applyFont="1" applyFill="1" applyBorder="1" applyAlignment="1">
      <alignment horizontal="left" vertical="top" wrapText="1"/>
    </xf>
    <xf numFmtId="0" fontId="33" fillId="7" borderId="23" xfId="0" applyFont="1" applyFill="1" applyBorder="1" applyAlignment="1">
      <alignment horizontal="left" vertical="top" wrapText="1"/>
    </xf>
    <xf numFmtId="0" fontId="62" fillId="7" borderId="22" xfId="0" applyFont="1" applyFill="1" applyBorder="1" applyAlignment="1">
      <alignment horizontal="left" vertical="top" wrapText="1"/>
    </xf>
    <xf numFmtId="0" fontId="62" fillId="7" borderId="14" xfId="0" applyFont="1" applyFill="1" applyBorder="1" applyAlignment="1">
      <alignment horizontal="left" vertical="top" wrapText="1"/>
    </xf>
    <xf numFmtId="0" fontId="33" fillId="4" borderId="22" xfId="0" applyFont="1" applyFill="1" applyBorder="1" applyAlignment="1">
      <alignment horizontal="left" vertical="top" wrapText="1"/>
    </xf>
    <xf numFmtId="0" fontId="33" fillId="4" borderId="14" xfId="0" applyFont="1" applyFill="1" applyBorder="1" applyAlignment="1">
      <alignment horizontal="left" vertical="top" wrapText="1"/>
    </xf>
    <xf numFmtId="0" fontId="1" fillId="7" borderId="22" xfId="0" applyFont="1" applyFill="1" applyBorder="1" applyAlignment="1">
      <alignment horizontal="left" vertical="top" wrapText="1"/>
    </xf>
    <xf numFmtId="0" fontId="1" fillId="7" borderId="14" xfId="0" applyFont="1" applyFill="1" applyBorder="1" applyAlignment="1">
      <alignment horizontal="left" vertical="top" wrapText="1"/>
    </xf>
    <xf numFmtId="0" fontId="56" fillId="7" borderId="15" xfId="0" applyFont="1" applyFill="1" applyBorder="1" applyAlignment="1">
      <alignment horizontal="right" vertical="top"/>
    </xf>
    <xf numFmtId="0" fontId="51" fillId="7" borderId="11" xfId="0" applyFont="1" applyFill="1" applyBorder="1" applyAlignment="1">
      <alignment horizontal="left" wrapText="1"/>
    </xf>
    <xf numFmtId="0" fontId="52" fillId="4" borderId="0" xfId="0" applyFont="1" applyFill="1" applyAlignment="1">
      <alignment horizontal="left" wrapText="1"/>
    </xf>
    <xf numFmtId="0" fontId="51" fillId="7" borderId="11" xfId="0" applyFont="1" applyFill="1" applyBorder="1" applyAlignment="1">
      <alignment horizontal="left" vertical="top" wrapText="1"/>
    </xf>
    <xf numFmtId="0" fontId="51" fillId="7" borderId="22" xfId="0" applyFont="1" applyFill="1" applyBorder="1" applyAlignment="1">
      <alignment horizontal="left" wrapText="1"/>
    </xf>
    <xf numFmtId="0" fontId="51" fillId="4" borderId="11" xfId="0" applyFont="1" applyFill="1" applyBorder="1" applyAlignment="1">
      <alignment horizontal="left" wrapText="1"/>
    </xf>
    <xf numFmtId="0" fontId="52" fillId="4" borderId="23" xfId="0" applyFont="1" applyFill="1" applyBorder="1" applyAlignment="1">
      <alignment horizontal="left" wrapText="1"/>
    </xf>
    <xf numFmtId="0" fontId="11" fillId="7" borderId="14" xfId="0" applyFont="1" applyFill="1" applyBorder="1" applyAlignment="1">
      <alignment horizontal="left" vertical="top" wrapText="1"/>
    </xf>
    <xf numFmtId="0" fontId="43" fillId="7" borderId="22" xfId="0" applyFont="1" applyFill="1" applyBorder="1" applyAlignment="1">
      <alignment horizontal="left" wrapText="1"/>
    </xf>
    <xf numFmtId="0" fontId="43" fillId="7" borderId="14" xfId="0" applyFont="1" applyFill="1" applyBorder="1" applyAlignment="1">
      <alignment horizontal="left" wrapText="1"/>
    </xf>
    <xf numFmtId="0" fontId="62" fillId="7" borderId="23" xfId="0" applyFont="1" applyFill="1" applyBorder="1" applyAlignment="1">
      <alignment horizontal="left" vertical="top" wrapText="1"/>
    </xf>
    <xf numFmtId="0" fontId="12" fillId="4" borderId="0" xfId="0" applyFont="1" applyFill="1" applyAlignment="1">
      <alignment horizontal="center" wrapText="1"/>
    </xf>
    <xf numFmtId="0" fontId="12" fillId="4" borderId="1" xfId="0" applyFont="1" applyFill="1" applyBorder="1" applyAlignment="1">
      <alignment horizontal="center" wrapText="1"/>
    </xf>
    <xf numFmtId="0" fontId="1" fillId="4" borderId="23" xfId="0" applyFont="1" applyFill="1" applyBorder="1" applyAlignment="1">
      <alignment horizontal="center" wrapText="1"/>
    </xf>
    <xf numFmtId="0" fontId="1" fillId="4" borderId="14" xfId="0" applyFont="1" applyFill="1" applyBorder="1" applyAlignment="1">
      <alignment horizontal="center" wrapText="1"/>
    </xf>
    <xf numFmtId="9" fontId="45" fillId="7" borderId="15" xfId="3" applyFont="1" applyFill="1" applyBorder="1" applyAlignment="1">
      <alignment horizontal="center"/>
    </xf>
    <xf numFmtId="9" fontId="45" fillId="7" borderId="0" xfId="3" applyFont="1" applyFill="1" applyBorder="1" applyAlignment="1">
      <alignment horizontal="center"/>
    </xf>
    <xf numFmtId="9" fontId="45" fillId="7" borderId="23" xfId="3" applyFont="1" applyFill="1" applyBorder="1" applyAlignment="1">
      <alignment horizontal="center"/>
    </xf>
    <xf numFmtId="0" fontId="1" fillId="4" borderId="14" xfId="0" applyFont="1" applyFill="1" applyBorder="1" applyAlignment="1">
      <alignment horizontal="left" vertical="top" wrapText="1"/>
    </xf>
    <xf numFmtId="0" fontId="74" fillId="11" borderId="4" xfId="0" applyFont="1" applyFill="1" applyBorder="1" applyAlignment="1">
      <alignment horizontal="center"/>
    </xf>
    <xf numFmtId="0" fontId="74" fillId="11" borderId="16" xfId="0" applyFont="1" applyFill="1" applyBorder="1" applyAlignment="1">
      <alignment horizontal="center"/>
    </xf>
    <xf numFmtId="0" fontId="57" fillId="4" borderId="0" xfId="0" applyFont="1" applyFill="1" applyBorder="1" applyAlignment="1">
      <alignment horizontal="center" wrapText="1"/>
    </xf>
    <xf numFmtId="0" fontId="42" fillId="5" borderId="7" xfId="0" applyFont="1" applyFill="1" applyBorder="1" applyAlignment="1">
      <alignment horizontal="left"/>
    </xf>
    <xf numFmtId="0" fontId="42" fillId="5" borderId="4" xfId="0" applyFont="1" applyFill="1" applyBorder="1" applyAlignment="1">
      <alignment horizontal="left"/>
    </xf>
    <xf numFmtId="0" fontId="42" fillId="5" borderId="16" xfId="0" applyFont="1" applyFill="1" applyBorder="1" applyAlignment="1">
      <alignment horizontal="left"/>
    </xf>
    <xf numFmtId="0" fontId="43" fillId="4" borderId="6" xfId="5" applyFont="1" applyFill="1" applyBorder="1" applyAlignment="1">
      <alignment horizontal="center" vertical="center" wrapText="1"/>
    </xf>
    <xf numFmtId="0" fontId="43" fillId="4" borderId="8" xfId="5" applyFont="1" applyFill="1" applyBorder="1" applyAlignment="1">
      <alignment horizontal="center" vertical="center" wrapText="1"/>
    </xf>
    <xf numFmtId="0" fontId="43" fillId="4" borderId="6" xfId="5" applyFont="1" applyFill="1" applyBorder="1" applyAlignment="1">
      <alignment horizontal="center" vertical="center"/>
    </xf>
    <xf numFmtId="0" fontId="43" fillId="4" borderId="0" xfId="5" applyFont="1" applyFill="1" applyBorder="1" applyAlignment="1">
      <alignment horizontal="center" vertical="center"/>
    </xf>
    <xf numFmtId="0" fontId="43" fillId="4" borderId="5" xfId="5" applyFont="1" applyFill="1" applyBorder="1" applyAlignment="1">
      <alignment horizontal="center" vertical="center"/>
    </xf>
    <xf numFmtId="0" fontId="43" fillId="4" borderId="18" xfId="5" applyFont="1" applyFill="1" applyBorder="1" applyAlignment="1">
      <alignment horizontal="center" vertical="center" wrapText="1"/>
    </xf>
    <xf numFmtId="0" fontId="43" fillId="4" borderId="19" xfId="5" applyFont="1" applyFill="1" applyBorder="1" applyAlignment="1">
      <alignment horizontal="center" vertical="center" wrapText="1"/>
    </xf>
    <xf numFmtId="0" fontId="74" fillId="11" borderId="7" xfId="0" applyFont="1" applyFill="1" applyBorder="1" applyAlignment="1">
      <alignment horizontal="center"/>
    </xf>
    <xf numFmtId="0" fontId="57" fillId="4" borderId="6" xfId="5" applyFont="1" applyFill="1" applyBorder="1" applyAlignment="1">
      <alignment horizontal="left" wrapText="1" indent="1"/>
    </xf>
    <xf numFmtId="0" fontId="57" fillId="4" borderId="8" xfId="5" applyFont="1" applyFill="1" applyBorder="1" applyAlignment="1">
      <alignment horizontal="left" wrapText="1" indent="1"/>
    </xf>
    <xf numFmtId="0" fontId="57" fillId="4" borderId="5" xfId="5" applyFont="1" applyFill="1" applyBorder="1" applyAlignment="1">
      <alignment horizontal="right" wrapText="1" indent="1"/>
    </xf>
    <xf numFmtId="0" fontId="57" fillId="4" borderId="9" xfId="5" applyFont="1" applyFill="1" applyBorder="1" applyAlignment="1">
      <alignment horizontal="right" wrapText="1" indent="1"/>
    </xf>
    <xf numFmtId="0" fontId="43" fillId="4" borderId="0" xfId="5" applyFont="1" applyFill="1" applyBorder="1" applyAlignment="1">
      <alignment horizontal="center" vertical="center" wrapText="1"/>
    </xf>
    <xf numFmtId="0" fontId="43" fillId="4" borderId="5" xfId="5" applyFont="1" applyFill="1" applyBorder="1" applyAlignment="1">
      <alignment horizontal="center" vertical="center" wrapText="1"/>
    </xf>
    <xf numFmtId="0" fontId="0" fillId="4" borderId="0" xfId="0" applyFill="1" applyBorder="1"/>
    <xf numFmtId="0" fontId="0" fillId="4" borderId="5" xfId="0" applyFill="1" applyBorder="1"/>
    <xf numFmtId="3" fontId="43" fillId="0" borderId="5" xfId="6" applyNumberFormat="1" applyFont="1" applyFill="1" applyBorder="1" applyAlignment="1">
      <alignment horizontal="right" vertical="center" wrapText="1"/>
    </xf>
    <xf numFmtId="3" fontId="43" fillId="0" borderId="18" xfId="6" applyNumberFormat="1" applyFont="1" applyFill="1" applyBorder="1" applyAlignment="1">
      <alignment horizontal="right" vertical="center" wrapText="1"/>
    </xf>
    <xf numFmtId="3" fontId="43" fillId="0" borderId="6" xfId="6" applyNumberFormat="1" applyFont="1" applyFill="1" applyBorder="1" applyAlignment="1">
      <alignment horizontal="right" vertical="center" wrapText="1"/>
    </xf>
    <xf numFmtId="3" fontId="43" fillId="0" borderId="0" xfId="6" applyNumberFormat="1" applyFont="1" applyFill="1" applyBorder="1" applyAlignment="1">
      <alignment horizontal="right" vertical="center" wrapText="1"/>
    </xf>
    <xf numFmtId="0" fontId="57" fillId="11" borderId="16" xfId="0" applyFont="1" applyFill="1" applyBorder="1" applyAlignment="1">
      <alignment horizontal="center" wrapText="1"/>
    </xf>
    <xf numFmtId="0" fontId="57" fillId="11" borderId="9" xfId="0" applyFont="1" applyFill="1" applyBorder="1" applyAlignment="1">
      <alignment horizontal="center" wrapText="1"/>
    </xf>
    <xf numFmtId="0" fontId="57" fillId="4" borderId="7" xfId="0" applyFont="1" applyFill="1" applyBorder="1" applyAlignment="1">
      <alignment horizontal="center" wrapText="1"/>
    </xf>
    <xf numFmtId="0" fontId="57" fillId="4" borderId="8" xfId="0" applyFont="1" applyFill="1" applyBorder="1" applyAlignment="1">
      <alignment horizontal="center" wrapText="1"/>
    </xf>
    <xf numFmtId="0" fontId="57" fillId="4" borderId="16" xfId="0" applyFont="1" applyFill="1" applyBorder="1" applyAlignment="1">
      <alignment horizontal="center" wrapText="1"/>
    </xf>
    <xf numFmtId="0" fontId="57" fillId="4" borderId="9" xfId="0" applyFont="1" applyFill="1" applyBorder="1" applyAlignment="1">
      <alignment horizontal="center" wrapText="1"/>
    </xf>
    <xf numFmtId="0" fontId="57" fillId="11" borderId="7" xfId="0" applyFont="1" applyFill="1" applyBorder="1" applyAlignment="1">
      <alignment horizontal="center" wrapText="1"/>
    </xf>
    <xf numFmtId="0" fontId="57" fillId="11" borderId="8" xfId="0" applyFont="1" applyFill="1" applyBorder="1" applyAlignment="1">
      <alignment horizontal="center" wrapText="1"/>
    </xf>
    <xf numFmtId="0" fontId="1" fillId="4" borderId="0" xfId="7" applyFont="1" applyFill="1" applyBorder="1" applyAlignment="1">
      <alignment horizontal="left"/>
    </xf>
    <xf numFmtId="0" fontId="43" fillId="4" borderId="0" xfId="7" applyFont="1" applyFill="1" applyBorder="1" applyAlignment="1">
      <alignment horizontal="left"/>
    </xf>
    <xf numFmtId="0" fontId="67" fillId="4" borderId="0" xfId="7" applyFont="1" applyFill="1" applyBorder="1" applyAlignment="1">
      <alignment horizontal="left"/>
    </xf>
    <xf numFmtId="0" fontId="0" fillId="0" borderId="0" xfId="0" applyFont="1" applyFill="1" applyAlignment="1">
      <alignment horizontal="left" vertical="top" wrapText="1"/>
    </xf>
    <xf numFmtId="0" fontId="0" fillId="0" borderId="0" xfId="0" applyFont="1" applyAlignment="1">
      <alignment horizontal="left" vertical="top" wrapText="1"/>
    </xf>
    <xf numFmtId="3" fontId="54" fillId="0" borderId="0" xfId="0" applyNumberFormat="1" applyFont="1" applyFill="1" applyBorder="1" applyAlignment="1">
      <alignment horizontal="right" vertical="center" wrapText="1"/>
    </xf>
    <xf numFmtId="0" fontId="0" fillId="4" borderId="4" xfId="0" applyFont="1" applyFill="1" applyBorder="1" applyAlignment="1">
      <alignment horizontal="center"/>
    </xf>
    <xf numFmtId="0" fontId="0" fillId="4" borderId="16" xfId="0" applyFont="1" applyFill="1" applyBorder="1" applyAlignment="1">
      <alignment horizontal="center"/>
    </xf>
    <xf numFmtId="0" fontId="67" fillId="4" borderId="0" xfId="7" applyFont="1" applyFill="1" applyAlignment="1">
      <alignment horizontal="left"/>
    </xf>
    <xf numFmtId="0" fontId="52" fillId="11" borderId="0" xfId="0" applyFont="1" applyFill="1" applyAlignment="1">
      <alignment horizontal="left" vertical="top" wrapText="1"/>
    </xf>
    <xf numFmtId="0" fontId="52" fillId="11" borderId="1" xfId="0" applyFont="1" applyFill="1" applyBorder="1" applyAlignment="1">
      <alignment horizontal="left" vertical="top" wrapText="1"/>
    </xf>
    <xf numFmtId="0" fontId="43" fillId="11" borderId="24" xfId="0" applyFont="1" applyFill="1" applyBorder="1" applyAlignment="1">
      <alignment horizontal="left" vertical="top" wrapText="1"/>
    </xf>
    <xf numFmtId="0" fontId="43" fillId="11" borderId="1" xfId="0" applyFont="1" applyFill="1" applyBorder="1" applyAlignment="1">
      <alignment horizontal="left" vertical="top" wrapText="1"/>
    </xf>
  </cellXfs>
  <cellStyles count="36">
    <cellStyle name="Comma" xfId="2" builtinId="3"/>
    <cellStyle name="Comma [0] 2" xfId="18"/>
    <cellStyle name="Comma [0] 2 2" xfId="19"/>
    <cellStyle name="Comma 2" xfId="20"/>
    <cellStyle name="Comma 3" xfId="21"/>
    <cellStyle name="Followed Hyperlink" xfId="10" builtinId="9" customBuiltin="1"/>
    <cellStyle name="Followed Hyperlink 2" xfId="22"/>
    <cellStyle name="Hyperlink" xfId="7" builtinId="8"/>
    <cellStyle name="Hyperlink 2" xfId="13"/>
    <cellStyle name="Ligne détail" xfId="23"/>
    <cellStyle name="Ligne détail 2" xfId="24"/>
    <cellStyle name="MEV1" xfId="25"/>
    <cellStyle name="MEV2" xfId="26"/>
    <cellStyle name="MEV3" xfId="27"/>
    <cellStyle name="Normal" xfId="0" builtinId="0"/>
    <cellStyle name="Normal 2" xfId="4"/>
    <cellStyle name="Normal 2 2" xfId="15"/>
    <cellStyle name="Normal 2 2 2" xfId="17"/>
    <cellStyle name="Normal 2 3" xfId="14"/>
    <cellStyle name="Normal 3" xfId="5"/>
    <cellStyle name="Normal 3 19" xfId="9"/>
    <cellStyle name="Normal 3 2" xfId="16"/>
    <cellStyle name="Normal 4" xfId="8"/>
    <cellStyle name="Normal 5" xfId="12"/>
    <cellStyle name="Normal 6" xfId="6"/>
    <cellStyle name="Normal 7" xfId="28"/>
    <cellStyle name="Percent" xfId="3" builtinId="5"/>
    <cellStyle name="Percent 2" xfId="29"/>
    <cellStyle name="RowLevel_1" xfId="1" builtinId="1" iLevel="0"/>
    <cellStyle name="STAT_Col1_hilight" xfId="30"/>
    <cellStyle name="Titre colonnes" xfId="31"/>
    <cellStyle name="Titre général" xfId="32"/>
    <cellStyle name="Titre lignes" xfId="33"/>
    <cellStyle name="Titre page" xfId="34"/>
    <cellStyle name="Total 2" xfId="35"/>
    <cellStyle name="Warning Text" xfId="11" builtinId="11"/>
  </cellStyles>
  <dxfs count="355">
    <dxf>
      <fill>
        <patternFill patternType="none">
          <bgColor auto="1"/>
        </patternFill>
      </fill>
    </dxf>
    <dxf>
      <font>
        <color rgb="FFFF0000"/>
      </font>
    </dxf>
    <dxf>
      <font>
        <b/>
        <i val="0"/>
        <color rgb="FFFF0000"/>
      </font>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none">
          <bgColor auto="1"/>
        </patternFill>
      </fill>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ont>
        <color theme="0" tint="-0.14996795556505021"/>
      </font>
    </dxf>
    <dxf>
      <font>
        <color theme="0" tint="-0.14996795556505021"/>
      </font>
    </dxf>
    <dxf>
      <font>
        <color theme="0" tint="-0.14996795556505021"/>
      </font>
    </dxf>
    <dxf>
      <font>
        <color theme="0" tint="-0.14996795556505021"/>
      </font>
    </dxf>
    <dxf>
      <fill>
        <patternFill patternType="none">
          <bgColor auto="1"/>
        </patternFill>
      </fill>
    </dxf>
    <dxf>
      <fill>
        <patternFill patternType="none">
          <bgColor auto="1"/>
        </patternFill>
      </fill>
    </dxf>
    <dxf>
      <fill>
        <patternFill patternType="none">
          <bgColor auto="1"/>
        </patternFill>
      </fill>
    </dxf>
    <dxf>
      <border>
        <left style="dotted">
          <color rgb="FFFF0000"/>
        </left>
        <right style="dotted">
          <color rgb="FFFF0000"/>
        </right>
        <top style="dotted">
          <color rgb="FFFF0000"/>
        </top>
        <bottom style="dotted">
          <color rgb="FFFF0000"/>
        </bottom>
        <vertical/>
        <horizontal/>
      </border>
    </dxf>
    <dxf>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auto="1"/>
      </font>
      <fill>
        <patternFill patternType="none">
          <bgColor auto="1"/>
        </patternFill>
      </fill>
    </dxf>
    <dxf>
      <font>
        <color theme="1"/>
      </font>
      <fill>
        <patternFill>
          <bgColor theme="9" tint="0.59996337778862885"/>
        </patternFill>
      </fill>
    </dxf>
    <dxf>
      <fill>
        <patternFill patternType="none">
          <bgColor auto="1"/>
        </patternFill>
      </fill>
    </dxf>
    <dxf>
      <font>
        <color auto="1"/>
      </font>
      <fill>
        <patternFill>
          <bgColor theme="9" tint="0.59996337778862885"/>
        </patternFill>
      </fill>
    </dxf>
    <dxf>
      <font>
        <color theme="1"/>
      </font>
      <fill>
        <patternFill patternType="none">
          <bgColor auto="1"/>
        </patternFill>
      </fill>
    </dxf>
    <dxf>
      <font>
        <color auto="1"/>
      </font>
      <fill>
        <patternFill>
          <bgColor theme="9" tint="0.59996337778862885"/>
        </patternFill>
      </fill>
    </dxf>
    <dxf>
      <font>
        <b/>
        <i val="0"/>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1"/>
      </font>
      <fill>
        <patternFill>
          <bgColor theme="9" tint="0.59996337778862885"/>
        </patternFill>
      </fill>
    </dxf>
    <dxf>
      <font>
        <b/>
        <i val="0"/>
        <color rgb="FFFF0000"/>
      </font>
    </dxf>
    <dxf>
      <font>
        <color auto="1"/>
      </font>
      <fill>
        <patternFill patternType="none">
          <bgColor auto="1"/>
        </patternFill>
      </fill>
    </dxf>
    <dxf>
      <font>
        <color auto="1"/>
      </font>
      <fill>
        <patternFill patternType="none">
          <bgColor auto="1"/>
        </patternFill>
      </fill>
    </dxf>
    <dxf>
      <font>
        <color theme="0" tint="-0.14996795556505021"/>
      </font>
    </dxf>
    <dxf>
      <font>
        <color theme="0" tint="-0.14996795556505021"/>
      </font>
    </dxf>
    <dxf>
      <font>
        <color theme="0" tint="-0.14996795556505021"/>
      </font>
    </dxf>
    <dxf>
      <fill>
        <patternFill patternType="none">
          <bgColor auto="1"/>
        </patternFill>
      </fill>
    </dxf>
    <dxf>
      <fill>
        <patternFill patternType="none">
          <bgColor auto="1"/>
        </patternFill>
      </fill>
    </dxf>
    <dxf>
      <fill>
        <patternFill patternType="none">
          <bgColor auto="1"/>
        </patternFill>
      </fill>
    </dxf>
    <dxf>
      <font>
        <color theme="1"/>
      </font>
      <fill>
        <patternFill>
          <bgColor theme="9" tint="0.59996337778862885"/>
        </patternFill>
      </fill>
    </dxf>
    <dxf>
      <fill>
        <patternFill patternType="none">
          <bgColor auto="1"/>
        </patternFill>
      </fill>
    </dxf>
    <dxf>
      <font>
        <color auto="1"/>
      </font>
      <fill>
        <patternFill>
          <bgColor theme="9" tint="0.59996337778862885"/>
        </patternFill>
      </fill>
    </dxf>
    <dxf>
      <font>
        <color theme="1"/>
      </font>
      <fill>
        <patternFill patternType="none">
          <bgColor auto="1"/>
        </patternFill>
      </fill>
    </dxf>
    <dxf>
      <font>
        <color auto="1"/>
      </font>
      <fill>
        <patternFill>
          <bgColor theme="9" tint="0.59996337778862885"/>
        </patternFill>
      </fill>
    </dxf>
    <dxf>
      <fill>
        <patternFill patternType="none">
          <bgColor auto="1"/>
        </patternFill>
      </fill>
    </dxf>
    <dxf>
      <font>
        <b/>
        <i val="0"/>
        <color rgb="FFFF0000"/>
      </font>
    </dxf>
    <dxf>
      <font>
        <color rgb="FFFF0000"/>
      </font>
    </dxf>
    <dxf>
      <font>
        <b/>
        <i val="0"/>
        <color rgb="FFFF0000"/>
      </font>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1"/>
      </font>
      <fill>
        <patternFill>
          <bgColor theme="9" tint="0.59996337778862885"/>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ont>
        <color auto="1"/>
      </font>
      <fill>
        <patternFill patternType="none">
          <bgColor auto="1"/>
        </patternFill>
      </fill>
    </dxf>
    <dxf>
      <font>
        <color theme="0" tint="-0.14996795556505021"/>
      </font>
    </dxf>
    <dxf>
      <font>
        <color theme="0" tint="-0.14996795556505021"/>
      </font>
    </dxf>
    <dxf>
      <font>
        <color theme="0" tint="-0.14996795556505021"/>
      </font>
    </dxf>
    <dxf>
      <fill>
        <patternFill patternType="none">
          <bgColor auto="1"/>
        </patternFill>
      </fill>
    </dxf>
    <dxf>
      <fill>
        <patternFill patternType="none">
          <bgColor auto="1"/>
        </patternFill>
      </fill>
    </dxf>
    <dxf>
      <fill>
        <patternFill patternType="none">
          <bgColor auto="1"/>
        </patternFill>
      </fill>
    </dxf>
    <dxf>
      <font>
        <color theme="1"/>
      </font>
      <fill>
        <patternFill>
          <bgColor theme="9" tint="0.59996337778862885"/>
        </patternFill>
      </fill>
    </dxf>
    <dxf>
      <fill>
        <patternFill patternType="none">
          <bgColor auto="1"/>
        </patternFill>
      </fill>
    </dxf>
    <dxf>
      <font>
        <color auto="1"/>
      </font>
      <fill>
        <patternFill>
          <bgColor theme="9" tint="0.59996337778862885"/>
        </patternFill>
      </fill>
    </dxf>
    <dxf>
      <font>
        <color theme="1"/>
      </font>
      <fill>
        <patternFill patternType="none">
          <bgColor auto="1"/>
        </patternFill>
      </fill>
    </dxf>
    <dxf>
      <font>
        <color auto="1"/>
      </font>
      <fill>
        <patternFill>
          <bgColor theme="9" tint="0.59996337778862885"/>
        </patternFill>
      </fill>
    </dxf>
    <dxf>
      <font>
        <color rgb="FFFF0000"/>
      </font>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1"/>
      </font>
      <fill>
        <patternFill>
          <bgColor theme="9" tint="0.59996337778862885"/>
        </patternFill>
      </fill>
    </dxf>
    <dxf>
      <fill>
        <patternFill patternType="none">
          <bgColor auto="1"/>
        </patternFill>
      </fill>
    </dxf>
    <dxf>
      <font>
        <b/>
        <i val="0"/>
        <color rgb="FFFF0000"/>
      </font>
    </dxf>
    <dxf>
      <fill>
        <patternFill patternType="none">
          <bgColor auto="1"/>
        </patternFill>
      </fill>
    </dxf>
    <dxf>
      <fill>
        <patternFill patternType="none">
          <bgColor auto="1"/>
        </patternFill>
      </fill>
    </dxf>
    <dxf>
      <font>
        <color auto="1"/>
      </font>
      <fill>
        <patternFill patternType="none">
          <bgColor auto="1"/>
        </patternFill>
      </fill>
    </dxf>
    <dxf>
      <font>
        <color auto="1"/>
      </font>
      <fill>
        <patternFill patternType="none">
          <bgColor auto="1"/>
        </patternFill>
      </fill>
    </dxf>
    <dxf>
      <font>
        <color theme="0" tint="-0.14996795556505021"/>
      </font>
    </dxf>
    <dxf>
      <font>
        <color theme="0" tint="-0.14996795556505021"/>
      </font>
    </dxf>
    <dxf>
      <font>
        <color theme="0" tint="-0.14996795556505021"/>
      </font>
    </dxf>
    <dxf>
      <fill>
        <patternFill patternType="none">
          <bgColor auto="1"/>
        </patternFill>
      </fill>
    </dxf>
    <dxf>
      <fill>
        <patternFill patternType="none">
          <bgColor auto="1"/>
        </patternFill>
      </fill>
    </dxf>
    <dxf>
      <fill>
        <patternFill patternType="none">
          <bgColor auto="1"/>
        </patternFill>
      </fill>
    </dxf>
    <dxf>
      <font>
        <color theme="1"/>
      </font>
      <fill>
        <patternFill>
          <bgColor theme="9" tint="0.59996337778862885"/>
        </patternFill>
      </fill>
    </dxf>
    <dxf>
      <fill>
        <patternFill patternType="none">
          <bgColor auto="1"/>
        </patternFill>
      </fill>
    </dxf>
    <dxf>
      <font>
        <color auto="1"/>
      </font>
      <fill>
        <patternFill>
          <bgColor theme="9" tint="0.59996337778862885"/>
        </patternFill>
      </fill>
    </dxf>
    <dxf>
      <font>
        <color theme="1"/>
      </font>
      <fill>
        <patternFill patternType="none">
          <bgColor auto="1"/>
        </patternFill>
      </fill>
    </dxf>
    <dxf>
      <font>
        <color auto="1"/>
      </font>
      <fill>
        <patternFill>
          <bgColor theme="9" tint="0.59996337778862885"/>
        </patternFill>
      </fill>
    </dxf>
    <dxf>
      <font>
        <b/>
        <i val="0"/>
        <color rgb="FFFF0000"/>
      </font>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font>
        <color theme="0" tint="-0.14996795556505021"/>
      </font>
    </dxf>
    <dxf>
      <fill>
        <patternFill patternType="none">
          <bgColor auto="1"/>
        </patternFill>
      </fill>
    </dxf>
    <dxf>
      <fill>
        <patternFill patternType="none">
          <bgColor auto="1"/>
        </patternFill>
      </fill>
    </dxf>
    <dxf>
      <fill>
        <patternFill patternType="none">
          <bgColor auto="1"/>
        </patternFill>
      </fill>
    </dxf>
    <dxf>
      <border>
        <left style="dotted">
          <color rgb="FFFF0000"/>
        </left>
        <right style="dotted">
          <color rgb="FFFF0000"/>
        </right>
        <top style="dotted">
          <color rgb="FFFF0000"/>
        </top>
        <bottom style="dotted">
          <color rgb="FFFF0000"/>
        </bottom>
        <vertical/>
        <horizontal/>
      </border>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ont>
        <color theme="1"/>
      </font>
      <fill>
        <patternFill>
          <bgColor theme="9" tint="0.59996337778862885"/>
        </patternFill>
      </fill>
    </dxf>
    <dxf>
      <fill>
        <patternFill patternType="none">
          <bgColor auto="1"/>
        </patternFill>
      </fill>
    </dxf>
    <dxf>
      <font>
        <color auto="1"/>
      </font>
      <fill>
        <patternFill patternType="none">
          <bgColor auto="1"/>
        </patternFill>
      </fill>
    </dxf>
    <dxf>
      <font>
        <color auto="1"/>
      </font>
      <fill>
        <patternFill patternType="none">
          <bgColor auto="1"/>
        </patternFill>
      </fill>
    </dxf>
    <dxf>
      <font>
        <color theme="0" tint="-0.14996795556505021"/>
      </font>
    </dxf>
    <dxf>
      <font>
        <color theme="0" tint="-0.14996795556505021"/>
      </font>
    </dxf>
    <dxf>
      <fill>
        <patternFill patternType="none">
          <bgColor auto="1"/>
        </patternFill>
      </fill>
    </dxf>
    <dxf>
      <fill>
        <patternFill patternType="none">
          <bgColor auto="1"/>
        </patternFill>
      </fill>
    </dxf>
    <dxf>
      <font>
        <color theme="1"/>
      </font>
      <fill>
        <patternFill>
          <bgColor theme="9" tint="0.59996337778862885"/>
        </patternFill>
      </fill>
    </dxf>
    <dxf>
      <fill>
        <patternFill patternType="none">
          <bgColor auto="1"/>
        </patternFill>
      </fill>
    </dxf>
    <dxf>
      <font>
        <color auto="1"/>
      </font>
      <fill>
        <patternFill>
          <bgColor theme="9" tint="0.59996337778862885"/>
        </patternFill>
      </fill>
    </dxf>
    <dxf>
      <font>
        <color theme="1"/>
      </font>
      <fill>
        <patternFill patternType="none">
          <bgColor auto="1"/>
        </patternFill>
      </fill>
    </dxf>
    <dxf>
      <font>
        <color auto="1"/>
      </font>
      <fill>
        <patternFill>
          <bgColor theme="9" tint="0.59996337778862885"/>
        </patternFill>
      </fill>
    </dxf>
    <dxf>
      <font>
        <color rgb="FFFF0000"/>
      </font>
    </dxf>
    <dxf>
      <font>
        <b/>
        <i val="0"/>
        <color rgb="FFFF0000"/>
      </font>
    </dxf>
    <dxf>
      <font>
        <color theme="1"/>
      </font>
      <fill>
        <patternFill patternType="none">
          <bgColor auto="1"/>
        </patternFill>
      </fill>
    </dxf>
    <dxf>
      <font>
        <color theme="0" tint="-0.1499679555650502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dxf>
    <dxf>
      <border>
        <left style="dotted">
          <color rgb="FFFF0000"/>
        </left>
        <right style="dotted">
          <color rgb="FFFF0000"/>
        </right>
        <top style="dotted">
          <color rgb="FFFF0000"/>
        </top>
        <bottom style="dotted">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fill>
        <patternFill patternType="none">
          <bgColor auto="1"/>
        </patternFill>
      </fill>
    </dxf>
    <dxf>
      <font>
        <color theme="1"/>
      </font>
      <fill>
        <patternFill>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ont>
        <color auto="1"/>
      </font>
      <fill>
        <patternFill patternType="none">
          <bgColor auto="1"/>
        </patternFill>
      </fill>
    </dxf>
    <dxf>
      <font>
        <color auto="1"/>
      </font>
      <fill>
        <patternFill patternType="none">
          <bgColor auto="1"/>
        </patternFill>
      </fill>
    </dxf>
    <dxf>
      <font>
        <color theme="0" tint="-0.14996795556505021"/>
      </font>
    </dxf>
    <dxf>
      <font>
        <color theme="0" tint="-0.14996795556505021"/>
      </font>
    </dxf>
    <dxf>
      <fill>
        <patternFill patternType="none">
          <bgColor auto="1"/>
        </patternFill>
      </fill>
    </dxf>
    <dxf>
      <fill>
        <patternFill patternType="none">
          <bgColor auto="1"/>
        </patternFill>
      </fill>
    </dxf>
    <dxf>
      <font>
        <color theme="1"/>
      </font>
      <fill>
        <patternFill>
          <bgColor theme="9" tint="0.59996337778862885"/>
        </patternFill>
      </fill>
    </dxf>
    <dxf>
      <fill>
        <patternFill patternType="none">
          <bgColor auto="1"/>
        </patternFill>
      </fill>
    </dxf>
    <dxf>
      <font>
        <color auto="1"/>
      </font>
      <fill>
        <patternFill>
          <bgColor theme="9" tint="0.59996337778862885"/>
        </patternFill>
      </fill>
    </dxf>
    <dxf>
      <font>
        <color auto="1"/>
      </font>
      <fill>
        <patternFill>
          <bgColor theme="9" tint="0.59996337778862885"/>
        </patternFill>
      </fill>
    </dxf>
    <dxf>
      <font>
        <color rgb="FFFF0000"/>
      </font>
    </dxf>
    <dxf>
      <font>
        <b/>
        <i val="0"/>
        <color rgb="FFFF0000"/>
      </font>
    </dxf>
    <dxf>
      <font>
        <b/>
        <i val="0"/>
        <color rgb="FFFF0000"/>
      </font>
    </dxf>
    <dxf>
      <font>
        <b/>
        <i val="0"/>
        <color rgb="FFFF0000"/>
      </font>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ont>
        <color theme="1"/>
      </font>
      <fill>
        <patternFill>
          <bgColor theme="9" tint="0.59996337778862885"/>
        </patternFill>
      </fill>
    </dxf>
    <dxf>
      <fill>
        <patternFill patternType="none">
          <bgColor auto="1"/>
        </patternFill>
      </fill>
    </dxf>
    <dxf>
      <fill>
        <patternFill patternType="none">
          <bgColor auto="1"/>
        </patternFill>
      </fill>
    </dxf>
    <dxf>
      <font>
        <color auto="1"/>
      </font>
      <fill>
        <patternFill patternType="none">
          <bgColor auto="1"/>
        </patternFill>
      </fill>
    </dxf>
    <dxf>
      <font>
        <color auto="1"/>
      </font>
      <fill>
        <patternFill patternType="none">
          <bgColor auto="1"/>
        </patternFill>
      </fill>
    </dxf>
    <dxf>
      <font>
        <color theme="0" tint="-0.14996795556505021"/>
      </font>
    </dxf>
    <dxf>
      <font>
        <color theme="0" tint="-0.14996795556505021"/>
      </font>
    </dxf>
    <dxf>
      <font>
        <color theme="0" tint="-0.14996795556505021"/>
      </font>
    </dxf>
    <dxf>
      <fill>
        <patternFill patternType="none">
          <bgColor auto="1"/>
        </patternFill>
      </fill>
    </dxf>
    <dxf>
      <fill>
        <patternFill patternType="none">
          <bgColor auto="1"/>
        </patternFill>
      </fill>
    </dxf>
    <dxf>
      <fill>
        <patternFill patternType="none">
          <bgColor auto="1"/>
        </patternFill>
      </fill>
    </dxf>
    <dxf>
      <font>
        <color theme="1"/>
      </font>
      <fill>
        <patternFill>
          <bgColor theme="9" tint="0.59996337778862885"/>
        </patternFill>
      </fill>
    </dxf>
    <dxf>
      <fill>
        <patternFill patternType="none">
          <bgColor auto="1"/>
        </patternFill>
      </fill>
    </dxf>
    <dxf>
      <font>
        <color auto="1"/>
      </font>
      <fill>
        <patternFill>
          <bgColor theme="9" tint="0.59996337778862885"/>
        </patternFill>
      </fill>
    </dxf>
    <dxf>
      <font>
        <color theme="1"/>
      </font>
      <fill>
        <patternFill patternType="none">
          <bgColor auto="1"/>
        </patternFill>
      </fill>
    </dxf>
    <dxf>
      <font>
        <color auto="1"/>
      </font>
      <fill>
        <patternFill>
          <bgColor theme="9" tint="0.59996337778862885"/>
        </patternFill>
      </fill>
    </dxf>
    <dxf>
      <font>
        <color rgb="FFFF0000"/>
      </font>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fill>
        <patternFill patternType="none">
          <bgColor auto="1"/>
        </patternFill>
      </fill>
    </dxf>
    <dxf>
      <fill>
        <patternFill patternType="none">
          <bgColor auto="1"/>
        </patternFill>
      </fill>
    </dxf>
    <dxf>
      <border>
        <left style="thin">
          <color rgb="FFFF0000"/>
        </left>
        <right style="thin">
          <color rgb="FFFF0000"/>
        </right>
        <top style="thin">
          <color rgb="FFFF0000"/>
        </top>
        <bottom style="thin">
          <color rgb="FFFF0000"/>
        </bottom>
        <vertical/>
        <horizontal/>
      </border>
    </dxf>
    <dxf>
      <border>
        <left style="dotted">
          <color rgb="FFFF0000"/>
        </left>
        <right style="dotted">
          <color rgb="FFFF0000"/>
        </right>
        <top style="dotted">
          <color rgb="FFFF0000"/>
        </top>
        <bottom style="dotted">
          <color rgb="FFFF0000"/>
        </bottom>
        <vertical/>
        <horizontal/>
      </border>
    </dxf>
    <dxf>
      <border>
        <left style="dotted">
          <color rgb="FFFF0000"/>
        </left>
        <right style="dotted">
          <color rgb="FFFF0000"/>
        </right>
        <top style="dotted">
          <color rgb="FFFF0000"/>
        </top>
        <bottom style="dotted">
          <color rgb="FFFF0000"/>
        </bottom>
        <vertical/>
        <horizontal/>
      </border>
    </dxf>
    <dxf>
      <font>
        <b/>
        <i val="0"/>
        <color rgb="FFFF0000"/>
      </font>
    </dxf>
    <dxf>
      <border>
        <left style="dotted">
          <color rgb="FFFF0000"/>
        </left>
        <right style="dotted">
          <color rgb="FFFF0000"/>
        </right>
        <top style="dotted">
          <color rgb="FFFF0000"/>
        </top>
        <bottom style="dotted">
          <color rgb="FFFF0000"/>
        </bottom>
        <vertical/>
        <horizontal/>
      </border>
    </dxf>
    <dxf>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tint="-0.14996795556505021"/>
      </font>
    </dxf>
    <dxf>
      <fill>
        <patternFill patternType="none">
          <bgColor auto="1"/>
        </patternFill>
      </fill>
    </dxf>
    <dxf>
      <font>
        <color auto="1"/>
      </font>
      <fill>
        <patternFill patternType="none">
          <bgColor auto="1"/>
        </patternFill>
      </fill>
    </dxf>
    <dxf>
      <font>
        <color auto="1"/>
      </font>
      <fill>
        <patternFill patternType="none">
          <bgColor auto="1"/>
        </patternFill>
      </fill>
    </dxf>
    <dxf>
      <font>
        <color theme="0" tint="-0.14996795556505021"/>
      </font>
    </dxf>
    <dxf>
      <font>
        <color theme="0" tint="-0.14996795556505021"/>
      </font>
    </dxf>
    <dxf>
      <font>
        <color theme="0" tint="-0.14996795556505021"/>
      </font>
    </dxf>
    <dxf>
      <fill>
        <patternFill patternType="none">
          <bgColor auto="1"/>
        </patternFill>
      </fill>
    </dxf>
    <dxf>
      <fill>
        <patternFill patternType="none">
          <bgColor auto="1"/>
        </patternFill>
      </fill>
    </dxf>
    <dxf>
      <fill>
        <patternFill patternType="none">
          <bgColor auto="1"/>
        </patternFill>
      </fill>
    </dxf>
    <dxf>
      <font>
        <color theme="1"/>
      </font>
      <fill>
        <patternFill>
          <bgColor theme="9" tint="0.59996337778862885"/>
        </patternFill>
      </fill>
    </dxf>
    <dxf>
      <fill>
        <patternFill patternType="none">
          <bgColor auto="1"/>
        </patternFill>
      </fill>
    </dxf>
    <dxf>
      <font>
        <color auto="1"/>
      </font>
      <fill>
        <patternFill>
          <bgColor theme="9" tint="0.59996337778862885"/>
        </patternFill>
      </fill>
    </dxf>
    <dxf>
      <font>
        <color theme="1"/>
      </font>
      <fill>
        <patternFill patternType="none">
          <bgColor auto="1"/>
        </patternFill>
      </fill>
    </dxf>
    <dxf>
      <font>
        <color auto="1"/>
      </font>
      <fill>
        <patternFill>
          <bgColor theme="9" tint="0.59996337778862885"/>
        </patternFill>
      </fill>
    </dxf>
    <dxf>
      <font>
        <b/>
        <i val="0"/>
        <color rgb="FFFF0000"/>
      </font>
    </dxf>
  </dxfs>
  <tableStyles count="0" defaultTableStyle="TableStyleMedium2" defaultPivotStyle="PivotStyleLight16"/>
  <colors>
    <mruColors>
      <color rgb="FF73182C"/>
      <color rgb="FF006600"/>
      <color rgb="FF0000FF"/>
      <color rgb="FF6600CC"/>
      <color rgb="FFFFFFFF"/>
      <color rgb="FFFFCC99"/>
      <color rgb="FFFF9933"/>
      <color rgb="FFFFCC00"/>
      <color rgb="FF00B050"/>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1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69535685320356"/>
          <c:y val="0.10923216374269006"/>
          <c:w val="0.61104966329966326"/>
          <c:h val="0.49764093567251461"/>
        </c:manualLayout>
      </c:layout>
      <c:barChart>
        <c:barDir val="col"/>
        <c:grouping val="stacked"/>
        <c:varyColors val="0"/>
        <c:ser>
          <c:idx val="0"/>
          <c:order val="0"/>
          <c:tx>
            <c:strRef>
              <c:f>ACT.!$C$70</c:f>
              <c:strCache>
                <c:ptCount val="1"/>
                <c:pt idx="0">
                  <c:v>Disposal</c:v>
                </c:pt>
              </c:strCache>
            </c:strRef>
          </c:tx>
          <c:spPr>
            <a:solidFill>
              <a:schemeClr val="accent3">
                <a:lumMod val="50000"/>
              </a:schemeClr>
            </a:solidFill>
          </c:spPr>
          <c:invertIfNegative val="0"/>
          <c:cat>
            <c:strRef>
              <c:f>(ACT.!$H$67,ACT.!$J$67)</c:f>
              <c:strCache>
                <c:ptCount val="2"/>
                <c:pt idx="0">
                  <c:v>Total</c:v>
                </c:pt>
                <c:pt idx="1">
                  <c:v>Total excl. hazwaste</c:v>
                </c:pt>
              </c:strCache>
            </c:strRef>
          </c:cat>
          <c:val>
            <c:numRef>
              <c:f>(ACT.!$H$70,ACT.!$J$70)</c:f>
              <c:numCache>
                <c:formatCode>#,##0</c:formatCode>
                <c:ptCount val="2"/>
                <c:pt idx="0">
                  <c:v>190.52274053777467</c:v>
                </c:pt>
                <c:pt idx="1">
                  <c:v>181.17215529139335</c:v>
                </c:pt>
              </c:numCache>
            </c:numRef>
          </c:val>
          <c:extLst>
            <c:ext xmlns:c16="http://schemas.microsoft.com/office/drawing/2014/chart" uri="{C3380CC4-5D6E-409C-BE32-E72D297353CC}">
              <c16:uniqueId val="{00000000-E803-4415-B5A2-469D3F535CD2}"/>
            </c:ext>
          </c:extLst>
        </c:ser>
        <c:ser>
          <c:idx val="1"/>
          <c:order val="1"/>
          <c:tx>
            <c:strRef>
              <c:f>ACT.!$C$71</c:f>
              <c:strCache>
                <c:ptCount val="1"/>
                <c:pt idx="0">
                  <c:v>Recycling</c:v>
                </c:pt>
              </c:strCache>
            </c:strRef>
          </c:tx>
          <c:spPr>
            <a:solidFill>
              <a:srgbClr val="FFFF00"/>
            </a:solidFill>
          </c:spPr>
          <c:invertIfNegative val="0"/>
          <c:cat>
            <c:strRef>
              <c:f>(ACT.!$H$67,ACT.!$J$67)</c:f>
              <c:strCache>
                <c:ptCount val="2"/>
                <c:pt idx="0">
                  <c:v>Total</c:v>
                </c:pt>
                <c:pt idx="1">
                  <c:v>Total excl. hazwaste</c:v>
                </c:pt>
              </c:strCache>
            </c:strRef>
          </c:cat>
          <c:val>
            <c:numRef>
              <c:f>(ACT.!$H$71,ACT.!$J$71)</c:f>
              <c:numCache>
                <c:formatCode>#,##0</c:formatCode>
                <c:ptCount val="2"/>
                <c:pt idx="0">
                  <c:v>547.13059214797033</c:v>
                </c:pt>
                <c:pt idx="1">
                  <c:v>476.89603803424706</c:v>
                </c:pt>
              </c:numCache>
            </c:numRef>
          </c:val>
          <c:extLst>
            <c:ext xmlns:c16="http://schemas.microsoft.com/office/drawing/2014/chart" uri="{C3380CC4-5D6E-409C-BE32-E72D297353CC}">
              <c16:uniqueId val="{00000001-E803-4415-B5A2-469D3F535CD2}"/>
            </c:ext>
          </c:extLst>
        </c:ser>
        <c:ser>
          <c:idx val="2"/>
          <c:order val="2"/>
          <c:tx>
            <c:strRef>
              <c:f>ACT.!$C$72</c:f>
              <c:strCache>
                <c:ptCount val="1"/>
                <c:pt idx="0">
                  <c:v>Energy recovery</c:v>
                </c:pt>
              </c:strCache>
            </c:strRef>
          </c:tx>
          <c:spPr>
            <a:solidFill>
              <a:schemeClr val="accent6">
                <a:lumMod val="75000"/>
              </a:schemeClr>
            </a:solidFill>
          </c:spPr>
          <c:invertIfNegative val="0"/>
          <c:cat>
            <c:strRef>
              <c:f>(ACT.!$H$67,ACT.!$J$67)</c:f>
              <c:strCache>
                <c:ptCount val="2"/>
                <c:pt idx="0">
                  <c:v>Total</c:v>
                </c:pt>
                <c:pt idx="1">
                  <c:v>Total excl. hazwaste</c:v>
                </c:pt>
              </c:strCache>
            </c:strRef>
          </c:cat>
          <c:val>
            <c:numRef>
              <c:f>(ACT.!$H$72,ACT.!$J$72)</c:f>
              <c:numCache>
                <c:formatCode>#,##0</c:formatCode>
                <c:ptCount val="2"/>
                <c:pt idx="0">
                  <c:v>37.002985953945178</c:v>
                </c:pt>
                <c:pt idx="1">
                  <c:v>37.002985953945057</c:v>
                </c:pt>
              </c:numCache>
            </c:numRef>
          </c:val>
          <c:extLst>
            <c:ext xmlns:c16="http://schemas.microsoft.com/office/drawing/2014/chart" uri="{C3380CC4-5D6E-409C-BE32-E72D297353CC}">
              <c16:uniqueId val="{00000002-E803-4415-B5A2-469D3F535CD2}"/>
            </c:ext>
          </c:extLst>
        </c:ser>
        <c:ser>
          <c:idx val="3"/>
          <c:order val="3"/>
          <c:tx>
            <c:strRef>
              <c:f>ACT.!$C$73</c:f>
              <c:strCache>
                <c:ptCount val="1"/>
                <c:pt idx="0">
                  <c:v>Recovery rate</c:v>
                </c:pt>
              </c:strCache>
            </c:strRef>
          </c:tx>
          <c:spPr>
            <a:noFill/>
          </c:spPr>
          <c:invertIfNegative val="0"/>
          <c:dLbls>
            <c:dLbl>
              <c:idx val="0"/>
              <c:layout>
                <c:manualLayout>
                  <c:x val="-7.6169234928359013E-4"/>
                  <c:y val="0.1170611111111110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F0-4FB8-A0BB-BD0106489CBC}"/>
                </c:ext>
              </c:extLst>
            </c:dLbl>
            <c:numFmt formatCode="0%" sourceLinked="0"/>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(ACT.!$H$67,ACT.!$J$67)</c:f>
              <c:strCache>
                <c:ptCount val="2"/>
                <c:pt idx="0">
                  <c:v>Total</c:v>
                </c:pt>
                <c:pt idx="1">
                  <c:v>Total excl. hazwaste</c:v>
                </c:pt>
              </c:strCache>
            </c:strRef>
          </c:cat>
          <c:val>
            <c:numRef>
              <c:f>(ACT.!$O$73,ACT.!$Q$73)</c:f>
              <c:numCache>
                <c:formatCode>0%</c:formatCode>
                <c:ptCount val="2"/>
                <c:pt idx="0">
                  <c:v>754.05513909402327</c:v>
                </c:pt>
                <c:pt idx="1">
                  <c:v>739.34733493169529</c:v>
                </c:pt>
              </c:numCache>
            </c:numRef>
          </c:val>
          <c:extLst>
            <c:ext xmlns:c16="http://schemas.microsoft.com/office/drawing/2014/chart" uri="{C3380CC4-5D6E-409C-BE32-E72D297353CC}">
              <c16:uniqueId val="{00000003-E803-4415-B5A2-469D3F535CD2}"/>
            </c:ext>
          </c:extLst>
        </c:ser>
        <c:dLbls>
          <c:showLegendKey val="0"/>
          <c:showVal val="0"/>
          <c:showCatName val="0"/>
          <c:showSerName val="0"/>
          <c:showPercent val="0"/>
          <c:showBubbleSize val="0"/>
        </c:dLbls>
        <c:gapWidth val="270"/>
        <c:overlap val="100"/>
        <c:axId val="219543040"/>
        <c:axId val="219544576"/>
      </c:barChart>
      <c:lineChart>
        <c:grouping val="stacked"/>
        <c:varyColors val="0"/>
        <c:ser>
          <c:idx val="4"/>
          <c:order val="4"/>
          <c:tx>
            <c:v>disposal per cap</c:v>
          </c:tx>
          <c:spPr>
            <a:ln>
              <a:noFill/>
            </a:ln>
          </c:spPr>
          <c:marker>
            <c:symbol val="none"/>
          </c:marker>
          <c:val>
            <c:numRef>
              <c:f>(ACT.!$K$70,ACT.!$M$70)</c:f>
              <c:numCache>
                <c:formatCode>#,##0</c:formatCode>
                <c:ptCount val="2"/>
                <c:pt idx="0">
                  <c:v>491.36472328964794</c:v>
                </c:pt>
                <c:pt idx="1">
                  <c:v>467.24924122584946</c:v>
                </c:pt>
              </c:numCache>
            </c:numRef>
          </c:val>
          <c:smooth val="0"/>
          <c:extLst>
            <c:ext xmlns:c16="http://schemas.microsoft.com/office/drawing/2014/chart" uri="{C3380CC4-5D6E-409C-BE32-E72D297353CC}">
              <c16:uniqueId val="{00000004-E803-4415-B5A2-469D3F535CD2}"/>
            </c:ext>
          </c:extLst>
        </c:ser>
        <c:ser>
          <c:idx val="5"/>
          <c:order val="5"/>
          <c:tx>
            <c:v>recycling per cap</c:v>
          </c:tx>
          <c:spPr>
            <a:ln>
              <a:noFill/>
            </a:ln>
          </c:spPr>
          <c:marker>
            <c:symbol val="none"/>
          </c:marker>
          <c:val>
            <c:numRef>
              <c:f>(ACT.!$K$71,ACT.!$M$71)</c:f>
              <c:numCache>
                <c:formatCode>#,##0</c:formatCode>
                <c:ptCount val="2"/>
                <c:pt idx="0">
                  <c:v>1411.0686800706922</c:v>
                </c:pt>
                <c:pt idx="1">
                  <c:v>1229.931341031529</c:v>
                </c:pt>
              </c:numCache>
            </c:numRef>
          </c:val>
          <c:smooth val="0"/>
          <c:extLst>
            <c:ext xmlns:c16="http://schemas.microsoft.com/office/drawing/2014/chart" uri="{C3380CC4-5D6E-409C-BE32-E72D297353CC}">
              <c16:uniqueId val="{00000005-E803-4415-B5A2-469D3F535CD2}"/>
            </c:ext>
          </c:extLst>
        </c:ser>
        <c:ser>
          <c:idx val="6"/>
          <c:order val="6"/>
          <c:tx>
            <c:v>en recov per cap</c:v>
          </c:tx>
          <c:spPr>
            <a:ln>
              <a:noFill/>
            </a:ln>
          </c:spPr>
          <c:marker>
            <c:symbol val="none"/>
          </c:marker>
          <c:val>
            <c:numRef>
              <c:f>(ACT.!$K$72,ACT.!$M$72)</c:f>
              <c:numCache>
                <c:formatCode>#,##0</c:formatCode>
                <c:ptCount val="2"/>
                <c:pt idx="0">
                  <c:v>95.431977845952161</c:v>
                </c:pt>
                <c:pt idx="1">
                  <c:v>95.431977845951835</c:v>
                </c:pt>
              </c:numCache>
            </c:numRef>
          </c:val>
          <c:smooth val="0"/>
          <c:extLst>
            <c:ext xmlns:c16="http://schemas.microsoft.com/office/drawing/2014/chart" uri="{C3380CC4-5D6E-409C-BE32-E72D297353CC}">
              <c16:uniqueId val="{00000006-E803-4415-B5A2-469D3F535CD2}"/>
            </c:ext>
          </c:extLst>
        </c:ser>
        <c:dLbls>
          <c:showLegendKey val="0"/>
          <c:showVal val="0"/>
          <c:showCatName val="0"/>
          <c:showSerName val="0"/>
          <c:showPercent val="0"/>
          <c:showBubbleSize val="0"/>
        </c:dLbls>
        <c:marker val="1"/>
        <c:smooth val="0"/>
        <c:axId val="219687936"/>
        <c:axId val="219686016"/>
      </c:lineChart>
      <c:catAx>
        <c:axId val="219543040"/>
        <c:scaling>
          <c:orientation val="minMax"/>
        </c:scaling>
        <c:delete val="0"/>
        <c:axPos val="b"/>
        <c:numFmt formatCode="General" sourceLinked="0"/>
        <c:majorTickMark val="none"/>
        <c:minorTickMark val="none"/>
        <c:tickLblPos val="nextTo"/>
        <c:spPr>
          <a:ln w="2540"/>
        </c:spPr>
        <c:crossAx val="219544576"/>
        <c:crosses val="autoZero"/>
        <c:auto val="1"/>
        <c:lblAlgn val="ctr"/>
        <c:lblOffset val="50"/>
        <c:noMultiLvlLbl val="0"/>
      </c:catAx>
      <c:valAx>
        <c:axId val="219544576"/>
        <c:scaling>
          <c:orientation val="minMax"/>
          <c:max val="900"/>
        </c:scaling>
        <c:delete val="0"/>
        <c:axPos val="l"/>
        <c:majorGridlines>
          <c:spPr>
            <a:ln w="2540"/>
          </c:spPr>
        </c:majorGridlines>
        <c:title>
          <c:tx>
            <c:rich>
              <a:bodyPr/>
              <a:lstStyle/>
              <a:p>
                <a:pPr>
                  <a:defRPr/>
                </a:pPr>
                <a:r>
                  <a:rPr lang="en-US"/>
                  <a:t>Megatonnes</a:t>
                </a:r>
              </a:p>
            </c:rich>
          </c:tx>
          <c:layout>
            <c:manualLayout>
              <c:xMode val="edge"/>
              <c:yMode val="edge"/>
              <c:x val="0.14021289537712894"/>
              <c:y val="0.21867309941520469"/>
            </c:manualLayout>
          </c:layout>
          <c:overlay val="0"/>
        </c:title>
        <c:numFmt formatCode="#,##0.0" sourceLinked="0"/>
        <c:majorTickMark val="out"/>
        <c:minorTickMark val="none"/>
        <c:tickLblPos val="nextTo"/>
        <c:spPr>
          <a:ln>
            <a:noFill/>
          </a:ln>
        </c:spPr>
        <c:crossAx val="219543040"/>
        <c:crosses val="autoZero"/>
        <c:crossBetween val="between"/>
        <c:majorUnit val="100"/>
        <c:dispUnits>
          <c:builtInUnit val="thousands"/>
        </c:dispUnits>
      </c:valAx>
      <c:valAx>
        <c:axId val="219686016"/>
        <c:scaling>
          <c:orientation val="minMax"/>
          <c:min val="0"/>
        </c:scaling>
        <c:delete val="0"/>
        <c:axPos val="r"/>
        <c:title>
          <c:tx>
            <c:rich>
              <a:bodyPr/>
              <a:lstStyle/>
              <a:p>
                <a:pPr>
                  <a:defRPr/>
                </a:pPr>
                <a:r>
                  <a:rPr lang="en-US"/>
                  <a:t>Kg per capita</a:t>
                </a:r>
              </a:p>
            </c:rich>
          </c:tx>
          <c:layout>
            <c:manualLayout>
              <c:xMode val="edge"/>
              <c:yMode val="edge"/>
              <c:x val="0.92578602324952686"/>
              <c:y val="0.20802163742690058"/>
            </c:manualLayout>
          </c:layout>
          <c:overlay val="0"/>
        </c:title>
        <c:numFmt formatCode="#,##0" sourceLinked="0"/>
        <c:majorTickMark val="out"/>
        <c:minorTickMark val="none"/>
        <c:tickLblPos val="nextTo"/>
        <c:spPr>
          <a:ln>
            <a:noFill/>
          </a:ln>
        </c:spPr>
        <c:crossAx val="219687936"/>
        <c:crosses val="max"/>
        <c:crossBetween val="between"/>
        <c:majorUnit val="250"/>
      </c:valAx>
      <c:catAx>
        <c:axId val="219687936"/>
        <c:scaling>
          <c:orientation val="minMax"/>
        </c:scaling>
        <c:delete val="1"/>
        <c:axPos val="b"/>
        <c:majorTickMark val="out"/>
        <c:minorTickMark val="none"/>
        <c:tickLblPos val="nextTo"/>
        <c:crossAx val="219686016"/>
        <c:crosses val="autoZero"/>
        <c:auto val="1"/>
        <c:lblAlgn val="ctr"/>
        <c:lblOffset val="100"/>
        <c:noMultiLvlLbl val="0"/>
      </c:catAx>
    </c:plotArea>
    <c:legend>
      <c:legendPos val="t"/>
      <c:legendEntry>
        <c:idx val="3"/>
        <c:delete val="1"/>
      </c:legendEntry>
      <c:legendEntry>
        <c:idx val="4"/>
        <c:delete val="1"/>
      </c:legendEntry>
      <c:legendEntry>
        <c:idx val="5"/>
        <c:delete val="1"/>
      </c:legendEntry>
      <c:legendEntry>
        <c:idx val="6"/>
        <c:delete val="1"/>
      </c:legendEntry>
      <c:layout>
        <c:manualLayout>
          <c:xMode val="edge"/>
          <c:yMode val="edge"/>
          <c:x val="0.30593876723438768"/>
          <c:y val="2.4063742690058478E-2"/>
          <c:w val="0.50702679538284368"/>
          <c:h val="6.0088620727098134E-2"/>
        </c:manualLayout>
      </c:layout>
      <c:overlay val="1"/>
    </c:legend>
    <c:plotVisOnly val="1"/>
    <c:dispBlanksAs val="gap"/>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94266403745416"/>
          <c:y val="0.18821678623728794"/>
          <c:w val="0.71272974917535803"/>
          <c:h val="0.13428840426060865"/>
        </c:manualLayout>
      </c:layout>
      <c:barChart>
        <c:barDir val="col"/>
        <c:grouping val="stacked"/>
        <c:varyColors val="0"/>
        <c:ser>
          <c:idx val="0"/>
          <c:order val="0"/>
          <c:tx>
            <c:strRef>
              <c:f>NSW.!$N$75</c:f>
              <c:strCache>
                <c:ptCount val="1"/>
                <c:pt idx="0">
                  <c:v>Disposal (kt)</c:v>
                </c:pt>
              </c:strCache>
            </c:strRef>
          </c:tx>
          <c:spPr>
            <a:noFill/>
          </c:spPr>
          <c:invertIfNegative val="0"/>
          <c:cat>
            <c:strRef>
              <c:f>NSW.!$D$67:$G$67</c:f>
              <c:strCache>
                <c:ptCount val="4"/>
                <c:pt idx="0">
                  <c:v>MSW</c:v>
                </c:pt>
                <c:pt idx="1">
                  <c:v>C&amp;I</c:v>
                </c:pt>
                <c:pt idx="2">
                  <c:v>C&amp;I excl. fly ash</c:v>
                </c:pt>
                <c:pt idx="3">
                  <c:v>C&amp;D</c:v>
                </c:pt>
              </c:strCache>
            </c:strRef>
          </c:cat>
          <c:val>
            <c:numRef>
              <c:f>NSW.!$D$70:$G$70</c:f>
              <c:numCache>
                <c:formatCode>#,##0</c:formatCode>
                <c:ptCount val="4"/>
                <c:pt idx="0">
                  <c:v>1881.2041634498671</c:v>
                </c:pt>
                <c:pt idx="1">
                  <c:v>3206.5670981666985</c:v>
                </c:pt>
                <c:pt idx="2">
                  <c:v>2405.1550044172172</c:v>
                </c:pt>
                <c:pt idx="3">
                  <c:v>1593.7213484963322</c:v>
                </c:pt>
              </c:numCache>
            </c:numRef>
          </c:val>
          <c:extLst>
            <c:ext xmlns:c16="http://schemas.microsoft.com/office/drawing/2014/chart" uri="{C3380CC4-5D6E-409C-BE32-E72D297353CC}">
              <c16:uniqueId val="{00000000-7329-44EB-842A-EA2673AF3157}"/>
            </c:ext>
          </c:extLst>
        </c:ser>
        <c:ser>
          <c:idx val="1"/>
          <c:order val="1"/>
          <c:tx>
            <c:strRef>
              <c:f>NSW.!$O$75</c:f>
              <c:strCache>
                <c:ptCount val="1"/>
                <c:pt idx="0">
                  <c:v>Recycling (kt)</c:v>
                </c:pt>
              </c:strCache>
            </c:strRef>
          </c:tx>
          <c:spPr>
            <a:noFill/>
            <a:ln>
              <a:noFill/>
            </a:ln>
          </c:spPr>
          <c:invertIfNegative val="0"/>
          <c:cat>
            <c:strRef>
              <c:f>NSW.!$D$67:$G$67</c:f>
              <c:strCache>
                <c:ptCount val="4"/>
                <c:pt idx="0">
                  <c:v>MSW</c:v>
                </c:pt>
                <c:pt idx="1">
                  <c:v>C&amp;I</c:v>
                </c:pt>
                <c:pt idx="2">
                  <c:v>C&amp;I excl. fly ash</c:v>
                </c:pt>
                <c:pt idx="3">
                  <c:v>C&amp;D</c:v>
                </c:pt>
              </c:strCache>
            </c:strRef>
          </c:cat>
          <c:val>
            <c:numRef>
              <c:f>NSW.!$D$71:$G$71</c:f>
              <c:numCache>
                <c:formatCode>#,##0</c:formatCode>
                <c:ptCount val="4"/>
                <c:pt idx="0">
                  <c:v>2357.8855050624052</c:v>
                </c:pt>
                <c:pt idx="1">
                  <c:v>4695.8276986769934</c:v>
                </c:pt>
                <c:pt idx="2">
                  <c:v>2757.2152033691332</c:v>
                </c:pt>
                <c:pt idx="3">
                  <c:v>4405.2150944943369</c:v>
                </c:pt>
              </c:numCache>
            </c:numRef>
          </c:val>
          <c:extLst>
            <c:ext xmlns:c16="http://schemas.microsoft.com/office/drawing/2014/chart" uri="{C3380CC4-5D6E-409C-BE32-E72D297353CC}">
              <c16:uniqueId val="{00000001-7329-44EB-842A-EA2673AF3157}"/>
            </c:ext>
          </c:extLst>
        </c:ser>
        <c:ser>
          <c:idx val="2"/>
          <c:order val="2"/>
          <c:tx>
            <c:strRef>
              <c:f>NSW.!$P$75</c:f>
              <c:strCache>
                <c:ptCount val="1"/>
                <c:pt idx="0">
                  <c:v>En recovery (kt)</c:v>
                </c:pt>
              </c:strCache>
            </c:strRef>
          </c:tx>
          <c:spPr>
            <a:noFill/>
          </c:spPr>
          <c:invertIfNegative val="0"/>
          <c:cat>
            <c:strRef>
              <c:f>NSW.!$D$67:$G$67</c:f>
              <c:strCache>
                <c:ptCount val="4"/>
                <c:pt idx="0">
                  <c:v>MSW</c:v>
                </c:pt>
                <c:pt idx="1">
                  <c:v>C&amp;I</c:v>
                </c:pt>
                <c:pt idx="2">
                  <c:v>C&amp;I excl. fly ash</c:v>
                </c:pt>
                <c:pt idx="3">
                  <c:v>C&amp;D</c:v>
                </c:pt>
              </c:strCache>
            </c:strRef>
          </c:cat>
          <c:val>
            <c:numRef>
              <c:f>NSW.!$D$72:$G$72</c:f>
              <c:numCache>
                <c:formatCode>#,##0</c:formatCode>
                <c:ptCount val="4"/>
                <c:pt idx="0">
                  <c:v>366.25244976112077</c:v>
                </c:pt>
                <c:pt idx="1">
                  <c:v>347.49047809673982</c:v>
                </c:pt>
                <c:pt idx="2">
                  <c:v>347.49047809673982</c:v>
                </c:pt>
                <c:pt idx="3">
                  <c:v>107.01773443608572</c:v>
                </c:pt>
              </c:numCache>
            </c:numRef>
          </c:val>
          <c:extLst>
            <c:ext xmlns:c16="http://schemas.microsoft.com/office/drawing/2014/chart" uri="{C3380CC4-5D6E-409C-BE32-E72D297353CC}">
              <c16:uniqueId val="{00000002-7329-44EB-842A-EA2673AF3157}"/>
            </c:ext>
          </c:extLst>
        </c:ser>
        <c:ser>
          <c:idx val="4"/>
          <c:order val="3"/>
          <c:tx>
            <c:strRef>
              <c:f>NSW.!$Q$75</c:f>
              <c:strCache>
                <c:ptCount val="1"/>
                <c:pt idx="0">
                  <c:v>Generation (kt)</c:v>
                </c:pt>
              </c:strCache>
            </c:strRef>
          </c:tx>
          <c:spPr>
            <a:noFill/>
          </c:spPr>
          <c:invertIfNegative val="0"/>
          <c:cat>
            <c:strRef>
              <c:f>NSW.!$D$67:$G$67</c:f>
              <c:strCache>
                <c:ptCount val="4"/>
                <c:pt idx="0">
                  <c:v>MSW</c:v>
                </c:pt>
                <c:pt idx="1">
                  <c:v>C&amp;I</c:v>
                </c:pt>
                <c:pt idx="2">
                  <c:v>C&amp;I excl. fly ash</c:v>
                </c:pt>
                <c:pt idx="3">
                  <c:v>C&amp;D</c:v>
                </c:pt>
              </c:strCache>
            </c:strRef>
          </c:cat>
          <c:val>
            <c:numRef>
              <c:f>NSW.!$D$74:$G$74</c:f>
              <c:numCache>
                <c:formatCode>#,##0</c:formatCode>
                <c:ptCount val="4"/>
                <c:pt idx="0">
                  <c:v>4605.3421182733937</c:v>
                </c:pt>
                <c:pt idx="1">
                  <c:v>8249.8852749404305</c:v>
                </c:pt>
                <c:pt idx="2">
                  <c:v>5509.8606858830908</c:v>
                </c:pt>
                <c:pt idx="3">
                  <c:v>6105.9541774267545</c:v>
                </c:pt>
              </c:numCache>
            </c:numRef>
          </c:val>
          <c:extLst>
            <c:ext xmlns:c16="http://schemas.microsoft.com/office/drawing/2014/chart" uri="{C3380CC4-5D6E-409C-BE32-E72D297353CC}">
              <c16:uniqueId val="{00000003-7329-44EB-842A-EA2673AF3157}"/>
            </c:ext>
          </c:extLst>
        </c:ser>
        <c:ser>
          <c:idx val="3"/>
          <c:order val="4"/>
          <c:tx>
            <c:strRef>
              <c:f>NSW.!$R$75</c:f>
              <c:strCache>
                <c:ptCount val="1"/>
                <c:pt idx="0">
                  <c:v>Generation (kg/cap)</c:v>
                </c:pt>
              </c:strCache>
            </c:strRef>
          </c:tx>
          <c:spPr>
            <a:noFill/>
            <a:ln>
              <a:noFill/>
            </a:ln>
          </c:spPr>
          <c:invertIfNegative val="0"/>
          <c:cat>
            <c:strRef>
              <c:f>NSW.!$D$67:$G$67</c:f>
              <c:strCache>
                <c:ptCount val="4"/>
                <c:pt idx="0">
                  <c:v>MSW</c:v>
                </c:pt>
                <c:pt idx="1">
                  <c:v>C&amp;I</c:v>
                </c:pt>
                <c:pt idx="2">
                  <c:v>C&amp;I excl. fly ash</c:v>
                </c:pt>
                <c:pt idx="3">
                  <c:v>C&amp;D</c:v>
                </c:pt>
              </c:strCache>
            </c:strRef>
          </c:cat>
          <c:val>
            <c:numRef>
              <c:f>NSW.!$D$75:$G$75</c:f>
              <c:numCache>
                <c:formatCode>#,##0</c:formatCode>
                <c:ptCount val="4"/>
                <c:pt idx="0">
                  <c:v>608.79971042499562</c:v>
                </c:pt>
                <c:pt idx="1">
                  <c:v>1090.5873304166566</c:v>
                </c:pt>
                <c:pt idx="2">
                  <c:v>728.37185683510211</c:v>
                </c:pt>
                <c:pt idx="3">
                  <c:v>807.1719841042709</c:v>
                </c:pt>
              </c:numCache>
            </c:numRef>
          </c:val>
          <c:extLst>
            <c:ext xmlns:c16="http://schemas.microsoft.com/office/drawing/2014/chart" uri="{C3380CC4-5D6E-409C-BE32-E72D297353CC}">
              <c16:uniqueId val="{00000004-7329-44EB-842A-EA2673AF3157}"/>
            </c:ext>
          </c:extLst>
        </c:ser>
        <c:dLbls>
          <c:showLegendKey val="0"/>
          <c:showVal val="0"/>
          <c:showCatName val="0"/>
          <c:showSerName val="0"/>
          <c:showPercent val="0"/>
          <c:showBubbleSize val="0"/>
        </c:dLbls>
        <c:gapWidth val="150"/>
        <c:overlap val="100"/>
        <c:axId val="219432064"/>
        <c:axId val="219433600"/>
      </c:barChart>
      <c:catAx>
        <c:axId val="219432064"/>
        <c:scaling>
          <c:orientation val="minMax"/>
        </c:scaling>
        <c:delete val="1"/>
        <c:axPos val="b"/>
        <c:numFmt formatCode="General" sourceLinked="0"/>
        <c:majorTickMark val="none"/>
        <c:minorTickMark val="none"/>
        <c:tickLblPos val="nextTo"/>
        <c:crossAx val="219433600"/>
        <c:crosses val="autoZero"/>
        <c:auto val="1"/>
        <c:lblAlgn val="ctr"/>
        <c:lblOffset val="100"/>
        <c:noMultiLvlLbl val="0"/>
      </c:catAx>
      <c:valAx>
        <c:axId val="219433600"/>
        <c:scaling>
          <c:orientation val="minMax"/>
        </c:scaling>
        <c:delete val="1"/>
        <c:axPos val="l"/>
        <c:numFmt formatCode="#,##0" sourceLinked="0"/>
        <c:majorTickMark val="out"/>
        <c:minorTickMark val="none"/>
        <c:tickLblPos val="nextTo"/>
        <c:crossAx val="219432064"/>
        <c:crosses val="autoZero"/>
        <c:crossBetween val="between"/>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printSettings>
    <c:headerFooter/>
    <c:pageMargins b="0.75000000000000822" l="0.70000000000000062" r="0.70000000000000062" t="0.7500000000000082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74133166754161128"/>
          <c:h val="0.12808528285643614"/>
        </c:manualLayout>
      </c:layout>
      <c:areaChart>
        <c:grouping val="stacked"/>
        <c:varyColors val="0"/>
        <c:ser>
          <c:idx val="0"/>
          <c:order val="0"/>
          <c:tx>
            <c:strRef>
              <c:f>'Trends and nat. data'!$B$243</c:f>
              <c:strCache>
                <c:ptCount val="1"/>
                <c:pt idx="0">
                  <c:v>Recycling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data'!$D$151:$L$151,'Trends and nat. data'!$N$151)</c:f>
              <c:numCache>
                <c:formatCode>#,##0.00</c:formatCode>
                <c:ptCount val="10"/>
                <c:pt idx="0">
                  <c:v>9.9100802242837849E-2</c:v>
                </c:pt>
                <c:pt idx="1">
                  <c:v>0.10056004213686026</c:v>
                </c:pt>
                <c:pt idx="2">
                  <c:v>0.10201928203088269</c:v>
                </c:pt>
                <c:pt idx="3">
                  <c:v>0.16107436081011506</c:v>
                </c:pt>
                <c:pt idx="4">
                  <c:v>0.17456432888216061</c:v>
                </c:pt>
                <c:pt idx="5">
                  <c:v>0.24826208781753328</c:v>
                </c:pt>
                <c:pt idx="6">
                  <c:v>0.32195984675290595</c:v>
                </c:pt>
                <c:pt idx="7">
                  <c:v>0.39565760568827857</c:v>
                </c:pt>
                <c:pt idx="8">
                  <c:v>0.42346602621456086</c:v>
                </c:pt>
                <c:pt idx="9" formatCode="0.0%">
                  <c:v>0.17512043381033604</c:v>
                </c:pt>
              </c:numCache>
            </c:numRef>
          </c:val>
          <c:extLst>
            <c:ext xmlns:c16="http://schemas.microsoft.com/office/drawing/2014/chart" uri="{C3380CC4-5D6E-409C-BE32-E72D297353CC}">
              <c16:uniqueId val="{00000000-D347-4787-9AC3-B09217E6BCA0}"/>
            </c:ext>
          </c:extLst>
        </c:ser>
        <c:ser>
          <c:idx val="1"/>
          <c:order val="1"/>
          <c:tx>
            <c:strRef>
              <c:f>'Trends and nat. data'!$B$242</c:f>
              <c:strCache>
                <c:ptCount val="1"/>
                <c:pt idx="0">
                  <c:v>Energy recovery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data'!$D$152:$L$152,'Trends and nat. data'!$N$152)</c:f>
              <c:numCache>
                <c:formatCode>#,##0.00</c:formatCode>
                <c:ptCount val="10"/>
                <c:pt idx="0">
                  <c:v>4.3037288014425454E-2</c:v>
                </c:pt>
                <c:pt idx="1">
                  <c:v>5.3568127657031298E-2</c:v>
                </c:pt>
                <c:pt idx="2">
                  <c:v>6.4098967299637141E-2</c:v>
                </c:pt>
                <c:pt idx="3">
                  <c:v>4.5169692014439732E-2</c:v>
                </c:pt>
                <c:pt idx="4">
                  <c:v>5.4918515533834401E-2</c:v>
                </c:pt>
                <c:pt idx="5">
                  <c:v>5.5326885095402734E-2</c:v>
                </c:pt>
                <c:pt idx="6">
                  <c:v>5.5735254656971066E-2</c:v>
                </c:pt>
                <c:pt idx="7">
                  <c:v>5.6143624218539405E-2</c:v>
                </c:pt>
                <c:pt idx="8">
                  <c:v>5.3225150797666647E-2</c:v>
                </c:pt>
                <c:pt idx="9" formatCode="0.0%">
                  <c:v>2.3887980684559773E-2</c:v>
                </c:pt>
              </c:numCache>
            </c:numRef>
          </c:val>
          <c:extLst>
            <c:ext xmlns:c16="http://schemas.microsoft.com/office/drawing/2014/chart" uri="{C3380CC4-5D6E-409C-BE32-E72D297353CC}">
              <c16:uniqueId val="{00000001-D347-4787-9AC3-B09217E6BCA0}"/>
            </c:ext>
          </c:extLst>
        </c:ser>
        <c:ser>
          <c:idx val="4"/>
          <c:order val="2"/>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data'!$D$153:$L$153,'Trends and nat. data'!$N$153)</c:f>
              <c:numCache>
                <c:formatCode>#,##0.00</c:formatCode>
                <c:ptCount val="10"/>
                <c:pt idx="0">
                  <c:v>0.56533406656695284</c:v>
                </c:pt>
                <c:pt idx="1">
                  <c:v>0.53725086957746249</c:v>
                </c:pt>
                <c:pt idx="2">
                  <c:v>0.50916767258797202</c:v>
                </c:pt>
                <c:pt idx="3">
                  <c:v>0.5610930813457633</c:v>
                </c:pt>
                <c:pt idx="4">
                  <c:v>0.63179647085969626</c:v>
                </c:pt>
                <c:pt idx="5">
                  <c:v>0.70390608323706494</c:v>
                </c:pt>
                <c:pt idx="6">
                  <c:v>0.77601569561443351</c:v>
                </c:pt>
                <c:pt idx="7">
                  <c:v>0.84812530799180208</c:v>
                </c:pt>
                <c:pt idx="8">
                  <c:v>0.94661314938149332</c:v>
                </c:pt>
                <c:pt idx="9" formatCode="0.0%">
                  <c:v>5.8946825920504597E-2</c:v>
                </c:pt>
              </c:numCache>
            </c:numRef>
          </c:val>
          <c:extLst>
            <c:ext xmlns:c16="http://schemas.microsoft.com/office/drawing/2014/chart" uri="{C3380CC4-5D6E-409C-BE32-E72D297353CC}">
              <c16:uniqueId val="{00000002-D347-4787-9AC3-B09217E6BCA0}"/>
            </c:ext>
          </c:extLst>
        </c:ser>
        <c:ser>
          <c:idx val="3"/>
          <c:order val="4"/>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data'!$Q$153:$Y$153,'Trends and nat. data'!$AA$153)</c:f>
              <c:numCache>
                <c:formatCode>#,##0</c:formatCode>
                <c:ptCount val="10"/>
                <c:pt idx="0">
                  <c:v>1150.1868031839372</c:v>
                </c:pt>
                <c:pt idx="1">
                  <c:v>1083.4772648166661</c:v>
                </c:pt>
                <c:pt idx="2">
                  <c:v>1014.7350651647396</c:v>
                </c:pt>
                <c:pt idx="3">
                  <c:v>1107.8702631510882</c:v>
                </c:pt>
                <c:pt idx="4">
                  <c:v>1238.2848754352469</c:v>
                </c:pt>
                <c:pt idx="5">
                  <c:v>1374.9669558331866</c:v>
                </c:pt>
                <c:pt idx="6">
                  <c:v>1514.2508329468433</c:v>
                </c:pt>
                <c:pt idx="7">
                  <c:v>1650.2161852790596</c:v>
                </c:pt>
                <c:pt idx="8">
                  <c:v>1837.035070040585</c:v>
                </c:pt>
                <c:pt idx="9" formatCode="0.0%">
                  <c:v>5.3402490432814975E-2</c:v>
                </c:pt>
              </c:numCache>
            </c:numRef>
          </c:val>
          <c:extLst>
            <c:ext xmlns:c16="http://schemas.microsoft.com/office/drawing/2014/chart" uri="{C3380CC4-5D6E-409C-BE32-E72D297353CC}">
              <c16:uniqueId val="{00000004-D347-4787-9AC3-B09217E6BCA0}"/>
            </c:ext>
          </c:extLst>
        </c:ser>
        <c:dLbls>
          <c:showLegendKey val="0"/>
          <c:showVal val="0"/>
          <c:showCatName val="0"/>
          <c:showSerName val="0"/>
          <c:showPercent val="0"/>
          <c:showBubbleSize val="0"/>
        </c:dLbls>
        <c:axId val="228272768"/>
        <c:axId val="228291328"/>
      </c:areaChart>
      <c:lineChart>
        <c:grouping val="stacked"/>
        <c:varyColors val="0"/>
        <c:ser>
          <c:idx val="5"/>
          <c:order val="3"/>
          <c:tx>
            <c:strRef>
              <c:f>'Trends and nat. data'!$C$82</c:f>
              <c:strCache>
                <c:ptCount val="1"/>
                <c:pt idx="0">
                  <c:v>Recovery rate</c:v>
                </c:pt>
              </c:strCache>
            </c:strRef>
          </c:tx>
          <c:spPr>
            <a:ln w="28575">
              <a:noFill/>
            </a:ln>
          </c:spPr>
          <c:marker>
            <c:spPr>
              <a:noFill/>
              <a:ln>
                <a:noFill/>
              </a:ln>
            </c:spPr>
          </c:marker>
          <c:val>
            <c:numRef>
              <c:f>'Trends and nat. data'!$D$154:$L$154</c:f>
              <c:numCache>
                <c:formatCode>0%</c:formatCode>
                <c:ptCount val="9"/>
                <c:pt idx="0">
                  <c:v>0.25142318261556562</c:v>
                </c:pt>
                <c:pt idx="1">
                  <c:v>0.28688305319098023</c:v>
                </c:pt>
                <c:pt idx="2">
                  <c:v>0.32625450961209357</c:v>
                </c:pt>
                <c:pt idx="3">
                  <c:v>0.36757546952795289</c:v>
                </c:pt>
                <c:pt idx="4">
                  <c:v>0.36322273865147392</c:v>
                </c:pt>
                <c:pt idx="5">
                  <c:v>0.43129187279759851</c:v>
                </c:pt>
                <c:pt idx="6">
                  <c:v>0.48671064714847767</c:v>
                </c:pt>
                <c:pt idx="7">
                  <c:v>0.53270575190899161</c:v>
                </c:pt>
                <c:pt idx="8">
                  <c:v>0.50357548627302751</c:v>
                </c:pt>
              </c:numCache>
            </c:numRef>
          </c:val>
          <c:smooth val="0"/>
          <c:extLst>
            <c:ext xmlns:c16="http://schemas.microsoft.com/office/drawing/2014/chart" uri="{C3380CC4-5D6E-409C-BE32-E72D297353CC}">
              <c16:uniqueId val="{00000003-D347-4787-9AC3-B09217E6BCA0}"/>
            </c:ext>
          </c:extLst>
        </c:ser>
        <c:ser>
          <c:idx val="6"/>
          <c:order val="5"/>
          <c:tx>
            <c:strRef>
              <c:f>'Trends and nat. data'!$B$244</c:f>
              <c:strCache>
                <c:ptCount val="1"/>
                <c:pt idx="0">
                  <c:v>Disposal (Mt)</c:v>
                </c:pt>
              </c:strCache>
            </c:strRef>
          </c:tx>
          <c:spPr>
            <a:ln w="28575">
              <a:noFill/>
            </a:ln>
          </c:spPr>
          <c:marker>
            <c:spPr>
              <a:noFill/>
              <a:ln>
                <a:noFill/>
              </a:ln>
            </c:spPr>
          </c:marker>
          <c:val>
            <c:numRef>
              <c:f>('Trends and nat. data'!$D$150:$L$150,'Trends and nat. data'!$N$150)</c:f>
              <c:numCache>
                <c:formatCode>#,##0.00</c:formatCode>
                <c:ptCount val="10"/>
                <c:pt idx="0">
                  <c:v>0.42319597630968958</c:v>
                </c:pt>
                <c:pt idx="1">
                  <c:v>0.38312269978357089</c:v>
                </c:pt>
                <c:pt idx="2">
                  <c:v>0.34304942325745219</c:v>
                </c:pt>
                <c:pt idx="3">
                  <c:v>0.35484902852120842</c:v>
                </c:pt>
                <c:pt idx="4">
                  <c:v>0.40231362644370122</c:v>
                </c:pt>
                <c:pt idx="5">
                  <c:v>0.40031711032412887</c:v>
                </c:pt>
                <c:pt idx="6">
                  <c:v>0.39832059420455651</c:v>
                </c:pt>
                <c:pt idx="7">
                  <c:v>0.3963240780849841</c:v>
                </c:pt>
                <c:pt idx="8">
                  <c:v>0.46992197236926575</c:v>
                </c:pt>
                <c:pt idx="9" formatCode="0.0%">
                  <c:v>1.1704781293678801E-2</c:v>
                </c:pt>
              </c:numCache>
            </c:numRef>
          </c:val>
          <c:smooth val="0"/>
          <c:extLst>
            <c:ext xmlns:c16="http://schemas.microsoft.com/office/drawing/2014/chart" uri="{C3380CC4-5D6E-409C-BE32-E72D297353CC}">
              <c16:uniqueId val="{00000005-D347-4787-9AC3-B09217E6BCA0}"/>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47600702892672"/>
          <c:y val="9.444469696969697E-2"/>
          <c:w val="0.59424810759664781"/>
          <c:h val="0.51782247474747478"/>
        </c:manualLayout>
      </c:layout>
      <c:areaChart>
        <c:grouping val="stacked"/>
        <c:varyColors val="0"/>
        <c:ser>
          <c:idx val="0"/>
          <c:order val="0"/>
          <c:tx>
            <c:strRef>
              <c:f>'Trends and nat. data'!$C$83</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data'!$D$155:$L$155</c:f>
              <c:numCache>
                <c:formatCode>#,##0.00</c:formatCode>
                <c:ptCount val="9"/>
                <c:pt idx="0">
                  <c:v>4.4748520304000587</c:v>
                </c:pt>
                <c:pt idx="1">
                  <c:v>4.4401776152522299</c:v>
                </c:pt>
                <c:pt idx="2">
                  <c:v>4.4055032001044019</c:v>
                </c:pt>
                <c:pt idx="3">
                  <c:v>4.4671470712115342</c:v>
                </c:pt>
                <c:pt idx="4">
                  <c:v>4.4414263085069514</c:v>
                </c:pt>
                <c:pt idx="5">
                  <c:v>4.114832035446752</c:v>
                </c:pt>
                <c:pt idx="6">
                  <c:v>3.7882377623865526</c:v>
                </c:pt>
                <c:pt idx="7">
                  <c:v>3.4616434893263537</c:v>
                </c:pt>
                <c:pt idx="8">
                  <c:v>4.0143936715423081</c:v>
                </c:pt>
              </c:numCache>
            </c:numRef>
          </c:val>
          <c:extLst>
            <c:ext xmlns:c16="http://schemas.microsoft.com/office/drawing/2014/chart" uri="{C3380CC4-5D6E-409C-BE32-E72D297353CC}">
              <c16:uniqueId val="{00000000-1648-49C2-A112-944B5E1EBD49}"/>
            </c:ext>
          </c:extLst>
        </c:ser>
        <c:ser>
          <c:idx val="1"/>
          <c:order val="1"/>
          <c:tx>
            <c:strRef>
              <c:f>'Trends and nat. data'!$C$84</c:f>
              <c:strCache>
                <c:ptCount val="1"/>
                <c:pt idx="0">
                  <c:v>Recycling</c:v>
                </c:pt>
              </c:strCache>
            </c:strRef>
          </c:tx>
          <c:spPr>
            <a:solidFill>
              <a:srgbClr val="FFFF00"/>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data'!$D$156:$L$156</c:f>
              <c:numCache>
                <c:formatCode>#,##0.00</c:formatCode>
                <c:ptCount val="9"/>
                <c:pt idx="0">
                  <c:v>5.9787974022576558</c:v>
                </c:pt>
                <c:pt idx="1">
                  <c:v>5.9990605400883643</c:v>
                </c:pt>
                <c:pt idx="2">
                  <c:v>6.0193236779190729</c:v>
                </c:pt>
                <c:pt idx="3">
                  <c:v>7.3079428380347968</c:v>
                </c:pt>
                <c:pt idx="4">
                  <c:v>7.4383412967863958</c:v>
                </c:pt>
                <c:pt idx="5">
                  <c:v>7.5656165107720028</c:v>
                </c:pt>
                <c:pt idx="6">
                  <c:v>7.6928917247576099</c:v>
                </c:pt>
                <c:pt idx="7">
                  <c:v>7.8201669387432178</c:v>
                </c:pt>
                <c:pt idx="8">
                  <c:v>8.4115052978861762</c:v>
                </c:pt>
              </c:numCache>
            </c:numRef>
          </c:val>
          <c:extLst>
            <c:ext xmlns:c16="http://schemas.microsoft.com/office/drawing/2014/chart" uri="{C3380CC4-5D6E-409C-BE32-E72D297353CC}">
              <c16:uniqueId val="{00000001-1648-49C2-A112-944B5E1EBD49}"/>
            </c:ext>
          </c:extLst>
        </c:ser>
        <c:ser>
          <c:idx val="2"/>
          <c:order val="2"/>
          <c:tx>
            <c:strRef>
              <c:f>'Trends and nat. data'!$C$85</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data'!$D$157:$L$157</c:f>
              <c:numCache>
                <c:formatCode>#,##0.00</c:formatCode>
                <c:ptCount val="9"/>
                <c:pt idx="0">
                  <c:v>0.36520418831315682</c:v>
                </c:pt>
                <c:pt idx="1">
                  <c:v>0.36467146269902911</c:v>
                </c:pt>
                <c:pt idx="2">
                  <c:v>0.36413873708490141</c:v>
                </c:pt>
                <c:pt idx="3">
                  <c:v>0.39057638505155323</c:v>
                </c:pt>
                <c:pt idx="4">
                  <c:v>0.6213022549125875</c:v>
                </c:pt>
                <c:pt idx="5">
                  <c:v>0.77599139579813392</c:v>
                </c:pt>
                <c:pt idx="6">
                  <c:v>0.93068053668368034</c:v>
                </c:pt>
                <c:pt idx="7">
                  <c:v>1.0853696775692268</c:v>
                </c:pt>
                <c:pt idx="8">
                  <c:v>0.61748131164311604</c:v>
                </c:pt>
              </c:numCache>
            </c:numRef>
          </c:val>
          <c:extLst>
            <c:ext xmlns:c16="http://schemas.microsoft.com/office/drawing/2014/chart" uri="{C3380CC4-5D6E-409C-BE32-E72D297353CC}">
              <c16:uniqueId val="{00000002-1648-49C2-A112-944B5E1EBD49}"/>
            </c:ext>
          </c:extLst>
        </c:ser>
        <c:dLbls>
          <c:showLegendKey val="0"/>
          <c:showVal val="0"/>
          <c:showCatName val="0"/>
          <c:showSerName val="0"/>
          <c:showPercent val="0"/>
          <c:showBubbleSize val="0"/>
        </c:dLbls>
        <c:axId val="227289344"/>
        <c:axId val="227315712"/>
      </c:areaChart>
      <c:lineChart>
        <c:grouping val="stacked"/>
        <c:varyColors val="0"/>
        <c:ser>
          <c:idx val="3"/>
          <c:order val="3"/>
          <c:tx>
            <c:v>Generation (kg/capita)</c:v>
          </c:tx>
          <c:spPr>
            <a:ln>
              <a:solidFill>
                <a:schemeClr val="tx1"/>
              </a:solidFill>
            </a:ln>
          </c:spPr>
          <c:marker>
            <c:symbol val="circle"/>
            <c:size val="7"/>
            <c:spPr>
              <a:solidFill>
                <a:schemeClr val="bg1"/>
              </a:solidFill>
              <a:ln>
                <a:solidFill>
                  <a:schemeClr val="tx1"/>
                </a:solidFill>
              </a:ln>
            </c:spPr>
          </c:marker>
          <c:val>
            <c:numRef>
              <c:f>'Trends and nat. data'!$Q$158:$Y$158</c:f>
              <c:numCache>
                <c:formatCode>#,##0</c:formatCode>
                <c:ptCount val="9"/>
                <c:pt idx="0">
                  <c:v>2119.69588760324</c:v>
                </c:pt>
                <c:pt idx="1">
                  <c:v>2077.873523303982</c:v>
                </c:pt>
                <c:pt idx="2">
                  <c:v>2030.5640700825149</c:v>
                </c:pt>
                <c:pt idx="3">
                  <c:v>2244.8989323609017</c:v>
                </c:pt>
                <c:pt idx="4">
                  <c:v>2274.6956417842812</c:v>
                </c:pt>
                <c:pt idx="5">
                  <c:v>2231.2692568281645</c:v>
                </c:pt>
                <c:pt idx="6">
                  <c:v>2184.9847115321577</c:v>
                </c:pt>
                <c:pt idx="7">
                  <c:v>2137.8836393587512</c:v>
                </c:pt>
                <c:pt idx="8">
                  <c:v>2215.7917969120481</c:v>
                </c:pt>
              </c:numCache>
            </c:numRef>
          </c:val>
          <c:smooth val="0"/>
          <c:extLst>
            <c:ext xmlns:c16="http://schemas.microsoft.com/office/drawing/2014/chart" uri="{C3380CC4-5D6E-409C-BE32-E72D297353CC}">
              <c16:uniqueId val="{00000003-1648-49C2-A112-944B5E1EBD49}"/>
            </c:ext>
          </c:extLst>
        </c:ser>
        <c:dLbls>
          <c:showLegendKey val="0"/>
          <c:showVal val="0"/>
          <c:showCatName val="0"/>
          <c:showSerName val="0"/>
          <c:showPercent val="0"/>
          <c:showBubbleSize val="0"/>
        </c:dLbls>
        <c:marker val="1"/>
        <c:smooth val="0"/>
        <c:axId val="786891184"/>
        <c:axId val="786890200"/>
      </c:lineChart>
      <c:catAx>
        <c:axId val="22728934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27315712"/>
        <c:crosses val="autoZero"/>
        <c:auto val="1"/>
        <c:lblAlgn val="ctr"/>
        <c:lblOffset val="100"/>
        <c:noMultiLvlLbl val="0"/>
      </c:catAx>
      <c:valAx>
        <c:axId val="227315712"/>
        <c:scaling>
          <c:orientation val="minMax"/>
          <c:max val="15"/>
        </c:scaling>
        <c:delete val="0"/>
        <c:axPos val="l"/>
        <c:majorGridlines>
          <c:spPr>
            <a:ln w="2540"/>
          </c:spPr>
        </c:majorGridlines>
        <c:title>
          <c:tx>
            <c:rich>
              <a:bodyPr/>
              <a:lstStyle/>
              <a:p>
                <a:pPr>
                  <a:defRPr/>
                </a:pPr>
                <a:r>
                  <a:rPr lang="en-AU"/>
                  <a:t>Megatonnes (Mt)</a:t>
                </a:r>
              </a:p>
            </c:rich>
          </c:tx>
          <c:layout>
            <c:manualLayout>
              <c:xMode val="edge"/>
              <c:yMode val="edge"/>
              <c:x val="0.17124662070829955"/>
              <c:y val="0.199439898989899"/>
            </c:manualLayout>
          </c:layout>
          <c:overlay val="0"/>
        </c:title>
        <c:numFmt formatCode="#,##0.0" sourceLinked="0"/>
        <c:majorTickMark val="out"/>
        <c:minorTickMark val="none"/>
        <c:tickLblPos val="nextTo"/>
        <c:spPr>
          <a:ln>
            <a:noFill/>
          </a:ln>
        </c:spPr>
        <c:crossAx val="227289344"/>
        <c:crosses val="autoZero"/>
        <c:crossBetween val="between"/>
        <c:majorUnit val="3"/>
      </c:valAx>
      <c:valAx>
        <c:axId val="786890200"/>
        <c:scaling>
          <c:orientation val="minMax"/>
          <c:min val="0"/>
        </c:scaling>
        <c:delete val="0"/>
        <c:axPos val="r"/>
        <c:title>
          <c:tx>
            <c:rich>
              <a:bodyPr/>
              <a:lstStyle/>
              <a:p>
                <a:pPr>
                  <a:defRPr/>
                </a:pPr>
                <a:r>
                  <a:rPr lang="en-AU"/>
                  <a:t>Generation (kg</a:t>
                </a:r>
                <a:r>
                  <a:rPr lang="en-AU" baseline="0"/>
                  <a:t> per capita)</a:t>
                </a:r>
                <a:endParaRPr lang="en-AU"/>
              </a:p>
            </c:rich>
          </c:tx>
          <c:layout>
            <c:manualLayout>
              <c:xMode val="edge"/>
              <c:yMode val="edge"/>
              <c:x val="0.9571205055420382"/>
              <c:y val="0.13522020202020202"/>
            </c:manualLayout>
          </c:layout>
          <c:overlay val="0"/>
        </c:title>
        <c:numFmt formatCode="#,##0;\-#,##0;;" sourceLinked="0"/>
        <c:majorTickMark val="out"/>
        <c:minorTickMark val="none"/>
        <c:tickLblPos val="nextTo"/>
        <c:spPr>
          <a:ln>
            <a:noFill/>
          </a:ln>
        </c:spPr>
        <c:crossAx val="786891184"/>
        <c:crosses val="max"/>
        <c:crossBetween val="between"/>
      </c:valAx>
      <c:catAx>
        <c:axId val="786891184"/>
        <c:scaling>
          <c:orientation val="minMax"/>
        </c:scaling>
        <c:delete val="1"/>
        <c:axPos val="b"/>
        <c:majorTickMark val="out"/>
        <c:minorTickMark val="none"/>
        <c:tickLblPos val="nextTo"/>
        <c:crossAx val="786890200"/>
        <c:crosses val="autoZero"/>
        <c:auto val="1"/>
        <c:lblAlgn val="ctr"/>
        <c:lblOffset val="100"/>
        <c:noMultiLvlLbl val="0"/>
      </c:catAx>
    </c:plotArea>
    <c:legend>
      <c:legendPos val="t"/>
      <c:layout>
        <c:manualLayout>
          <c:xMode val="edge"/>
          <c:yMode val="edge"/>
          <c:x val="0.17227696674776968"/>
          <c:y val="6.7704545454545465E-3"/>
          <c:w val="0.82272860908353607"/>
          <c:h val="4.4093181818181816E-2"/>
        </c:manualLayout>
      </c:layout>
      <c:overlay val="0"/>
    </c:legend>
    <c:plotVisOnly val="1"/>
    <c:dispBlanksAs val="zero"/>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72880240897206983"/>
          <c:h val="0.12808528285643614"/>
        </c:manualLayout>
      </c:layout>
      <c:areaChart>
        <c:grouping val="stacked"/>
        <c:varyColors val="0"/>
        <c:ser>
          <c:idx val="0"/>
          <c:order val="0"/>
          <c:tx>
            <c:strRef>
              <c:f>'Trends and nat. data'!$B$243</c:f>
              <c:strCache>
                <c:ptCount val="1"/>
                <c:pt idx="0">
                  <c:v>Recycling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data'!$D$156:$L$156,'Trends and nat. data'!$N$156)</c:f>
              <c:numCache>
                <c:formatCode>#,##0.00</c:formatCode>
                <c:ptCount val="10"/>
                <c:pt idx="0">
                  <c:v>5.9787974022576558</c:v>
                </c:pt>
                <c:pt idx="1">
                  <c:v>5.9990605400883643</c:v>
                </c:pt>
                <c:pt idx="2">
                  <c:v>6.0193236779190729</c:v>
                </c:pt>
                <c:pt idx="3">
                  <c:v>7.3079428380347968</c:v>
                </c:pt>
                <c:pt idx="4">
                  <c:v>7.4383412967863958</c:v>
                </c:pt>
                <c:pt idx="5">
                  <c:v>7.5656165107720028</c:v>
                </c:pt>
                <c:pt idx="6">
                  <c:v>7.6928917247576099</c:v>
                </c:pt>
                <c:pt idx="7">
                  <c:v>7.8201669387432178</c:v>
                </c:pt>
                <c:pt idx="8">
                  <c:v>8.4115052978861762</c:v>
                </c:pt>
                <c:pt idx="9" formatCode="0.0%">
                  <c:v>3.8659794006871806E-2</c:v>
                </c:pt>
              </c:numCache>
            </c:numRef>
          </c:val>
          <c:extLst>
            <c:ext xmlns:c16="http://schemas.microsoft.com/office/drawing/2014/chart" uri="{C3380CC4-5D6E-409C-BE32-E72D297353CC}">
              <c16:uniqueId val="{00000000-89FC-4622-AD6E-8A3E6492CAC2}"/>
            </c:ext>
          </c:extLst>
        </c:ser>
        <c:ser>
          <c:idx val="1"/>
          <c:order val="1"/>
          <c:tx>
            <c:strRef>
              <c:f>'Trends and nat. data'!$B$242</c:f>
              <c:strCache>
                <c:ptCount val="1"/>
                <c:pt idx="0">
                  <c:v>Energy recovery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data'!$D$157:$L$157,'Trends and nat. data'!$N$157)</c:f>
              <c:numCache>
                <c:formatCode>#,##0.00</c:formatCode>
                <c:ptCount val="10"/>
                <c:pt idx="0">
                  <c:v>0.36520418831315682</c:v>
                </c:pt>
                <c:pt idx="1">
                  <c:v>0.36467146269902911</c:v>
                </c:pt>
                <c:pt idx="2">
                  <c:v>0.36413873708490141</c:v>
                </c:pt>
                <c:pt idx="3">
                  <c:v>0.39057638505155323</c:v>
                </c:pt>
                <c:pt idx="4">
                  <c:v>0.6213022549125875</c:v>
                </c:pt>
                <c:pt idx="5">
                  <c:v>0.77599139579813392</c:v>
                </c:pt>
                <c:pt idx="6">
                  <c:v>0.93068053668368034</c:v>
                </c:pt>
                <c:pt idx="7">
                  <c:v>1.0853696775692268</c:v>
                </c:pt>
                <c:pt idx="8">
                  <c:v>0.61748131164311604</c:v>
                </c:pt>
                <c:pt idx="9" formatCode="0.0%">
                  <c:v>6.0090929896804868E-2</c:v>
                </c:pt>
              </c:numCache>
            </c:numRef>
          </c:val>
          <c:extLst>
            <c:ext xmlns:c16="http://schemas.microsoft.com/office/drawing/2014/chart" uri="{C3380CC4-5D6E-409C-BE32-E72D297353CC}">
              <c16:uniqueId val="{00000001-89FC-4622-AD6E-8A3E6492CAC2}"/>
            </c:ext>
          </c:extLst>
        </c:ser>
        <c:ser>
          <c:idx val="4"/>
          <c:order val="2"/>
          <c:tx>
            <c:strRef>
              <c:f>'Trends and nat. data'!$B$247</c:f>
              <c:strCache>
                <c:ptCount val="1"/>
                <c:pt idx="0">
                  <c:v>Generation excl.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data'!$D$158:$L$158,'Trends and nat. data'!$N$158)</c:f>
              <c:numCache>
                <c:formatCode>#,##0.00</c:formatCode>
                <c:ptCount val="10"/>
                <c:pt idx="0">
                  <c:v>10.818853620970872</c:v>
                </c:pt>
                <c:pt idx="1">
                  <c:v>10.803909618039622</c:v>
                </c:pt>
                <c:pt idx="2">
                  <c:v>10.788965615108376</c:v>
                </c:pt>
                <c:pt idx="3">
                  <c:v>12.165666294297884</c:v>
                </c:pt>
                <c:pt idx="4">
                  <c:v>12.501069860205934</c:v>
                </c:pt>
                <c:pt idx="5">
                  <c:v>12.456439942016889</c:v>
                </c:pt>
                <c:pt idx="6">
                  <c:v>12.411810023827844</c:v>
                </c:pt>
                <c:pt idx="7">
                  <c:v>12.367180105638798</c:v>
                </c:pt>
                <c:pt idx="8">
                  <c:v>13.043380281071601</c:v>
                </c:pt>
                <c:pt idx="9" formatCode="0.0%">
                  <c:v>2.0994052858973378E-2</c:v>
                </c:pt>
              </c:numCache>
            </c:numRef>
          </c:val>
          <c:extLst>
            <c:ext xmlns:c16="http://schemas.microsoft.com/office/drawing/2014/chart" uri="{C3380CC4-5D6E-409C-BE32-E72D297353CC}">
              <c16:uniqueId val="{00000002-89FC-4622-AD6E-8A3E6492CAC2}"/>
            </c:ext>
          </c:extLst>
        </c:ser>
        <c:ser>
          <c:idx val="2"/>
          <c:order val="3"/>
          <c:tx>
            <c:strRef>
              <c:f>'Trends and nat. data'!$B$246</c:f>
              <c:strCache>
                <c:ptCount val="1"/>
                <c:pt idx="0">
                  <c:v>Generation incl.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data'!$D$111:$L$111,'Trends and nat. data'!$N$111)</c:f>
              <c:numCache>
                <c:formatCode>#,##0.00</c:formatCode>
                <c:ptCount val="10"/>
                <c:pt idx="0">
                  <c:v>13.585612377471332</c:v>
                </c:pt>
                <c:pt idx="1">
                  <c:v>13.534093559086241</c:v>
                </c:pt>
                <c:pt idx="2">
                  <c:v>13.482574740701152</c:v>
                </c:pt>
                <c:pt idx="3">
                  <c:v>14.787140674429246</c:v>
                </c:pt>
                <c:pt idx="4">
                  <c:v>15.004406160026802</c:v>
                </c:pt>
                <c:pt idx="5">
                  <c:v>14.918790845580537</c:v>
                </c:pt>
                <c:pt idx="6">
                  <c:v>14.833175531134273</c:v>
                </c:pt>
                <c:pt idx="7">
                  <c:v>14.747560216688006</c:v>
                </c:pt>
                <c:pt idx="8">
                  <c:v>15.249274166168396</c:v>
                </c:pt>
                <c:pt idx="9" formatCode="0.0%">
                  <c:v>1.2918350935033684E-2</c:v>
                </c:pt>
              </c:numCache>
            </c:numRef>
          </c:val>
          <c:extLst>
            <c:ext xmlns:c16="http://schemas.microsoft.com/office/drawing/2014/chart" uri="{C3380CC4-5D6E-409C-BE32-E72D297353CC}">
              <c16:uniqueId val="{00000003-89FC-4622-AD6E-8A3E6492CAC2}"/>
            </c:ext>
          </c:extLst>
        </c:ser>
        <c:ser>
          <c:idx val="3"/>
          <c:order val="5"/>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data'!$Q$158:$Y$158,'Trends and nat. data'!$AA$158)</c:f>
              <c:numCache>
                <c:formatCode>#,##0</c:formatCode>
                <c:ptCount val="10"/>
                <c:pt idx="0">
                  <c:v>2119.69588760324</c:v>
                </c:pt>
                <c:pt idx="1">
                  <c:v>2077.873523303982</c:v>
                </c:pt>
                <c:pt idx="2">
                  <c:v>2030.5640700825149</c:v>
                </c:pt>
                <c:pt idx="3">
                  <c:v>2244.8989323609017</c:v>
                </c:pt>
                <c:pt idx="4">
                  <c:v>2274.6956417842812</c:v>
                </c:pt>
                <c:pt idx="5">
                  <c:v>2231.2692568281645</c:v>
                </c:pt>
                <c:pt idx="6">
                  <c:v>2184.9847115321577</c:v>
                </c:pt>
                <c:pt idx="7">
                  <c:v>2137.8836393587512</c:v>
                </c:pt>
                <c:pt idx="8">
                  <c:v>2215.7917969120481</c:v>
                </c:pt>
                <c:pt idx="9" formatCode="0.0%">
                  <c:v>4.9385078585981734E-3</c:v>
                </c:pt>
              </c:numCache>
            </c:numRef>
          </c:val>
          <c:extLst>
            <c:ext xmlns:c16="http://schemas.microsoft.com/office/drawing/2014/chart" uri="{C3380CC4-5D6E-409C-BE32-E72D297353CC}">
              <c16:uniqueId val="{00000005-89FC-4622-AD6E-8A3E6492CAC2}"/>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data'!$C$82</c:f>
              <c:strCache>
                <c:ptCount val="1"/>
                <c:pt idx="0">
                  <c:v>Recovery rate</c:v>
                </c:pt>
              </c:strCache>
            </c:strRef>
          </c:tx>
          <c:spPr>
            <a:ln w="28575">
              <a:noFill/>
            </a:ln>
          </c:spPr>
          <c:marker>
            <c:spPr>
              <a:noFill/>
              <a:ln>
                <a:noFill/>
              </a:ln>
            </c:spPr>
          </c:marker>
          <c:val>
            <c:numRef>
              <c:f>'Trends and nat. data'!$D$159:$L$159</c:f>
              <c:numCache>
                <c:formatCode>0%</c:formatCode>
                <c:ptCount val="9"/>
                <c:pt idx="0">
                  <c:v>0.58638390099611204</c:v>
                </c:pt>
                <c:pt idx="1">
                  <c:v>0.58902121803774377</c:v>
                </c:pt>
                <c:pt idx="2">
                  <c:v>0.59166584107607723</c:v>
                </c:pt>
                <c:pt idx="3">
                  <c:v>0.6328070355418749</c:v>
                </c:pt>
                <c:pt idx="4">
                  <c:v>0.6447163036305289</c:v>
                </c:pt>
                <c:pt idx="5">
                  <c:v>0.66966227472690742</c:v>
                </c:pt>
                <c:pt idx="6">
                  <c:v>0.69478764538661142</c:v>
                </c:pt>
                <c:pt idx="7">
                  <c:v>0.72009435782793985</c:v>
                </c:pt>
                <c:pt idx="8">
                  <c:v>0.69222750659444099</c:v>
                </c:pt>
              </c:numCache>
            </c:numRef>
          </c:val>
          <c:smooth val="0"/>
          <c:extLst>
            <c:ext xmlns:c16="http://schemas.microsoft.com/office/drawing/2014/chart" uri="{C3380CC4-5D6E-409C-BE32-E72D297353CC}">
              <c16:uniqueId val="{00000004-89FC-4622-AD6E-8A3E6492CAC2}"/>
            </c:ext>
          </c:extLst>
        </c:ser>
        <c:ser>
          <c:idx val="6"/>
          <c:order val="6"/>
          <c:tx>
            <c:strRef>
              <c:f>'Trends and nat. data'!$B$244</c:f>
              <c:strCache>
                <c:ptCount val="1"/>
                <c:pt idx="0">
                  <c:v>Disposal (Mt)</c:v>
                </c:pt>
              </c:strCache>
            </c:strRef>
          </c:tx>
          <c:spPr>
            <a:ln w="28575">
              <a:noFill/>
            </a:ln>
          </c:spPr>
          <c:marker>
            <c:spPr>
              <a:noFill/>
              <a:ln>
                <a:noFill/>
              </a:ln>
            </c:spPr>
          </c:marker>
          <c:val>
            <c:numRef>
              <c:f>('Trends and nat. data'!$D$155:$L$155,'Trends and nat. data'!$N$155)</c:f>
              <c:numCache>
                <c:formatCode>#,##0.00</c:formatCode>
                <c:ptCount val="10"/>
                <c:pt idx="0">
                  <c:v>4.4748520304000587</c:v>
                </c:pt>
                <c:pt idx="1">
                  <c:v>4.4401776152522299</c:v>
                </c:pt>
                <c:pt idx="2">
                  <c:v>4.4055032001044019</c:v>
                </c:pt>
                <c:pt idx="3">
                  <c:v>4.4671470712115342</c:v>
                </c:pt>
                <c:pt idx="4">
                  <c:v>4.4414263085069514</c:v>
                </c:pt>
                <c:pt idx="5">
                  <c:v>4.114832035446752</c:v>
                </c:pt>
                <c:pt idx="6">
                  <c:v>3.7882377623865526</c:v>
                </c:pt>
                <c:pt idx="7">
                  <c:v>3.4616434893263537</c:v>
                </c:pt>
                <c:pt idx="8">
                  <c:v>4.0143936715423081</c:v>
                </c:pt>
                <c:pt idx="9" formatCode="0.0%">
                  <c:v>-1.199272544446206E-2</c:v>
                </c:pt>
              </c:numCache>
            </c:numRef>
          </c:val>
          <c:smooth val="0"/>
          <c:extLst>
            <c:ext xmlns:c16="http://schemas.microsoft.com/office/drawing/2014/chart" uri="{C3380CC4-5D6E-409C-BE32-E72D297353CC}">
              <c16:uniqueId val="{00000006-89FC-4622-AD6E-8A3E6492CAC2}"/>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47600702892672"/>
          <c:y val="9.444469696969697E-2"/>
          <c:w val="0.59424810759664781"/>
          <c:h val="0.51782247474747478"/>
        </c:manualLayout>
      </c:layout>
      <c:areaChart>
        <c:grouping val="stacked"/>
        <c:varyColors val="0"/>
        <c:ser>
          <c:idx val="0"/>
          <c:order val="0"/>
          <c:tx>
            <c:strRef>
              <c:f>'Trends and nat. data'!$C$83</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data'!$D$160:$L$160</c:f>
              <c:numCache>
                <c:formatCode>#,##0.00</c:formatCode>
                <c:ptCount val="9"/>
                <c:pt idx="0">
                  <c:v>3.725062449008897</c:v>
                </c:pt>
                <c:pt idx="1">
                  <c:v>3.7804241457649983</c:v>
                </c:pt>
                <c:pt idx="2">
                  <c:v>3.8357858425211</c:v>
                </c:pt>
                <c:pt idx="3">
                  <c:v>3.7487132148511595</c:v>
                </c:pt>
                <c:pt idx="4">
                  <c:v>3.6616405871812194</c:v>
                </c:pt>
                <c:pt idx="5">
                  <c:v>3.7514885050006512</c:v>
                </c:pt>
                <c:pt idx="6">
                  <c:v>3.841336422820083</c:v>
                </c:pt>
                <c:pt idx="7">
                  <c:v>3.9311843406395148</c:v>
                </c:pt>
                <c:pt idx="8">
                  <c:v>3.4951999813011225</c:v>
                </c:pt>
              </c:numCache>
            </c:numRef>
          </c:val>
          <c:extLst>
            <c:ext xmlns:c16="http://schemas.microsoft.com/office/drawing/2014/chart" uri="{C3380CC4-5D6E-409C-BE32-E72D297353CC}">
              <c16:uniqueId val="{00000000-2124-4564-A667-29B80BCE2983}"/>
            </c:ext>
          </c:extLst>
        </c:ser>
        <c:ser>
          <c:idx val="1"/>
          <c:order val="1"/>
          <c:tx>
            <c:strRef>
              <c:f>'Trends and nat. data'!$C$84</c:f>
              <c:strCache>
                <c:ptCount val="1"/>
                <c:pt idx="0">
                  <c:v>Recycling</c:v>
                </c:pt>
              </c:strCache>
            </c:strRef>
          </c:tx>
          <c:spPr>
            <a:solidFill>
              <a:srgbClr val="FFFF00"/>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data'!$D$161:$L$161</c:f>
              <c:numCache>
                <c:formatCode>#,##0.00</c:formatCode>
                <c:ptCount val="9"/>
                <c:pt idx="0">
                  <c:v>1.6708881897779484</c:v>
                </c:pt>
                <c:pt idx="1">
                  <c:v>1.6947845562511368</c:v>
                </c:pt>
                <c:pt idx="2">
                  <c:v>1.7186809227243252</c:v>
                </c:pt>
                <c:pt idx="3">
                  <c:v>2.0752598381328289</c:v>
                </c:pt>
                <c:pt idx="4">
                  <c:v>2.2803064367666255</c:v>
                </c:pt>
                <c:pt idx="5">
                  <c:v>2.5347391787615141</c:v>
                </c:pt>
                <c:pt idx="6">
                  <c:v>2.7891719207564027</c:v>
                </c:pt>
                <c:pt idx="7">
                  <c:v>3.0436046627512914</c:v>
                </c:pt>
                <c:pt idx="8">
                  <c:v>3.0243687996342783</c:v>
                </c:pt>
              </c:numCache>
            </c:numRef>
          </c:val>
          <c:extLst>
            <c:ext xmlns:c16="http://schemas.microsoft.com/office/drawing/2014/chart" uri="{C3380CC4-5D6E-409C-BE32-E72D297353CC}">
              <c16:uniqueId val="{00000001-2124-4564-A667-29B80BCE2983}"/>
            </c:ext>
          </c:extLst>
        </c:ser>
        <c:ser>
          <c:idx val="2"/>
          <c:order val="2"/>
          <c:tx>
            <c:strRef>
              <c:f>'Trends and nat. data'!$C$85</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data'!$D$162:$L$162</c:f>
              <c:numCache>
                <c:formatCode>#,##0.00</c:formatCode>
                <c:ptCount val="9"/>
                <c:pt idx="0">
                  <c:v>0.22309840141008735</c:v>
                </c:pt>
                <c:pt idx="1">
                  <c:v>0.22847238494767175</c:v>
                </c:pt>
                <c:pt idx="2">
                  <c:v>0.23384636848525617</c:v>
                </c:pt>
                <c:pt idx="3">
                  <c:v>0.16668020628572622</c:v>
                </c:pt>
                <c:pt idx="4">
                  <c:v>0.19349040538415005</c:v>
                </c:pt>
                <c:pt idx="5">
                  <c:v>0.20959077944035998</c:v>
                </c:pt>
                <c:pt idx="6">
                  <c:v>0.2256911534965699</c:v>
                </c:pt>
                <c:pt idx="7">
                  <c:v>0.2417915275527798</c:v>
                </c:pt>
                <c:pt idx="8">
                  <c:v>0.22948561010201246</c:v>
                </c:pt>
              </c:numCache>
            </c:numRef>
          </c:val>
          <c:extLst>
            <c:ext xmlns:c16="http://schemas.microsoft.com/office/drawing/2014/chart" uri="{C3380CC4-5D6E-409C-BE32-E72D297353CC}">
              <c16:uniqueId val="{00000002-2124-4564-A667-29B80BCE2983}"/>
            </c:ext>
          </c:extLst>
        </c:ser>
        <c:dLbls>
          <c:showLegendKey val="0"/>
          <c:showVal val="0"/>
          <c:showCatName val="0"/>
          <c:showSerName val="0"/>
          <c:showPercent val="0"/>
          <c:showBubbleSize val="0"/>
        </c:dLbls>
        <c:axId val="227289344"/>
        <c:axId val="227315712"/>
      </c:areaChart>
      <c:lineChart>
        <c:grouping val="stacked"/>
        <c:varyColors val="0"/>
        <c:ser>
          <c:idx val="3"/>
          <c:order val="3"/>
          <c:tx>
            <c:v>Generation (kg/capita)</c:v>
          </c:tx>
          <c:spPr>
            <a:ln>
              <a:solidFill>
                <a:schemeClr val="tx1"/>
              </a:solidFill>
            </a:ln>
          </c:spPr>
          <c:marker>
            <c:symbol val="circle"/>
            <c:size val="7"/>
            <c:spPr>
              <a:solidFill>
                <a:schemeClr val="bg1"/>
              </a:solidFill>
              <a:ln>
                <a:solidFill>
                  <a:schemeClr val="tx1"/>
                </a:solidFill>
              </a:ln>
            </c:spPr>
          </c:marker>
          <c:val>
            <c:numRef>
              <c:f>'Trends and nat. data'!$Q$163:$Y$163</c:f>
              <c:numCache>
                <c:formatCode>#,##0</c:formatCode>
                <c:ptCount val="9"/>
                <c:pt idx="0">
                  <c:v>2705.5411060009778</c:v>
                </c:pt>
                <c:pt idx="1">
                  <c:v>2671.505881933731</c:v>
                </c:pt>
                <c:pt idx="2">
                  <c:v>2620.417294602034</c:v>
                </c:pt>
                <c:pt idx="3">
                  <c:v>2646.3439859974255</c:v>
                </c:pt>
                <c:pt idx="4">
                  <c:v>2645.6536236109132</c:v>
                </c:pt>
                <c:pt idx="5">
                  <c:v>2716.1064526066843</c:v>
                </c:pt>
                <c:pt idx="6">
                  <c:v>2765.1473709170518</c:v>
                </c:pt>
                <c:pt idx="7">
                  <c:v>2845.2419092748319</c:v>
                </c:pt>
                <c:pt idx="8">
                  <c:v>2623.1118783908132</c:v>
                </c:pt>
              </c:numCache>
            </c:numRef>
          </c:val>
          <c:smooth val="0"/>
          <c:extLst>
            <c:ext xmlns:c16="http://schemas.microsoft.com/office/drawing/2014/chart" uri="{C3380CC4-5D6E-409C-BE32-E72D297353CC}">
              <c16:uniqueId val="{00000003-2124-4564-A667-29B80BCE2983}"/>
            </c:ext>
          </c:extLst>
        </c:ser>
        <c:dLbls>
          <c:showLegendKey val="0"/>
          <c:showVal val="0"/>
          <c:showCatName val="0"/>
          <c:showSerName val="0"/>
          <c:showPercent val="0"/>
          <c:showBubbleSize val="0"/>
        </c:dLbls>
        <c:marker val="1"/>
        <c:smooth val="0"/>
        <c:axId val="786891184"/>
        <c:axId val="786890200"/>
      </c:lineChart>
      <c:catAx>
        <c:axId val="22728934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27315712"/>
        <c:crosses val="autoZero"/>
        <c:auto val="1"/>
        <c:lblAlgn val="ctr"/>
        <c:lblOffset val="100"/>
        <c:noMultiLvlLbl val="0"/>
      </c:catAx>
      <c:valAx>
        <c:axId val="227315712"/>
        <c:scaling>
          <c:orientation val="minMax"/>
          <c:max val="12"/>
        </c:scaling>
        <c:delete val="0"/>
        <c:axPos val="l"/>
        <c:majorGridlines>
          <c:spPr>
            <a:ln w="2540"/>
          </c:spPr>
        </c:majorGridlines>
        <c:title>
          <c:tx>
            <c:rich>
              <a:bodyPr/>
              <a:lstStyle/>
              <a:p>
                <a:pPr>
                  <a:defRPr/>
                </a:pPr>
                <a:r>
                  <a:rPr lang="en-AU"/>
                  <a:t>Megatonnes (Mt)</a:t>
                </a:r>
              </a:p>
            </c:rich>
          </c:tx>
          <c:layout>
            <c:manualLayout>
              <c:xMode val="edge"/>
              <c:yMode val="edge"/>
              <c:x val="0.17339247093809135"/>
              <c:y val="0.20585404040404043"/>
            </c:manualLayout>
          </c:layout>
          <c:overlay val="0"/>
        </c:title>
        <c:numFmt formatCode="#,##0.0" sourceLinked="0"/>
        <c:majorTickMark val="out"/>
        <c:minorTickMark val="none"/>
        <c:tickLblPos val="nextTo"/>
        <c:spPr>
          <a:ln>
            <a:noFill/>
          </a:ln>
        </c:spPr>
        <c:crossAx val="227289344"/>
        <c:crosses val="autoZero"/>
        <c:crossBetween val="between"/>
        <c:majorUnit val="2"/>
      </c:valAx>
      <c:valAx>
        <c:axId val="786890200"/>
        <c:scaling>
          <c:orientation val="minMax"/>
          <c:min val="0"/>
        </c:scaling>
        <c:delete val="0"/>
        <c:axPos val="r"/>
        <c:title>
          <c:tx>
            <c:rich>
              <a:bodyPr/>
              <a:lstStyle/>
              <a:p>
                <a:pPr>
                  <a:defRPr/>
                </a:pPr>
                <a:r>
                  <a:rPr lang="en-AU"/>
                  <a:t>Generation (kg</a:t>
                </a:r>
                <a:r>
                  <a:rPr lang="en-AU" baseline="0"/>
                  <a:t> per capita)</a:t>
                </a:r>
                <a:endParaRPr lang="en-AU"/>
              </a:p>
            </c:rich>
          </c:tx>
          <c:layout>
            <c:manualLayout>
              <c:xMode val="edge"/>
              <c:yMode val="edge"/>
              <c:x val="0.95497465531224657"/>
              <c:y val="0.13201313131313133"/>
            </c:manualLayout>
          </c:layout>
          <c:overlay val="0"/>
        </c:title>
        <c:numFmt formatCode="#,##0;\-#,##0;;" sourceLinked="0"/>
        <c:majorTickMark val="out"/>
        <c:minorTickMark val="none"/>
        <c:tickLblPos val="nextTo"/>
        <c:spPr>
          <a:ln>
            <a:noFill/>
          </a:ln>
        </c:spPr>
        <c:crossAx val="786891184"/>
        <c:crosses val="max"/>
        <c:crossBetween val="between"/>
      </c:valAx>
      <c:catAx>
        <c:axId val="786891184"/>
        <c:scaling>
          <c:orientation val="minMax"/>
        </c:scaling>
        <c:delete val="1"/>
        <c:axPos val="b"/>
        <c:majorTickMark val="out"/>
        <c:minorTickMark val="none"/>
        <c:tickLblPos val="nextTo"/>
        <c:crossAx val="786890200"/>
        <c:crosses val="autoZero"/>
        <c:auto val="1"/>
        <c:lblAlgn val="ctr"/>
        <c:lblOffset val="100"/>
        <c:noMultiLvlLbl val="0"/>
      </c:catAx>
    </c:plotArea>
    <c:legend>
      <c:legendPos val="t"/>
      <c:layout>
        <c:manualLayout>
          <c:xMode val="edge"/>
          <c:yMode val="edge"/>
          <c:x val="0.17013111651797788"/>
          <c:y val="6.7704545454545465E-3"/>
          <c:w val="0.82487445931332792"/>
          <c:h val="4.0886111111111116E-2"/>
        </c:manualLayout>
      </c:layout>
      <c:overlay val="0"/>
    </c:legend>
    <c:plotVisOnly val="1"/>
    <c:dispBlanksAs val="zero"/>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72880240897206983"/>
          <c:h val="0.12808528285643614"/>
        </c:manualLayout>
      </c:layout>
      <c:areaChart>
        <c:grouping val="stacked"/>
        <c:varyColors val="0"/>
        <c:ser>
          <c:idx val="0"/>
          <c:order val="0"/>
          <c:tx>
            <c:strRef>
              <c:f>'Trends and nat. data'!$B$243</c:f>
              <c:strCache>
                <c:ptCount val="1"/>
                <c:pt idx="0">
                  <c:v>Recycling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data'!$D$161:$L$161,'Trends and nat. data'!$N$161)</c:f>
              <c:numCache>
                <c:formatCode>#,##0.00</c:formatCode>
                <c:ptCount val="10"/>
                <c:pt idx="0">
                  <c:v>1.6708881897779484</c:v>
                </c:pt>
                <c:pt idx="1">
                  <c:v>1.6947845562511368</c:v>
                </c:pt>
                <c:pt idx="2">
                  <c:v>1.7186809227243252</c:v>
                </c:pt>
                <c:pt idx="3">
                  <c:v>2.0752598381328289</c:v>
                </c:pt>
                <c:pt idx="4">
                  <c:v>2.2803064367666255</c:v>
                </c:pt>
                <c:pt idx="5">
                  <c:v>2.5347391787615141</c:v>
                </c:pt>
                <c:pt idx="6">
                  <c:v>2.7891719207564027</c:v>
                </c:pt>
                <c:pt idx="7">
                  <c:v>3.0436046627512914</c:v>
                </c:pt>
                <c:pt idx="8">
                  <c:v>3.0243687996342783</c:v>
                </c:pt>
                <c:pt idx="9" formatCode="0.0%">
                  <c:v>6.8149222884627214E-2</c:v>
                </c:pt>
              </c:numCache>
            </c:numRef>
          </c:val>
          <c:extLst>
            <c:ext xmlns:c16="http://schemas.microsoft.com/office/drawing/2014/chart" uri="{C3380CC4-5D6E-409C-BE32-E72D297353CC}">
              <c16:uniqueId val="{00000000-9E54-4D10-BD8A-85A5BC7D6C6F}"/>
            </c:ext>
          </c:extLst>
        </c:ser>
        <c:ser>
          <c:idx val="1"/>
          <c:order val="1"/>
          <c:tx>
            <c:strRef>
              <c:f>'Trends and nat. data'!$B$242</c:f>
              <c:strCache>
                <c:ptCount val="1"/>
                <c:pt idx="0">
                  <c:v>Energy recovery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data'!$D$162:$L$162,'Trends and nat. data'!$N$162)</c:f>
              <c:numCache>
                <c:formatCode>#,##0.00</c:formatCode>
                <c:ptCount val="10"/>
                <c:pt idx="0">
                  <c:v>0.22309840141008735</c:v>
                </c:pt>
                <c:pt idx="1">
                  <c:v>0.22847238494767175</c:v>
                </c:pt>
                <c:pt idx="2">
                  <c:v>0.23384636848525617</c:v>
                </c:pt>
                <c:pt idx="3">
                  <c:v>0.16668020628572622</c:v>
                </c:pt>
                <c:pt idx="4">
                  <c:v>0.19349040538415005</c:v>
                </c:pt>
                <c:pt idx="5">
                  <c:v>0.20959077944035998</c:v>
                </c:pt>
                <c:pt idx="6">
                  <c:v>0.2256911534965699</c:v>
                </c:pt>
                <c:pt idx="7">
                  <c:v>0.2417915275527798</c:v>
                </c:pt>
                <c:pt idx="8">
                  <c:v>0.22948561010201246</c:v>
                </c:pt>
                <c:pt idx="9" formatCode="0.0%">
                  <c:v>3.1413002858071692E-3</c:v>
                </c:pt>
              </c:numCache>
            </c:numRef>
          </c:val>
          <c:extLst>
            <c:ext xmlns:c16="http://schemas.microsoft.com/office/drawing/2014/chart" uri="{C3380CC4-5D6E-409C-BE32-E72D297353CC}">
              <c16:uniqueId val="{00000001-9E54-4D10-BD8A-85A5BC7D6C6F}"/>
            </c:ext>
          </c:extLst>
        </c:ser>
        <c:ser>
          <c:idx val="4"/>
          <c:order val="2"/>
          <c:tx>
            <c:strRef>
              <c:f>'Trends and nat. data'!$B$247</c:f>
              <c:strCache>
                <c:ptCount val="1"/>
                <c:pt idx="0">
                  <c:v>Generation excl.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data'!$D$163:$L$163,'Trends and nat. data'!$N$163)</c:f>
              <c:numCache>
                <c:formatCode>#,##0.00</c:formatCode>
                <c:ptCount val="10"/>
                <c:pt idx="0">
                  <c:v>5.6190490401969333</c:v>
                </c:pt>
                <c:pt idx="1">
                  <c:v>5.7036810869638073</c:v>
                </c:pt>
                <c:pt idx="2">
                  <c:v>5.7883131337306812</c:v>
                </c:pt>
                <c:pt idx="3">
                  <c:v>5.990653259269715</c:v>
                </c:pt>
                <c:pt idx="4">
                  <c:v>6.1354374293319953</c:v>
                </c:pt>
                <c:pt idx="5">
                  <c:v>6.4958184632025251</c:v>
                </c:pt>
                <c:pt idx="6">
                  <c:v>6.8561994970730549</c:v>
                </c:pt>
                <c:pt idx="7">
                  <c:v>7.2165805309435864</c:v>
                </c:pt>
                <c:pt idx="8">
                  <c:v>6.7490543910374141</c:v>
                </c:pt>
                <c:pt idx="9" formatCode="0.0%">
                  <c:v>2.0568674679447563E-2</c:v>
                </c:pt>
              </c:numCache>
            </c:numRef>
          </c:val>
          <c:extLst>
            <c:ext xmlns:c16="http://schemas.microsoft.com/office/drawing/2014/chart" uri="{C3380CC4-5D6E-409C-BE32-E72D297353CC}">
              <c16:uniqueId val="{00000002-9E54-4D10-BD8A-85A5BC7D6C6F}"/>
            </c:ext>
          </c:extLst>
        </c:ser>
        <c:ser>
          <c:idx val="2"/>
          <c:order val="3"/>
          <c:tx>
            <c:strRef>
              <c:f>'Trends and nat. data'!$B$246</c:f>
              <c:strCache>
                <c:ptCount val="1"/>
                <c:pt idx="0">
                  <c:v>Generation incl.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data'!$D$116:$L$116,'Trends and nat. data'!$N$116)</c:f>
              <c:numCache>
                <c:formatCode>#,##0.00</c:formatCode>
                <c:ptCount val="10"/>
                <c:pt idx="0">
                  <c:v>6.1799982983798643</c:v>
                </c:pt>
                <c:pt idx="1">
                  <c:v>6.2999510803600849</c:v>
                </c:pt>
                <c:pt idx="2">
                  <c:v>6.4199038623403064</c:v>
                </c:pt>
                <c:pt idx="3">
                  <c:v>6.6625061803491707</c:v>
                </c:pt>
                <c:pt idx="4">
                  <c:v>6.8018480842804951</c:v>
                </c:pt>
                <c:pt idx="5">
                  <c:v>7.1364893433354819</c:v>
                </c:pt>
                <c:pt idx="6">
                  <c:v>7.4711306023904704</c:v>
                </c:pt>
                <c:pt idx="7">
                  <c:v>7.8057718614454581</c:v>
                </c:pt>
                <c:pt idx="8">
                  <c:v>7.2950569168832775</c:v>
                </c:pt>
                <c:pt idx="9" formatCode="0.0%">
                  <c:v>1.8601897855001104E-2</c:v>
                </c:pt>
              </c:numCache>
            </c:numRef>
          </c:val>
          <c:extLst>
            <c:ext xmlns:c16="http://schemas.microsoft.com/office/drawing/2014/chart" uri="{C3380CC4-5D6E-409C-BE32-E72D297353CC}">
              <c16:uniqueId val="{00000003-9E54-4D10-BD8A-85A5BC7D6C6F}"/>
            </c:ext>
          </c:extLst>
        </c:ser>
        <c:ser>
          <c:idx val="3"/>
          <c:order val="5"/>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data'!$Q$163:$Y$163,'Trends and nat. data'!$AA$163)</c:f>
              <c:numCache>
                <c:formatCode>#,##0</c:formatCode>
                <c:ptCount val="10"/>
                <c:pt idx="0">
                  <c:v>2705.5411060009778</c:v>
                </c:pt>
                <c:pt idx="1">
                  <c:v>2671.505881933731</c:v>
                </c:pt>
                <c:pt idx="2">
                  <c:v>2620.417294602034</c:v>
                </c:pt>
                <c:pt idx="3">
                  <c:v>2646.3439859974255</c:v>
                </c:pt>
                <c:pt idx="4">
                  <c:v>2645.6536236109132</c:v>
                </c:pt>
                <c:pt idx="5">
                  <c:v>2716.1064526066843</c:v>
                </c:pt>
                <c:pt idx="6">
                  <c:v>2765.1473709170518</c:v>
                </c:pt>
                <c:pt idx="7">
                  <c:v>2845.2419092748319</c:v>
                </c:pt>
                <c:pt idx="8">
                  <c:v>2623.1118783908132</c:v>
                </c:pt>
                <c:pt idx="9" formatCode="0.0%">
                  <c:v>-3.4319394612285503E-3</c:v>
                </c:pt>
              </c:numCache>
            </c:numRef>
          </c:val>
          <c:extLst>
            <c:ext xmlns:c16="http://schemas.microsoft.com/office/drawing/2014/chart" uri="{C3380CC4-5D6E-409C-BE32-E72D297353CC}">
              <c16:uniqueId val="{00000005-9E54-4D10-BD8A-85A5BC7D6C6F}"/>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data'!$C$82</c:f>
              <c:strCache>
                <c:ptCount val="1"/>
                <c:pt idx="0">
                  <c:v>Recovery rate</c:v>
                </c:pt>
              </c:strCache>
            </c:strRef>
          </c:tx>
          <c:spPr>
            <a:ln w="28575">
              <a:noFill/>
            </a:ln>
          </c:spPr>
          <c:marker>
            <c:spPr>
              <a:noFill/>
              <a:ln>
                <a:noFill/>
              </a:ln>
            </c:spPr>
          </c:marker>
          <c:val>
            <c:numRef>
              <c:f>'Trends and nat. data'!$D$164:$L$164</c:f>
              <c:numCache>
                <c:formatCode>0%</c:formatCode>
                <c:ptCount val="9"/>
                <c:pt idx="0">
                  <c:v>0.33706532504682613</c:v>
                </c:pt>
                <c:pt idx="1">
                  <c:v>0.33719573585461449</c:v>
                </c:pt>
                <c:pt idx="2">
                  <c:v>0.3373223331390745</c:v>
                </c:pt>
                <c:pt idx="3">
                  <c:v>0.37423966091668887</c:v>
                </c:pt>
                <c:pt idx="4">
                  <c:v>0.40319812085837109</c:v>
                </c:pt>
                <c:pt idx="5">
                  <c:v>0.42247639365969636</c:v>
                </c:pt>
                <c:pt idx="6">
                  <c:v>0.43972802651673604</c:v>
                </c:pt>
                <c:pt idx="7">
                  <c:v>0.45525663799036092</c:v>
                </c:pt>
                <c:pt idx="8">
                  <c:v>0.48212004544774939</c:v>
                </c:pt>
              </c:numCache>
            </c:numRef>
          </c:val>
          <c:smooth val="0"/>
          <c:extLst>
            <c:ext xmlns:c16="http://schemas.microsoft.com/office/drawing/2014/chart" uri="{C3380CC4-5D6E-409C-BE32-E72D297353CC}">
              <c16:uniqueId val="{00000004-9E54-4D10-BD8A-85A5BC7D6C6F}"/>
            </c:ext>
          </c:extLst>
        </c:ser>
        <c:ser>
          <c:idx val="6"/>
          <c:order val="6"/>
          <c:tx>
            <c:strRef>
              <c:f>'Trends and nat. data'!$B$244</c:f>
              <c:strCache>
                <c:ptCount val="1"/>
                <c:pt idx="0">
                  <c:v>Disposal (Mt)</c:v>
                </c:pt>
              </c:strCache>
            </c:strRef>
          </c:tx>
          <c:spPr>
            <a:ln w="28575">
              <a:noFill/>
            </a:ln>
          </c:spPr>
          <c:marker>
            <c:spPr>
              <a:noFill/>
              <a:ln>
                <a:noFill/>
              </a:ln>
            </c:spPr>
          </c:marker>
          <c:val>
            <c:numRef>
              <c:f>('Trends and nat. data'!$D$160:$L$160,'Trends and nat. data'!$N$160)</c:f>
              <c:numCache>
                <c:formatCode>#,##0.00</c:formatCode>
                <c:ptCount val="10"/>
                <c:pt idx="0">
                  <c:v>3.725062449008897</c:v>
                </c:pt>
                <c:pt idx="1">
                  <c:v>3.7804241457649983</c:v>
                </c:pt>
                <c:pt idx="2">
                  <c:v>3.8357858425211</c:v>
                </c:pt>
                <c:pt idx="3">
                  <c:v>3.7487132148511595</c:v>
                </c:pt>
                <c:pt idx="4">
                  <c:v>3.6616405871812194</c:v>
                </c:pt>
                <c:pt idx="5">
                  <c:v>3.7514885050006512</c:v>
                </c:pt>
                <c:pt idx="6">
                  <c:v>3.841336422820083</c:v>
                </c:pt>
                <c:pt idx="7">
                  <c:v>3.9311843406395148</c:v>
                </c:pt>
                <c:pt idx="8">
                  <c:v>3.4951999813011225</c:v>
                </c:pt>
                <c:pt idx="9" formatCode="0.0%">
                  <c:v>-7.0520195669733221E-3</c:v>
                </c:pt>
              </c:numCache>
            </c:numRef>
          </c:val>
          <c:smooth val="0"/>
          <c:extLst>
            <c:ext xmlns:c16="http://schemas.microsoft.com/office/drawing/2014/chart" uri="{C3380CC4-5D6E-409C-BE32-E72D297353CC}">
              <c16:uniqueId val="{00000006-9E54-4D10-BD8A-85A5BC7D6C6F}"/>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75990338164252"/>
          <c:y val="9.2661111111111111E-2"/>
          <c:w val="0.87656330261729487"/>
          <c:h val="0.41989629629629632"/>
        </c:manualLayout>
      </c:layout>
      <c:barChart>
        <c:barDir val="col"/>
        <c:grouping val="stacked"/>
        <c:varyColors val="0"/>
        <c:ser>
          <c:idx val="1"/>
          <c:order val="0"/>
          <c:tx>
            <c:strRef>
              <c:f>'Trends and nat. data'!$C$40</c:f>
              <c:strCache>
                <c:ptCount val="1"/>
                <c:pt idx="0">
                  <c:v>Disposal</c:v>
                </c:pt>
              </c:strCache>
            </c:strRef>
          </c:tx>
          <c:spPr>
            <a:solidFill>
              <a:schemeClr val="accent3">
                <a:lumMod val="50000"/>
              </a:schemeClr>
            </a:solidFill>
          </c:spPr>
          <c:invertIfNegative val="0"/>
          <c:dLbls>
            <c:delete val="1"/>
          </c:dLbls>
          <c:cat>
            <c:strRef>
              <c:f>('Trends and nat. data'!$AY$7:$BB$7,'Trends and nat. data'!$AY$9:$BB$9,'Trends and nat. data'!$AY$12:$BB$12)</c:f>
              <c:strCache>
                <c:ptCount val="9"/>
                <c:pt idx="0">
                  <c:v>ACT</c:v>
                </c:pt>
                <c:pt idx="4">
                  <c:v>NT</c:v>
                </c:pt>
                <c:pt idx="8">
                  <c:v>Tas</c:v>
                </c:pt>
              </c:strCache>
            </c:strRef>
          </c:cat>
          <c:val>
            <c:numRef>
              <c:f>('Trends and nat. data'!$L$8:$O$8,'Trends and nat. data'!$L$16:$O$16,'Trends and nat. data'!$L$28:$O$28)</c:f>
              <c:numCache>
                <c:formatCode>#,##0</c:formatCode>
                <c:ptCount val="12"/>
                <c:pt idx="0">
                  <c:v>172.79867208426816</c:v>
                </c:pt>
                <c:pt idx="1">
                  <c:v>267.42101857887667</c:v>
                </c:pt>
                <c:pt idx="2">
                  <c:v>267.42101857887667</c:v>
                </c:pt>
                <c:pt idx="3">
                  <c:v>51.145032626503038</c:v>
                </c:pt>
                <c:pt idx="4">
                  <c:v>603.11808944210986</c:v>
                </c:pt>
                <c:pt idx="5">
                  <c:v>230.00782575370394</c:v>
                </c:pt>
                <c:pt idx="6">
                  <c:v>230.00782575370394</c:v>
                </c:pt>
                <c:pt idx="7">
                  <c:v>678.43469055947992</c:v>
                </c:pt>
                <c:pt idx="8">
                  <c:v>304.65262860320314</c:v>
                </c:pt>
                <c:pt idx="9">
                  <c:v>522.85360273301671</c:v>
                </c:pt>
                <c:pt idx="10">
                  <c:v>522.85360273301671</c:v>
                </c:pt>
                <c:pt idx="11">
                  <c:v>84.443010008072648</c:v>
                </c:pt>
              </c:numCache>
            </c:numRef>
          </c:val>
          <c:extLst>
            <c:ext xmlns:c16="http://schemas.microsoft.com/office/drawing/2014/chart" uri="{C3380CC4-5D6E-409C-BE32-E72D297353CC}">
              <c16:uniqueId val="{00000000-89CA-4AD4-BD2A-274B1FD8AD93}"/>
            </c:ext>
          </c:extLst>
        </c:ser>
        <c:ser>
          <c:idx val="2"/>
          <c:order val="1"/>
          <c:tx>
            <c:strRef>
              <c:f>'Trends and nat. data'!$C$41</c:f>
              <c:strCache>
                <c:ptCount val="1"/>
                <c:pt idx="0">
                  <c:v>Recycling</c:v>
                </c:pt>
              </c:strCache>
            </c:strRef>
          </c:tx>
          <c:spPr>
            <a:solidFill>
              <a:srgbClr val="FFFF00"/>
            </a:solidFill>
          </c:spPr>
          <c:invertIfNegative val="0"/>
          <c:dLbls>
            <c:delete val="1"/>
          </c:dLbls>
          <c:cat>
            <c:strRef>
              <c:f>('Trends and nat. data'!$AY$7:$BB$7,'Trends and nat. data'!$AY$9:$BB$9,'Trends and nat. data'!$AY$12:$BB$12)</c:f>
              <c:strCache>
                <c:ptCount val="9"/>
                <c:pt idx="0">
                  <c:v>ACT</c:v>
                </c:pt>
                <c:pt idx="4">
                  <c:v>NT</c:v>
                </c:pt>
                <c:pt idx="8">
                  <c:v>Tas</c:v>
                </c:pt>
              </c:strCache>
            </c:strRef>
          </c:cat>
          <c:val>
            <c:numRef>
              <c:f>('Trends and nat. data'!$L$9:$O$9,'Trends and nat. data'!$L$17:$O$17,'Trends and nat. data'!$L$29:$O$29)</c:f>
              <c:numCache>
                <c:formatCode>#,##0</c:formatCode>
                <c:ptCount val="12"/>
                <c:pt idx="0">
                  <c:v>254.30607364118552</c:v>
                </c:pt>
                <c:pt idx="1">
                  <c:v>614.01265440435861</c:v>
                </c:pt>
                <c:pt idx="2">
                  <c:v>614.01265440435861</c:v>
                </c:pt>
                <c:pt idx="3">
                  <c:v>542.74995202514799</c:v>
                </c:pt>
                <c:pt idx="4">
                  <c:v>426.45345016879736</c:v>
                </c:pt>
                <c:pt idx="5">
                  <c:v>102.9501535131181</c:v>
                </c:pt>
                <c:pt idx="6">
                  <c:v>102.9501535131181</c:v>
                </c:pt>
                <c:pt idx="7">
                  <c:v>0.53534804579111817</c:v>
                </c:pt>
                <c:pt idx="8">
                  <c:v>130.92962898561413</c:v>
                </c:pt>
                <c:pt idx="9">
                  <c:v>690.74554821687786</c:v>
                </c:pt>
                <c:pt idx="10">
                  <c:v>690.74554821687786</c:v>
                </c:pt>
                <c:pt idx="11">
                  <c:v>0.11981015338804379</c:v>
                </c:pt>
              </c:numCache>
            </c:numRef>
          </c:val>
          <c:extLst>
            <c:ext xmlns:c16="http://schemas.microsoft.com/office/drawing/2014/chart" uri="{C3380CC4-5D6E-409C-BE32-E72D297353CC}">
              <c16:uniqueId val="{00000001-89CA-4AD4-BD2A-274B1FD8AD93}"/>
            </c:ext>
          </c:extLst>
        </c:ser>
        <c:ser>
          <c:idx val="3"/>
          <c:order val="2"/>
          <c:tx>
            <c:strRef>
              <c:f>'Trends and nat. data'!$C$42</c:f>
              <c:strCache>
                <c:ptCount val="1"/>
                <c:pt idx="0">
                  <c:v>Energy recovery</c:v>
                </c:pt>
              </c:strCache>
            </c:strRef>
          </c:tx>
          <c:spPr>
            <a:solidFill>
              <a:srgbClr val="E46C0A"/>
            </a:solidFill>
          </c:spPr>
          <c:invertIfNegative val="0"/>
          <c:dLbls>
            <c:delete val="1"/>
          </c:dLbls>
          <c:cat>
            <c:strRef>
              <c:f>('Trends and nat. data'!$AY$7:$BB$7,'Trends and nat. data'!$AY$9:$BB$9,'Trends and nat. data'!$AY$12:$BB$12)</c:f>
              <c:strCache>
                <c:ptCount val="9"/>
                <c:pt idx="0">
                  <c:v>ACT</c:v>
                </c:pt>
                <c:pt idx="4">
                  <c:v>NT</c:v>
                </c:pt>
                <c:pt idx="8">
                  <c:v>Tas</c:v>
                </c:pt>
              </c:strCache>
            </c:strRef>
          </c:cat>
          <c:val>
            <c:numRef>
              <c:f>('Trends and nat. data'!$L$10:$O$10,'Trends and nat. data'!$L$18:$O$18,'Trends and nat. data'!$L$30:$O$30)</c:f>
              <c:numCache>
                <c:formatCode>#,##0</c:formatCode>
                <c:ptCount val="12"/>
                <c:pt idx="0">
                  <c:v>47.604010083285935</c:v>
                </c:pt>
                <c:pt idx="1">
                  <c:v>45.48415175578679</c:v>
                </c:pt>
                <c:pt idx="2">
                  <c:v>45.48415175578679</c:v>
                </c:pt>
                <c:pt idx="3">
                  <c:v>2.3438160068794311</c:v>
                </c:pt>
                <c:pt idx="4">
                  <c:v>42.283771757293707</c:v>
                </c:pt>
                <c:pt idx="5">
                  <c:v>11.666268589144376</c:v>
                </c:pt>
                <c:pt idx="6">
                  <c:v>11.666268589144376</c:v>
                </c:pt>
                <c:pt idx="7">
                  <c:v>3.7982049528554649</c:v>
                </c:pt>
                <c:pt idx="8">
                  <c:v>53.95624322530648</c:v>
                </c:pt>
                <c:pt idx="9">
                  <c:v>48.556872791807535</c:v>
                </c:pt>
                <c:pt idx="10">
                  <c:v>48.556872791807535</c:v>
                </c:pt>
                <c:pt idx="11">
                  <c:v>0.77772532329873778</c:v>
                </c:pt>
              </c:numCache>
            </c:numRef>
          </c:val>
          <c:extLst>
            <c:ext xmlns:c16="http://schemas.microsoft.com/office/drawing/2014/chart" uri="{C3380CC4-5D6E-409C-BE32-E72D297353CC}">
              <c16:uniqueId val="{00000002-89CA-4AD4-BD2A-274B1FD8AD93}"/>
            </c:ext>
          </c:extLst>
        </c:ser>
        <c:ser>
          <c:idx val="0"/>
          <c:order val="3"/>
          <c:tx>
            <c:strRef>
              <c:f>'Trends and nat. data'!$C$44</c:f>
              <c:strCache>
                <c:ptCount val="1"/>
                <c:pt idx="0">
                  <c:v>Recovery rate</c:v>
                </c:pt>
              </c:strCache>
            </c:strRef>
          </c:tx>
          <c:spPr>
            <a:noFill/>
          </c:spPr>
          <c:invertIfNegative val="0"/>
          <c:dLbls>
            <c:dLbl>
              <c:idx val="1"/>
              <c:layout>
                <c:manualLayout>
                  <c:x val="-1.5338164251207729E-3"/>
                  <c:y val="-8.36115079365079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AD-4629-8625-59EA734E3463}"/>
                </c:ext>
              </c:extLst>
            </c:dLbl>
            <c:dLbl>
              <c:idx val="2"/>
              <c:layout>
                <c:manualLayout>
                  <c:x val="0"/>
                  <c:y val="-8.36115079365079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AD-4629-8625-59EA734E3463}"/>
                </c:ext>
              </c:extLst>
            </c:dLbl>
            <c:dLbl>
              <c:idx val="5"/>
              <c:layout>
                <c:manualLayout>
                  <c:x val="-5.6239285906731795E-17"/>
                  <c:y val="-7.86115079365079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AD-4629-8625-59EA734E3463}"/>
                </c:ext>
              </c:extLst>
            </c:dLbl>
            <c:dLbl>
              <c:idx val="6"/>
              <c:layout>
                <c:manualLayout>
                  <c:x val="0"/>
                  <c:y val="-7.86115079365079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AD-4629-8625-59EA734E3463}"/>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('Trends and nat. data'!$AY$7:$BB$7,'Trends and nat. data'!$AY$9:$BB$9,'Trends and nat. data'!$AY$12:$BB$12)</c:f>
              <c:strCache>
                <c:ptCount val="9"/>
                <c:pt idx="0">
                  <c:v>ACT</c:v>
                </c:pt>
                <c:pt idx="4">
                  <c:v>NT</c:v>
                </c:pt>
                <c:pt idx="8">
                  <c:v>Tas</c:v>
                </c:pt>
              </c:strCache>
            </c:strRef>
          </c:cat>
          <c:val>
            <c:numRef>
              <c:f>('Trends and nat. data'!$D$11:$G$11,'Trends and nat. data'!$D$19:$G$19,'Trends and nat. data'!$D$31:$G$31)</c:f>
              <c:numCache>
                <c:formatCode>0%</c:formatCode>
                <c:ptCount val="12"/>
                <c:pt idx="0">
                  <c:v>0.63599013085427725</c:v>
                </c:pt>
                <c:pt idx="1">
                  <c:v>0.71149436180691594</c:v>
                </c:pt>
                <c:pt idx="2">
                  <c:v>0.71149436180691594</c:v>
                </c:pt>
                <c:pt idx="3">
                  <c:v>0.91422055631063481</c:v>
                </c:pt>
                <c:pt idx="4">
                  <c:v>0.43731389577923335</c:v>
                </c:pt>
                <c:pt idx="5">
                  <c:v>0.3325837424828148</c:v>
                </c:pt>
                <c:pt idx="6">
                  <c:v>0.3325837424828148</c:v>
                </c:pt>
                <c:pt idx="7">
                  <c:v>6.3470336230973994E-3</c:v>
                </c:pt>
                <c:pt idx="8">
                  <c:v>0.37767381299621455</c:v>
                </c:pt>
                <c:pt idx="9">
                  <c:v>0.58574566622674717</c:v>
                </c:pt>
                <c:pt idx="10">
                  <c:v>0.58574566622674717</c:v>
                </c:pt>
                <c:pt idx="11">
                  <c:v>1.0517104989059016E-2</c:v>
                </c:pt>
              </c:numCache>
            </c:numRef>
          </c:val>
          <c:extLst>
            <c:ext xmlns:c16="http://schemas.microsoft.com/office/drawing/2014/chart" uri="{C3380CC4-5D6E-409C-BE32-E72D297353CC}">
              <c16:uniqueId val="{00000009-89CA-4AD4-BD2A-274B1FD8AD93}"/>
            </c:ext>
          </c:extLst>
        </c:ser>
        <c:dLbls>
          <c:showLegendKey val="0"/>
          <c:showVal val="1"/>
          <c:showCatName val="0"/>
          <c:showSerName val="0"/>
          <c:showPercent val="0"/>
          <c:showBubbleSize val="0"/>
        </c:dLbls>
        <c:gapWidth val="120"/>
        <c:overlap val="100"/>
        <c:axId val="225075200"/>
        <c:axId val="225076736"/>
      </c:barChart>
      <c:catAx>
        <c:axId val="225075200"/>
        <c:scaling>
          <c:orientation val="minMax"/>
        </c:scaling>
        <c:delete val="0"/>
        <c:axPos val="b"/>
        <c:numFmt formatCode="General" sourceLinked="0"/>
        <c:majorTickMark val="out"/>
        <c:minorTickMark val="none"/>
        <c:tickLblPos val="nextTo"/>
        <c:spPr>
          <a:noFill/>
          <a:ln w="2540">
            <a:solidFill>
              <a:schemeClr val="bg1">
                <a:lumMod val="95000"/>
              </a:schemeClr>
            </a:solidFill>
          </a:ln>
        </c:spPr>
        <c:txPr>
          <a:bodyPr/>
          <a:lstStyle/>
          <a:p>
            <a:pPr>
              <a:defRPr>
                <a:solidFill>
                  <a:schemeClr val="bg1"/>
                </a:solidFill>
              </a:defRPr>
            </a:pPr>
            <a:endParaRPr lang="en-US"/>
          </a:p>
        </c:txPr>
        <c:crossAx val="225076736"/>
        <c:crosses val="autoZero"/>
        <c:auto val="1"/>
        <c:lblAlgn val="ctr"/>
        <c:lblOffset val="50"/>
        <c:noMultiLvlLbl val="0"/>
      </c:catAx>
      <c:valAx>
        <c:axId val="225076736"/>
        <c:scaling>
          <c:orientation val="minMax"/>
          <c:max val="2400"/>
          <c:min val="0"/>
        </c:scaling>
        <c:delete val="0"/>
        <c:axPos val="l"/>
        <c:majorGridlines>
          <c:spPr>
            <a:ln w="2540"/>
          </c:spPr>
        </c:majorGridlines>
        <c:title>
          <c:tx>
            <c:rich>
              <a:bodyPr rot="-5400000" vert="horz"/>
              <a:lstStyle/>
              <a:p>
                <a:pPr>
                  <a:defRPr/>
                </a:pPr>
                <a:r>
                  <a:rPr lang="en-US"/>
                  <a:t>Kg per capita</a:t>
                </a:r>
              </a:p>
            </c:rich>
          </c:tx>
          <c:layout>
            <c:manualLayout>
              <c:xMode val="edge"/>
              <c:yMode val="edge"/>
              <c:x val="2.6561956521739129E-2"/>
              <c:y val="0.20957426900584794"/>
            </c:manualLayout>
          </c:layout>
          <c:overlay val="0"/>
        </c:title>
        <c:numFmt formatCode="#,##0" sourceLinked="0"/>
        <c:majorTickMark val="out"/>
        <c:minorTickMark val="none"/>
        <c:tickLblPos val="nextTo"/>
        <c:spPr>
          <a:ln>
            <a:noFill/>
          </a:ln>
        </c:spPr>
        <c:crossAx val="225075200"/>
        <c:crosses val="autoZero"/>
        <c:crossBetween val="between"/>
        <c:majorUnit val="600"/>
      </c:valAx>
    </c:plotArea>
    <c:legend>
      <c:legendPos val="t"/>
      <c:legendEntry>
        <c:idx val="3"/>
        <c:delete val="1"/>
      </c:legendEntry>
      <c:layout>
        <c:manualLayout>
          <c:xMode val="edge"/>
          <c:yMode val="edge"/>
          <c:x val="0.36932246376811595"/>
          <c:y val="1.061111111111111E-3"/>
          <c:w val="0.31350471014492753"/>
          <c:h val="6.7150000000000001E-2"/>
        </c:manualLayout>
      </c:layout>
      <c:overlay val="0"/>
    </c:legend>
    <c:plotVisOnly val="1"/>
    <c:dispBlanksAs val="gap"/>
    <c:showDLblsOverMax val="0"/>
  </c:chart>
  <c:spPr>
    <a:ln>
      <a:noFill/>
    </a:ln>
  </c:spPr>
  <c:txPr>
    <a:bodyPr/>
    <a:lstStyle/>
    <a:p>
      <a:pPr>
        <a:defRPr sz="1000"/>
      </a:pPr>
      <a:endParaRPr lang="en-US"/>
    </a:p>
  </c:txPr>
  <c:printSettings>
    <c:headerFooter/>
    <c:pageMargins b="0.75000000000000078" l="0.70000000000000062" r="0.70000000000000062" t="0.75000000000000078"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46744706450398"/>
          <c:y val="8.1295751264055541E-2"/>
          <c:w val="0.87591304347826082"/>
          <c:h val="0.23770687825795622"/>
        </c:manualLayout>
      </c:layout>
      <c:barChart>
        <c:barDir val="col"/>
        <c:grouping val="stacked"/>
        <c:varyColors val="0"/>
        <c:ser>
          <c:idx val="1"/>
          <c:order val="0"/>
          <c:tx>
            <c:strRef>
              <c:f>'Trends and nat. data'!$C$40</c:f>
              <c:strCache>
                <c:ptCount val="1"/>
                <c:pt idx="0">
                  <c:v>Disposal</c:v>
                </c:pt>
              </c:strCache>
            </c:strRef>
          </c:tx>
          <c:spPr>
            <a:noFill/>
          </c:spPr>
          <c:invertIfNegative val="0"/>
          <c:dLbls>
            <c:delete val="1"/>
          </c:dLbls>
          <c:cat>
            <c:strRef>
              <c:f>('Trends and nat. data'!$BF$24:$BI$24,'Trends and nat. data'!$BF$26:$BI$26,'Trends and nat. data'!$BF$27:$BI$27,'Trends and nat. data'!$BF$29:$BI$29,'Trends and nat. data'!$BF$30:$BI$30)</c:f>
              <c:strCache>
                <c:ptCount val="20"/>
                <c:pt idx="0">
                  <c:v>MSW</c:v>
                </c:pt>
                <c:pt idx="1">
                  <c:v>C&amp;I</c:v>
                </c:pt>
                <c:pt idx="2">
                  <c:v>C&amp;I excl. fly ash</c:v>
                </c:pt>
                <c:pt idx="3">
                  <c:v>C&amp;D</c:v>
                </c:pt>
                <c:pt idx="4">
                  <c:v>MSW</c:v>
                </c:pt>
                <c:pt idx="5">
                  <c:v>C&amp;I</c:v>
                </c:pt>
                <c:pt idx="6">
                  <c:v>C&amp;I excl. fly ash</c:v>
                </c:pt>
                <c:pt idx="7">
                  <c:v>C&amp;D</c:v>
                </c:pt>
                <c:pt idx="8">
                  <c:v>MSW</c:v>
                </c:pt>
                <c:pt idx="9">
                  <c:v>C&amp;I</c:v>
                </c:pt>
                <c:pt idx="10">
                  <c:v>C&amp;I excl. fly ash</c:v>
                </c:pt>
                <c:pt idx="11">
                  <c:v>C&amp;D</c:v>
                </c:pt>
                <c:pt idx="12">
                  <c:v>MSW</c:v>
                </c:pt>
                <c:pt idx="13">
                  <c:v>C&amp;I</c:v>
                </c:pt>
                <c:pt idx="14">
                  <c:v>C&amp;I excl. fly ash</c:v>
                </c:pt>
                <c:pt idx="15">
                  <c:v>C&amp;D</c:v>
                </c:pt>
                <c:pt idx="16">
                  <c:v>MSW</c:v>
                </c:pt>
                <c:pt idx="17">
                  <c:v>C&amp;I</c:v>
                </c:pt>
                <c:pt idx="18">
                  <c:v>C&amp;I excl. fly ash</c:v>
                </c:pt>
                <c:pt idx="19">
                  <c:v>C&amp;D</c:v>
                </c:pt>
              </c:strCache>
            </c:strRef>
          </c:cat>
          <c:val>
            <c:numRef>
              <c:f>('Trends and nat. data'!$L$12:$O$12,'Trends and nat. data'!$L$20:$O$20,'Trends and nat. data'!$L$24:$O$24,'Trends and nat. data'!$L$32:$O$32,'Trends and nat. data'!$L$36:$O$36)</c:f>
              <c:numCache>
                <c:formatCode>#,##0</c:formatCode>
                <c:ptCount val="20"/>
                <c:pt idx="0">
                  <c:v>248.68435841373611</c:v>
                </c:pt>
                <c:pt idx="1">
                  <c:v>423.8897069288949</c:v>
                </c:pt>
                <c:pt idx="2">
                  <c:v>317.94764267489461</c:v>
                </c:pt>
                <c:pt idx="3">
                  <c:v>210.6807856061003</c:v>
                </c:pt>
                <c:pt idx="4">
                  <c:v>341.61830726513841</c:v>
                </c:pt>
                <c:pt idx="5">
                  <c:v>1328.6188956162246</c:v>
                </c:pt>
                <c:pt idx="6">
                  <c:v>416.43380287044363</c:v>
                </c:pt>
                <c:pt idx="7">
                  <c:v>392.88214741835282</c:v>
                </c:pt>
                <c:pt idx="8">
                  <c:v>120.95979547644011</c:v>
                </c:pt>
                <c:pt idx="9">
                  <c:v>177.14728494598702</c:v>
                </c:pt>
                <c:pt idx="10">
                  <c:v>177.14728494598702</c:v>
                </c:pt>
                <c:pt idx="11">
                  <c:v>274.0036326632441</c:v>
                </c:pt>
                <c:pt idx="12">
                  <c:v>247.24612758873488</c:v>
                </c:pt>
                <c:pt idx="13">
                  <c:v>343.19760635772371</c:v>
                </c:pt>
                <c:pt idx="14">
                  <c:v>233.59400048079942</c:v>
                </c:pt>
                <c:pt idx="15">
                  <c:v>201.11963813367075</c:v>
                </c:pt>
                <c:pt idx="16">
                  <c:v>369.95194950690353</c:v>
                </c:pt>
                <c:pt idx="17">
                  <c:v>353.10015710221529</c:v>
                </c:pt>
                <c:pt idx="18">
                  <c:v>291.03184012150939</c:v>
                </c:pt>
                <c:pt idx="19">
                  <c:v>697.47327073808981</c:v>
                </c:pt>
              </c:numCache>
            </c:numRef>
          </c:val>
          <c:extLst>
            <c:ext xmlns:c16="http://schemas.microsoft.com/office/drawing/2014/chart" uri="{C3380CC4-5D6E-409C-BE32-E72D297353CC}">
              <c16:uniqueId val="{00000000-8941-44A9-B561-1140B0D53A39}"/>
            </c:ext>
          </c:extLst>
        </c:ser>
        <c:ser>
          <c:idx val="2"/>
          <c:order val="1"/>
          <c:tx>
            <c:strRef>
              <c:f>'Trends and nat. data'!$C$41</c:f>
              <c:strCache>
                <c:ptCount val="1"/>
                <c:pt idx="0">
                  <c:v>Recycling</c:v>
                </c:pt>
              </c:strCache>
            </c:strRef>
          </c:tx>
          <c:spPr>
            <a:noFill/>
          </c:spPr>
          <c:invertIfNegative val="0"/>
          <c:dLbls>
            <c:delete val="1"/>
          </c:dLbls>
          <c:cat>
            <c:strRef>
              <c:f>('Trends and nat. data'!$BF$24:$BI$24,'Trends and nat. data'!$BF$26:$BI$26,'Trends and nat. data'!$BF$27:$BI$27,'Trends and nat. data'!$BF$29:$BI$29,'Trends and nat. data'!$BF$30:$BI$30)</c:f>
              <c:strCache>
                <c:ptCount val="20"/>
                <c:pt idx="0">
                  <c:v>MSW</c:v>
                </c:pt>
                <c:pt idx="1">
                  <c:v>C&amp;I</c:v>
                </c:pt>
                <c:pt idx="2">
                  <c:v>C&amp;I excl. fly ash</c:v>
                </c:pt>
                <c:pt idx="3">
                  <c:v>C&amp;D</c:v>
                </c:pt>
                <c:pt idx="4">
                  <c:v>MSW</c:v>
                </c:pt>
                <c:pt idx="5">
                  <c:v>C&amp;I</c:v>
                </c:pt>
                <c:pt idx="6">
                  <c:v>C&amp;I excl. fly ash</c:v>
                </c:pt>
                <c:pt idx="7">
                  <c:v>C&amp;D</c:v>
                </c:pt>
                <c:pt idx="8">
                  <c:v>MSW</c:v>
                </c:pt>
                <c:pt idx="9">
                  <c:v>C&amp;I</c:v>
                </c:pt>
                <c:pt idx="10">
                  <c:v>C&amp;I excl. fly ash</c:v>
                </c:pt>
                <c:pt idx="11">
                  <c:v>C&amp;D</c:v>
                </c:pt>
                <c:pt idx="12">
                  <c:v>MSW</c:v>
                </c:pt>
                <c:pt idx="13">
                  <c:v>C&amp;I</c:v>
                </c:pt>
                <c:pt idx="14">
                  <c:v>C&amp;I excl. fly ash</c:v>
                </c:pt>
                <c:pt idx="15">
                  <c:v>C&amp;D</c:v>
                </c:pt>
                <c:pt idx="16">
                  <c:v>MSW</c:v>
                </c:pt>
                <c:pt idx="17">
                  <c:v>C&amp;I</c:v>
                </c:pt>
                <c:pt idx="18">
                  <c:v>C&amp;I excl. fly ash</c:v>
                </c:pt>
                <c:pt idx="19">
                  <c:v>C&amp;D</c:v>
                </c:pt>
              </c:strCache>
            </c:strRef>
          </c:cat>
          <c:val>
            <c:numRef>
              <c:f>('Trends and nat. data'!$L$13:$O$13,'Trends and nat. data'!$L$21:$O$21,'Trends and nat. data'!$L$25:$O$25,'Trends and nat. data'!$L$33:$O$33,'Trends and nat. data'!$L$37:$O$37)</c:f>
              <c:numCache>
                <c:formatCode>#,##0</c:formatCode>
                <c:ptCount val="20"/>
                <c:pt idx="0">
                  <c:v>311.69888703848744</c:v>
                </c:pt>
                <c:pt idx="1">
                  <c:v>620.7613831373809</c:v>
                </c:pt>
                <c:pt idx="2">
                  <c:v>364.48797380982654</c:v>
                </c:pt>
                <c:pt idx="3">
                  <c:v>582.34407021501625</c:v>
                </c:pt>
                <c:pt idx="4">
                  <c:v>157.84392165915079</c:v>
                </c:pt>
                <c:pt idx="5">
                  <c:v>667.34893558705994</c:v>
                </c:pt>
                <c:pt idx="6">
                  <c:v>481.28631304957514</c:v>
                </c:pt>
                <c:pt idx="7">
                  <c:v>338.20028400504583</c:v>
                </c:pt>
                <c:pt idx="8">
                  <c:v>257.37814938754445</c:v>
                </c:pt>
                <c:pt idx="9">
                  <c:v>981.03859205554761</c:v>
                </c:pt>
                <c:pt idx="10">
                  <c:v>894.73002711278616</c:v>
                </c:pt>
                <c:pt idx="11">
                  <c:v>714.93358634437016</c:v>
                </c:pt>
                <c:pt idx="12">
                  <c:v>211.04560986859033</c:v>
                </c:pt>
                <c:pt idx="13">
                  <c:v>865.30679747753891</c:v>
                </c:pt>
                <c:pt idx="14">
                  <c:v>600.17613431309769</c:v>
                </c:pt>
                <c:pt idx="15">
                  <c:v>617.7133966411152</c:v>
                </c:pt>
                <c:pt idx="16">
                  <c:v>213.84474836582953</c:v>
                </c:pt>
                <c:pt idx="17">
                  <c:v>619.29838858606945</c:v>
                </c:pt>
                <c:pt idx="18">
                  <c:v>469.15538999645861</c:v>
                </c:pt>
                <c:pt idx="19">
                  <c:v>492.46197281737921</c:v>
                </c:pt>
              </c:numCache>
            </c:numRef>
          </c:val>
          <c:extLst>
            <c:ext xmlns:c16="http://schemas.microsoft.com/office/drawing/2014/chart" uri="{C3380CC4-5D6E-409C-BE32-E72D297353CC}">
              <c16:uniqueId val="{00000005-8941-44A9-B561-1140B0D53A39}"/>
            </c:ext>
          </c:extLst>
        </c:ser>
        <c:ser>
          <c:idx val="3"/>
          <c:order val="2"/>
          <c:tx>
            <c:v>En recovery</c:v>
          </c:tx>
          <c:spPr>
            <a:noFill/>
          </c:spPr>
          <c:invertIfNegative val="0"/>
          <c:dLbls>
            <c:delete val="1"/>
          </c:dLbls>
          <c:cat>
            <c:strRef>
              <c:f>('Trends and nat. data'!$BF$24:$BI$24,'Trends and nat. data'!$BF$26:$BI$26,'Trends and nat. data'!$BF$27:$BI$27,'Trends and nat. data'!$BF$29:$BI$29,'Trends and nat. data'!$BF$30:$BI$30)</c:f>
              <c:strCache>
                <c:ptCount val="20"/>
                <c:pt idx="0">
                  <c:v>MSW</c:v>
                </c:pt>
                <c:pt idx="1">
                  <c:v>C&amp;I</c:v>
                </c:pt>
                <c:pt idx="2">
                  <c:v>C&amp;I excl. fly ash</c:v>
                </c:pt>
                <c:pt idx="3">
                  <c:v>C&amp;D</c:v>
                </c:pt>
                <c:pt idx="4">
                  <c:v>MSW</c:v>
                </c:pt>
                <c:pt idx="5">
                  <c:v>C&amp;I</c:v>
                </c:pt>
                <c:pt idx="6">
                  <c:v>C&amp;I excl. fly ash</c:v>
                </c:pt>
                <c:pt idx="7">
                  <c:v>C&amp;D</c:v>
                </c:pt>
                <c:pt idx="8">
                  <c:v>MSW</c:v>
                </c:pt>
                <c:pt idx="9">
                  <c:v>C&amp;I</c:v>
                </c:pt>
                <c:pt idx="10">
                  <c:v>C&amp;I excl. fly ash</c:v>
                </c:pt>
                <c:pt idx="11">
                  <c:v>C&amp;D</c:v>
                </c:pt>
                <c:pt idx="12">
                  <c:v>MSW</c:v>
                </c:pt>
                <c:pt idx="13">
                  <c:v>C&amp;I</c:v>
                </c:pt>
                <c:pt idx="14">
                  <c:v>C&amp;I excl. fly ash</c:v>
                </c:pt>
                <c:pt idx="15">
                  <c:v>C&amp;D</c:v>
                </c:pt>
                <c:pt idx="16">
                  <c:v>MSW</c:v>
                </c:pt>
                <c:pt idx="17">
                  <c:v>C&amp;I</c:v>
                </c:pt>
                <c:pt idx="18">
                  <c:v>C&amp;I excl. fly ash</c:v>
                </c:pt>
                <c:pt idx="19">
                  <c:v>C&amp;D</c:v>
                </c:pt>
              </c:strCache>
            </c:strRef>
          </c:cat>
          <c:val>
            <c:numRef>
              <c:f>('Trends and nat. data'!$L$14:$O$14,'Trends and nat. data'!$L$22:$O$22,'Trends and nat. data'!$L$26:$O$26,'Trends and nat. data'!$L$34:$O$34,'Trends and nat. data'!$L$38:$O$38)</c:f>
              <c:numCache>
                <c:formatCode>#,##0</c:formatCode>
                <c:ptCount val="20"/>
                <c:pt idx="0">
                  <c:v>48.416464972772054</c:v>
                </c:pt>
                <c:pt idx="1">
                  <c:v>45.936240350380814</c:v>
                </c:pt>
                <c:pt idx="2">
                  <c:v>45.936240350380814</c:v>
                </c:pt>
                <c:pt idx="3">
                  <c:v>14.147128283154476</c:v>
                </c:pt>
                <c:pt idx="4">
                  <c:v>51.917061967111309</c:v>
                </c:pt>
                <c:pt idx="5">
                  <c:v>28.04897129422616</c:v>
                </c:pt>
                <c:pt idx="6">
                  <c:v>28.04897129422616</c:v>
                </c:pt>
                <c:pt idx="7">
                  <c:v>2.1259535795563007</c:v>
                </c:pt>
                <c:pt idx="8">
                  <c:v>33.078718242779182</c:v>
                </c:pt>
                <c:pt idx="9">
                  <c:v>48.458169749393633</c:v>
                </c:pt>
                <c:pt idx="10">
                  <c:v>48.458169749393633</c:v>
                </c:pt>
                <c:pt idx="11">
                  <c:v>6.7948303626816635</c:v>
                </c:pt>
                <c:pt idx="12">
                  <c:v>67.441155550554512</c:v>
                </c:pt>
                <c:pt idx="13">
                  <c:v>34.72792460274448</c:v>
                </c:pt>
                <c:pt idx="14">
                  <c:v>34.72792460274448</c:v>
                </c:pt>
                <c:pt idx="15">
                  <c:v>2.727809732740639</c:v>
                </c:pt>
                <c:pt idx="16">
                  <c:v>50.879010771617821</c:v>
                </c:pt>
                <c:pt idx="17">
                  <c:v>30.887601391172904</c:v>
                </c:pt>
                <c:pt idx="18">
                  <c:v>30.887601391172904</c:v>
                </c:pt>
                <c:pt idx="19">
                  <c:v>7.4260946818524385</c:v>
                </c:pt>
              </c:numCache>
            </c:numRef>
          </c:val>
          <c:extLst>
            <c:ext xmlns:c16="http://schemas.microsoft.com/office/drawing/2014/chart" uri="{C3380CC4-5D6E-409C-BE32-E72D297353CC}">
              <c16:uniqueId val="{0000000C-8941-44A9-B561-1140B0D53A39}"/>
            </c:ext>
          </c:extLst>
        </c:ser>
        <c:ser>
          <c:idx val="0"/>
          <c:order val="3"/>
          <c:tx>
            <c:strRef>
              <c:f>'Trends and nat. data'!$K$11</c:f>
              <c:strCache>
                <c:ptCount val="1"/>
                <c:pt idx="0">
                  <c:v>Generation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('Trends and nat. data'!$L$15:$O$15,'Trends and nat. data'!$L$23:$O$23,'Trends and nat. data'!$L$27:$O$27,'Trends and nat. data'!$L$35:$O$35,'Trends and nat. data'!$L$39:$O$39)</c:f>
              <c:numCache>
                <c:formatCode>#,##0</c:formatCode>
                <c:ptCount val="20"/>
                <c:pt idx="0">
                  <c:v>608.79971042499551</c:v>
                </c:pt>
                <c:pt idx="1">
                  <c:v>1090.5873304166566</c:v>
                </c:pt>
                <c:pt idx="2">
                  <c:v>728.37185683510188</c:v>
                </c:pt>
                <c:pt idx="3">
                  <c:v>807.17198410427102</c:v>
                </c:pt>
                <c:pt idx="4">
                  <c:v>551.3792908914005</c:v>
                </c:pt>
                <c:pt idx="5">
                  <c:v>2024.0168024975108</c:v>
                </c:pt>
                <c:pt idx="6">
                  <c:v>925.76908721424491</c:v>
                </c:pt>
                <c:pt idx="7">
                  <c:v>733.20838500295497</c:v>
                </c:pt>
                <c:pt idx="8">
                  <c:v>411.41666310676374</c:v>
                </c:pt>
                <c:pt idx="9">
                  <c:v>1206.6440467509283</c:v>
                </c:pt>
                <c:pt idx="10">
                  <c:v>1120.3354818081668</c:v>
                </c:pt>
                <c:pt idx="11">
                  <c:v>995.73204937029584</c:v>
                </c:pt>
                <c:pt idx="12">
                  <c:v>525.73289300787974</c:v>
                </c:pt>
                <c:pt idx="13">
                  <c:v>1243.232328438007</c:v>
                </c:pt>
                <c:pt idx="14">
                  <c:v>868.49805939664157</c:v>
                </c:pt>
                <c:pt idx="15">
                  <c:v>821.56084450752655</c:v>
                </c:pt>
                <c:pt idx="16">
                  <c:v>634.67570864435083</c:v>
                </c:pt>
                <c:pt idx="17">
                  <c:v>1003.2861470794576</c:v>
                </c:pt>
                <c:pt idx="18">
                  <c:v>791.07483150914095</c:v>
                </c:pt>
                <c:pt idx="19">
                  <c:v>1197.3613382373214</c:v>
                </c:pt>
              </c:numCache>
            </c:numRef>
          </c:val>
          <c:extLst>
            <c:ext xmlns:c16="http://schemas.microsoft.com/office/drawing/2014/chart" uri="{C3380CC4-5D6E-409C-BE32-E72D297353CC}">
              <c16:uniqueId val="{00000000-1551-4C47-B73A-4D8ACBE7ED9A}"/>
            </c:ext>
          </c:extLst>
        </c:ser>
        <c:dLbls>
          <c:showLegendKey val="0"/>
          <c:showVal val="1"/>
          <c:showCatName val="0"/>
          <c:showSerName val="0"/>
          <c:showPercent val="0"/>
          <c:showBubbleSize val="0"/>
        </c:dLbls>
        <c:gapWidth val="26"/>
        <c:overlap val="100"/>
        <c:axId val="225075200"/>
        <c:axId val="225076736"/>
      </c:barChart>
      <c:catAx>
        <c:axId val="225075200"/>
        <c:scaling>
          <c:orientation val="minMax"/>
        </c:scaling>
        <c:delete val="1"/>
        <c:axPos val="b"/>
        <c:numFmt formatCode="General" sourceLinked="0"/>
        <c:majorTickMark val="out"/>
        <c:minorTickMark val="none"/>
        <c:tickLblPos val="nextTo"/>
        <c:crossAx val="225076736"/>
        <c:crosses val="autoZero"/>
        <c:auto val="1"/>
        <c:lblAlgn val="ctr"/>
        <c:lblOffset val="100"/>
        <c:noMultiLvlLbl val="0"/>
      </c:catAx>
      <c:valAx>
        <c:axId val="225076736"/>
        <c:scaling>
          <c:orientation val="minMax"/>
          <c:max val="1.3"/>
          <c:min val="0"/>
        </c:scaling>
        <c:delete val="1"/>
        <c:axPos val="l"/>
        <c:numFmt formatCode="#,##0.0" sourceLinked="0"/>
        <c:majorTickMark val="out"/>
        <c:minorTickMark val="none"/>
        <c:tickLblPos val="nextTo"/>
        <c:crossAx val="225075200"/>
        <c:crosses val="autoZero"/>
        <c:crossBetween val="between"/>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txPr>
    <a:bodyPr/>
    <a:lstStyle/>
    <a:p>
      <a:pPr>
        <a:defRPr sz="1000"/>
      </a:pPr>
      <a:endParaRPr lang="en-US"/>
    </a:p>
  </c:txPr>
  <c:printSettings>
    <c:headerFooter/>
    <c:pageMargins b="0.75000000000000078" l="0.70000000000000062" r="0.70000000000000062" t="0.75000000000000078"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46737210127161"/>
          <c:y val="0.16496125904366735"/>
          <c:w val="0.87591304347826082"/>
          <c:h val="0.3101931044480859"/>
        </c:manualLayout>
      </c:layout>
      <c:barChart>
        <c:barDir val="col"/>
        <c:grouping val="stacked"/>
        <c:varyColors val="0"/>
        <c:ser>
          <c:idx val="1"/>
          <c:order val="0"/>
          <c:tx>
            <c:strRef>
              <c:f>'Trends and nat. data'!$C$8</c:f>
              <c:strCache>
                <c:ptCount val="1"/>
                <c:pt idx="0">
                  <c:v>Disposal</c:v>
                </c:pt>
              </c:strCache>
            </c:strRef>
          </c:tx>
          <c:spPr>
            <a:noFill/>
          </c:spPr>
          <c:invertIfNegative val="0"/>
          <c:dLbls>
            <c:delete val="1"/>
          </c:dLbls>
          <c:cat>
            <c:strRef>
              <c:f>('Trends and nat. data'!$BF$23,'Trends and nat. data'!$BH$23:$BI$23,'Trends and nat. data'!$BF$25,'Trends and nat. data'!$BH$25:$BI$25,'Trends and nat. data'!$BF$28,'Trends and nat. data'!$BH$28:$BI$28)</c:f>
              <c:strCache>
                <c:ptCount val="9"/>
                <c:pt idx="0">
                  <c:v>MSW</c:v>
                </c:pt>
                <c:pt idx="1">
                  <c:v>C&amp;I</c:v>
                </c:pt>
                <c:pt idx="2">
                  <c:v>C&amp;D</c:v>
                </c:pt>
                <c:pt idx="3">
                  <c:v>MSW</c:v>
                </c:pt>
                <c:pt idx="4">
                  <c:v>C&amp;I</c:v>
                </c:pt>
                <c:pt idx="5">
                  <c:v>C&amp;D</c:v>
                </c:pt>
                <c:pt idx="6">
                  <c:v>MSW</c:v>
                </c:pt>
                <c:pt idx="7">
                  <c:v>C&amp;I</c:v>
                </c:pt>
                <c:pt idx="8">
                  <c:v>C&amp;D</c:v>
                </c:pt>
              </c:strCache>
            </c:strRef>
          </c:cat>
          <c:val>
            <c:numRef>
              <c:f>('Trends and nat. data'!$L$8,'Trends and nat. data'!$N$8:$O$8,'Trends and nat. data'!$L$16,'Trends and nat. data'!$N$16:$O$16,'Trends and nat. data'!$L$28,'Trends and nat. data'!$N$28:$O$28)</c:f>
              <c:numCache>
                <c:formatCode>#,##0</c:formatCode>
                <c:ptCount val="9"/>
                <c:pt idx="0">
                  <c:v>172.79867208426816</c:v>
                </c:pt>
                <c:pt idx="1">
                  <c:v>267.42101857887667</c:v>
                </c:pt>
                <c:pt idx="2">
                  <c:v>51.145032626503038</c:v>
                </c:pt>
                <c:pt idx="3">
                  <c:v>603.11808944210986</c:v>
                </c:pt>
                <c:pt idx="4">
                  <c:v>230.00782575370394</c:v>
                </c:pt>
                <c:pt idx="5">
                  <c:v>678.43469055947992</c:v>
                </c:pt>
                <c:pt idx="6">
                  <c:v>304.65262860320314</c:v>
                </c:pt>
                <c:pt idx="7">
                  <c:v>522.85360273301671</c:v>
                </c:pt>
                <c:pt idx="8">
                  <c:v>84.443010008072648</c:v>
                </c:pt>
              </c:numCache>
            </c:numRef>
          </c:val>
          <c:extLst>
            <c:ext xmlns:c16="http://schemas.microsoft.com/office/drawing/2014/chart" uri="{C3380CC4-5D6E-409C-BE32-E72D297353CC}">
              <c16:uniqueId val="{00000000-5032-4D3F-837D-1440165997E9}"/>
            </c:ext>
          </c:extLst>
        </c:ser>
        <c:ser>
          <c:idx val="2"/>
          <c:order val="1"/>
          <c:tx>
            <c:strRef>
              <c:f>'Trends and nat. data'!$C$41</c:f>
              <c:strCache>
                <c:ptCount val="1"/>
                <c:pt idx="0">
                  <c:v>Recycling</c:v>
                </c:pt>
              </c:strCache>
            </c:strRef>
          </c:tx>
          <c:spPr>
            <a:noFill/>
          </c:spPr>
          <c:invertIfNegative val="0"/>
          <c:dLbls>
            <c:delete val="1"/>
          </c:dLbls>
          <c:cat>
            <c:strRef>
              <c:f>('Trends and nat. data'!$BF$23,'Trends and nat. data'!$BH$23:$BI$23,'Trends and nat. data'!$BF$25,'Trends and nat. data'!$BH$25:$BI$25,'Trends and nat. data'!$BF$28,'Trends and nat. data'!$BH$28:$BI$28)</c:f>
              <c:strCache>
                <c:ptCount val="9"/>
                <c:pt idx="0">
                  <c:v>MSW</c:v>
                </c:pt>
                <c:pt idx="1">
                  <c:v>C&amp;I</c:v>
                </c:pt>
                <c:pt idx="2">
                  <c:v>C&amp;D</c:v>
                </c:pt>
                <c:pt idx="3">
                  <c:v>MSW</c:v>
                </c:pt>
                <c:pt idx="4">
                  <c:v>C&amp;I</c:v>
                </c:pt>
                <c:pt idx="5">
                  <c:v>C&amp;D</c:v>
                </c:pt>
                <c:pt idx="6">
                  <c:v>MSW</c:v>
                </c:pt>
                <c:pt idx="7">
                  <c:v>C&amp;I</c:v>
                </c:pt>
                <c:pt idx="8">
                  <c:v>C&amp;D</c:v>
                </c:pt>
              </c:strCache>
            </c:strRef>
          </c:cat>
          <c:val>
            <c:numRef>
              <c:f>('Trends and nat. data'!$L$9,'Trends and nat. data'!$N$9:$O$9,'Trends and nat. data'!$L$17,'Trends and nat. data'!$N$17:$O$17,'Trends and nat. data'!$L$29,'Trends and nat. data'!$N$29:$O$29)</c:f>
              <c:numCache>
                <c:formatCode>#,##0</c:formatCode>
                <c:ptCount val="9"/>
                <c:pt idx="0">
                  <c:v>254.30607364118552</c:v>
                </c:pt>
                <c:pt idx="1">
                  <c:v>614.01265440435861</c:v>
                </c:pt>
                <c:pt idx="2">
                  <c:v>542.74995202514799</c:v>
                </c:pt>
                <c:pt idx="3">
                  <c:v>426.45345016879736</c:v>
                </c:pt>
                <c:pt idx="4">
                  <c:v>102.9501535131181</c:v>
                </c:pt>
                <c:pt idx="5">
                  <c:v>0.53534804579111817</c:v>
                </c:pt>
                <c:pt idx="6">
                  <c:v>130.92962898561413</c:v>
                </c:pt>
                <c:pt idx="7">
                  <c:v>690.74554821687786</c:v>
                </c:pt>
                <c:pt idx="8">
                  <c:v>0.11981015338804379</c:v>
                </c:pt>
              </c:numCache>
            </c:numRef>
          </c:val>
          <c:extLst>
            <c:ext xmlns:c16="http://schemas.microsoft.com/office/drawing/2014/chart" uri="{C3380CC4-5D6E-409C-BE32-E72D297353CC}">
              <c16:uniqueId val="{00000001-5032-4D3F-837D-1440165997E9}"/>
            </c:ext>
          </c:extLst>
        </c:ser>
        <c:ser>
          <c:idx val="3"/>
          <c:order val="2"/>
          <c:tx>
            <c:v>En recovery</c:v>
          </c:tx>
          <c:spPr>
            <a:noFill/>
          </c:spPr>
          <c:invertIfNegative val="0"/>
          <c:dLbls>
            <c:delete val="1"/>
          </c:dLbls>
          <c:cat>
            <c:strRef>
              <c:f>('Trends and nat. data'!$BF$23,'Trends and nat. data'!$BH$23:$BI$23,'Trends and nat. data'!$BF$25,'Trends and nat. data'!$BH$25:$BI$25,'Trends and nat. data'!$BF$28,'Trends and nat. data'!$BH$28:$BI$28)</c:f>
              <c:strCache>
                <c:ptCount val="9"/>
                <c:pt idx="0">
                  <c:v>MSW</c:v>
                </c:pt>
                <c:pt idx="1">
                  <c:v>C&amp;I</c:v>
                </c:pt>
                <c:pt idx="2">
                  <c:v>C&amp;D</c:v>
                </c:pt>
                <c:pt idx="3">
                  <c:v>MSW</c:v>
                </c:pt>
                <c:pt idx="4">
                  <c:v>C&amp;I</c:v>
                </c:pt>
                <c:pt idx="5">
                  <c:v>C&amp;D</c:v>
                </c:pt>
                <c:pt idx="6">
                  <c:v>MSW</c:v>
                </c:pt>
                <c:pt idx="7">
                  <c:v>C&amp;I</c:v>
                </c:pt>
                <c:pt idx="8">
                  <c:v>C&amp;D</c:v>
                </c:pt>
              </c:strCache>
            </c:strRef>
          </c:cat>
          <c:val>
            <c:numRef>
              <c:f>('Trends and nat. data'!$L$10,'Trends and nat. data'!$N$10:$O$10,'Trends and nat. data'!$L$18,'Trends and nat. data'!$N$18:$O$18,'Trends and nat. data'!$L$30,'Trends and nat. data'!$N$30:$O$30)</c:f>
              <c:numCache>
                <c:formatCode>#,##0</c:formatCode>
                <c:ptCount val="9"/>
                <c:pt idx="0">
                  <c:v>47.604010083285935</c:v>
                </c:pt>
                <c:pt idx="1">
                  <c:v>45.48415175578679</c:v>
                </c:pt>
                <c:pt idx="2">
                  <c:v>2.3438160068794311</c:v>
                </c:pt>
                <c:pt idx="3">
                  <c:v>42.283771757293707</c:v>
                </c:pt>
                <c:pt idx="4">
                  <c:v>11.666268589144376</c:v>
                </c:pt>
                <c:pt idx="5">
                  <c:v>3.7982049528554649</c:v>
                </c:pt>
                <c:pt idx="6">
                  <c:v>53.95624322530648</c:v>
                </c:pt>
                <c:pt idx="7">
                  <c:v>48.556872791807535</c:v>
                </c:pt>
                <c:pt idx="8">
                  <c:v>0.77772532329873778</c:v>
                </c:pt>
              </c:numCache>
            </c:numRef>
          </c:val>
          <c:extLst>
            <c:ext xmlns:c16="http://schemas.microsoft.com/office/drawing/2014/chart" uri="{C3380CC4-5D6E-409C-BE32-E72D297353CC}">
              <c16:uniqueId val="{00000002-5032-4D3F-837D-1440165997E9}"/>
            </c:ext>
          </c:extLst>
        </c:ser>
        <c:ser>
          <c:idx val="0"/>
          <c:order val="3"/>
          <c:tx>
            <c:strRef>
              <c:f>'Trends and nat. data'!$K$11</c:f>
              <c:strCache>
                <c:ptCount val="1"/>
                <c:pt idx="0">
                  <c:v>Generation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('Trends and nat. data'!$L$11,'Trends and nat. data'!$N$11:$O$11,'Trends and nat. data'!$L$19,'Trends and nat. data'!$N$19:$O$19,'Trends and nat. data'!$L$31,'Trends and nat. data'!$N$31:$O$31)</c:f>
              <c:numCache>
                <c:formatCode>#,##0</c:formatCode>
                <c:ptCount val="9"/>
                <c:pt idx="0">
                  <c:v>474.70875580873957</c:v>
                </c:pt>
                <c:pt idx="1">
                  <c:v>926.91782473902208</c:v>
                </c:pt>
                <c:pt idx="2">
                  <c:v>596.23880065853052</c:v>
                </c:pt>
                <c:pt idx="3">
                  <c:v>1071.8553113682008</c:v>
                </c:pt>
                <c:pt idx="4">
                  <c:v>344.62424785596636</c:v>
                </c:pt>
                <c:pt idx="5">
                  <c:v>682.76824355812653</c:v>
                </c:pt>
                <c:pt idx="6">
                  <c:v>489.53850081412372</c:v>
                </c:pt>
                <c:pt idx="7">
                  <c:v>1262.156023741702</c:v>
                </c:pt>
                <c:pt idx="8">
                  <c:v>85.340545484759431</c:v>
                </c:pt>
              </c:numCache>
            </c:numRef>
          </c:val>
          <c:extLst>
            <c:ext xmlns:c16="http://schemas.microsoft.com/office/drawing/2014/chart" uri="{C3380CC4-5D6E-409C-BE32-E72D297353CC}">
              <c16:uniqueId val="{00000003-6796-4A5D-B792-E74EAE157BF1}"/>
            </c:ext>
          </c:extLst>
        </c:ser>
        <c:dLbls>
          <c:showLegendKey val="0"/>
          <c:showVal val="1"/>
          <c:showCatName val="0"/>
          <c:showSerName val="0"/>
          <c:showPercent val="0"/>
          <c:showBubbleSize val="0"/>
        </c:dLbls>
        <c:gapWidth val="26"/>
        <c:overlap val="100"/>
        <c:axId val="225075200"/>
        <c:axId val="225076736"/>
      </c:barChart>
      <c:catAx>
        <c:axId val="225075200"/>
        <c:scaling>
          <c:orientation val="minMax"/>
        </c:scaling>
        <c:delete val="1"/>
        <c:axPos val="b"/>
        <c:numFmt formatCode="General" sourceLinked="0"/>
        <c:majorTickMark val="out"/>
        <c:minorTickMark val="none"/>
        <c:tickLblPos val="nextTo"/>
        <c:crossAx val="225076736"/>
        <c:crosses val="autoZero"/>
        <c:auto val="1"/>
        <c:lblAlgn val="ctr"/>
        <c:lblOffset val="100"/>
        <c:noMultiLvlLbl val="0"/>
      </c:catAx>
      <c:valAx>
        <c:axId val="225076736"/>
        <c:scaling>
          <c:orientation val="minMax"/>
          <c:max val="1.3"/>
          <c:min val="0"/>
        </c:scaling>
        <c:delete val="1"/>
        <c:axPos val="l"/>
        <c:numFmt formatCode="#,##0.0" sourceLinked="0"/>
        <c:majorTickMark val="out"/>
        <c:minorTickMark val="none"/>
        <c:tickLblPos val="nextTo"/>
        <c:crossAx val="225075200"/>
        <c:crosses val="autoZero"/>
        <c:crossBetween val="between"/>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txPr>
    <a:bodyPr/>
    <a:lstStyle/>
    <a:p>
      <a:pPr>
        <a:defRPr sz="1000"/>
      </a:pPr>
      <a:endParaRPr lang="en-US"/>
    </a:p>
  </c:txPr>
  <c:printSettings>
    <c:headerFooter/>
    <c:pageMargins b="0.75000000000000078" l="0.70000000000000062" r="0.70000000000000062" t="0.75000000000000078"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80555555555557"/>
          <c:y val="8.8710279589480426E-2"/>
          <c:w val="0.71409249121384177"/>
          <c:h val="0.51152514619883038"/>
        </c:manualLayout>
      </c:layout>
      <c:barChart>
        <c:barDir val="col"/>
        <c:grouping val="stacked"/>
        <c:varyColors val="0"/>
        <c:ser>
          <c:idx val="0"/>
          <c:order val="0"/>
          <c:tx>
            <c:strRef>
              <c:f>'Trends and nat. data'!$C$57</c:f>
              <c:strCache>
                <c:ptCount val="1"/>
                <c:pt idx="0">
                  <c:v>Disposal</c:v>
                </c:pt>
              </c:strCache>
            </c:strRef>
          </c:tx>
          <c:spPr>
            <a:solidFill>
              <a:schemeClr val="accent3">
                <a:lumMod val="50000"/>
              </a:schemeClr>
            </a:solidFill>
          </c:spPr>
          <c:invertIfNegative val="0"/>
          <c:cat>
            <c:strRef>
              <c:f>'Trends and nat. data'!$D$54:$L$54</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'Trends and nat. data'!$D$57:$L$57</c:f>
              <c:numCache>
                <c:formatCode>#,##0.0</c:formatCode>
                <c:ptCount val="9"/>
                <c:pt idx="0">
                  <c:v>5.193820583808944</c:v>
                </c:pt>
                <c:pt idx="1">
                  <c:v>0.59931824029537706</c:v>
                </c:pt>
                <c:pt idx="2">
                  <c:v>6.2364638260746217</c:v>
                </c:pt>
                <c:pt idx="3">
                  <c:v>1.584406592729183</c:v>
                </c:pt>
                <c:pt idx="4">
                  <c:v>2.1573670534223037</c:v>
                </c:pt>
                <c:pt idx="5">
                  <c:v>0.46612295505867557</c:v>
                </c:pt>
                <c:pt idx="6">
                  <c:v>1.5749447480184224</c:v>
                </c:pt>
                <c:pt idx="7">
                  <c:v>3.1812451598532512</c:v>
                </c:pt>
                <c:pt idx="8">
                  <c:v>5.9383155000000007</c:v>
                </c:pt>
              </c:numCache>
            </c:numRef>
          </c:val>
          <c:extLst>
            <c:ext xmlns:c16="http://schemas.microsoft.com/office/drawing/2014/chart" uri="{C3380CC4-5D6E-409C-BE32-E72D297353CC}">
              <c16:uniqueId val="{00000000-CBC0-48B6-9314-F678747859C0}"/>
            </c:ext>
          </c:extLst>
        </c:ser>
        <c:ser>
          <c:idx val="1"/>
          <c:order val="1"/>
          <c:tx>
            <c:strRef>
              <c:f>'Trends and nat. data'!$C$58</c:f>
              <c:strCache>
                <c:ptCount val="1"/>
                <c:pt idx="0">
                  <c:v>Recycling</c:v>
                </c:pt>
              </c:strCache>
            </c:strRef>
          </c:tx>
          <c:spPr>
            <a:solidFill>
              <a:srgbClr val="FFFF00"/>
            </a:solidFill>
          </c:spPr>
          <c:invertIfNegative val="0"/>
          <c:cat>
            <c:strRef>
              <c:f>'Trends and nat. data'!$D$54:$L$54</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'Trends and nat. data'!$D$58:$L$58</c:f>
              <c:numCache>
                <c:formatCode>#,##0.0</c:formatCode>
                <c:ptCount val="9"/>
                <c:pt idx="0">
                  <c:v>11.95718375031889</c:v>
                </c:pt>
                <c:pt idx="1">
                  <c:v>4.5685719138708256</c:v>
                </c:pt>
                <c:pt idx="2">
                  <c:v>5.2104645639640639</c:v>
                </c:pt>
                <c:pt idx="3">
                  <c:v>3.2282213331406062</c:v>
                </c:pt>
                <c:pt idx="4">
                  <c:v>0.34584083999999998</c:v>
                </c:pt>
                <c:pt idx="5">
                  <c:v>0.6020176590864128</c:v>
                </c:pt>
                <c:pt idx="6">
                  <c:v>9.0363344241901372E-2</c:v>
                </c:pt>
                <c:pt idx="7">
                  <c:v>3.8523195392770342</c:v>
                </c:pt>
                <c:pt idx="8">
                  <c:v>4.9152464999999994</c:v>
                </c:pt>
              </c:numCache>
            </c:numRef>
          </c:val>
          <c:extLst>
            <c:ext xmlns:c16="http://schemas.microsoft.com/office/drawing/2014/chart" uri="{C3380CC4-5D6E-409C-BE32-E72D297353CC}">
              <c16:uniqueId val="{00000001-CBC0-48B6-9314-F678747859C0}"/>
            </c:ext>
          </c:extLst>
        </c:ser>
        <c:ser>
          <c:idx val="2"/>
          <c:order val="2"/>
          <c:tx>
            <c:strRef>
              <c:f>'Trends and nat. data'!$C$59</c:f>
              <c:strCache>
                <c:ptCount val="1"/>
                <c:pt idx="0">
                  <c:v>Energy recovery</c:v>
                </c:pt>
              </c:strCache>
            </c:strRef>
          </c:tx>
          <c:spPr>
            <a:solidFill>
              <a:schemeClr val="accent6">
                <a:lumMod val="75000"/>
              </a:schemeClr>
            </a:solidFill>
          </c:spPr>
          <c:invertIfNegative val="0"/>
          <c:cat>
            <c:strRef>
              <c:f>'Trends and nat. data'!$D$54:$L$54</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'Trends and nat. data'!$D$59:$L$59</c:f>
              <c:numCache>
                <c:formatCode>#,##0.0</c:formatCode>
                <c:ptCount val="9"/>
                <c:pt idx="2">
                  <c:v>1.3600198783885851</c:v>
                </c:pt>
                <c:pt idx="3">
                  <c:v>0.45760319209112282</c:v>
                </c:pt>
                <c:pt idx="4" formatCode="#,##0.00">
                  <c:v>1.6500000000000001E-2</c:v>
                </c:pt>
                <c:pt idx="6">
                  <c:v>0.47715840501184315</c:v>
                </c:pt>
                <c:pt idx="7">
                  <c:v>2.4930452385502928E-14</c:v>
                </c:pt>
              </c:numCache>
            </c:numRef>
          </c:val>
          <c:extLst>
            <c:ext xmlns:c16="http://schemas.microsoft.com/office/drawing/2014/chart" uri="{C3380CC4-5D6E-409C-BE32-E72D297353CC}">
              <c16:uniqueId val="{00000002-CBC0-48B6-9314-F678747859C0}"/>
            </c:ext>
          </c:extLst>
        </c:ser>
        <c:ser>
          <c:idx val="3"/>
          <c:order val="3"/>
          <c:tx>
            <c:strRef>
              <c:f>'Trends and nat. data'!$C$60</c:f>
              <c:strCache>
                <c:ptCount val="1"/>
                <c:pt idx="0">
                  <c:v>Recovery rate</c:v>
                </c:pt>
              </c:strCache>
            </c:strRef>
          </c:tx>
          <c:spPr>
            <a:noFill/>
            <a:ln>
              <a:noFill/>
            </a:ln>
          </c:spPr>
          <c:invertIfNegative val="0"/>
          <c:dLbls>
            <c:dLbl>
              <c:idx val="0"/>
              <c:layout>
                <c:manualLayout>
                  <c:x val="2.1373737373737373E-3"/>
                  <c:y val="-3.4432407407407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C0-48B6-9314-F678747859C0}"/>
                </c:ext>
              </c:extLst>
            </c:dLbl>
            <c:dLbl>
              <c:idx val="1"/>
              <c:layout>
                <c:manualLayout>
                  <c:x val="2.1373737373737373E-3"/>
                  <c:y val="-2.512932098765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C0-48B6-9314-F678747859C0}"/>
                </c:ext>
              </c:extLst>
            </c:dLbl>
            <c:dLbl>
              <c:idx val="2"/>
              <c:layout>
                <c:manualLayout>
                  <c:x val="0"/>
                  <c:y val="-4.9078654970760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C0-48B6-9314-F678747859C0}"/>
                </c:ext>
              </c:extLst>
            </c:dLbl>
            <c:dLbl>
              <c:idx val="3"/>
              <c:layout>
                <c:manualLayout>
                  <c:x val="0"/>
                  <c:y val="-2.3188410030977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C0-48B6-9314-F678747859C0}"/>
                </c:ext>
              </c:extLst>
            </c:dLbl>
            <c:dLbl>
              <c:idx val="4"/>
              <c:layout>
                <c:manualLayout>
                  <c:x val="2.020120759564059E-3"/>
                  <c:y val="-2.0199609068881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C0-48B6-9314-F678747859C0}"/>
                </c:ext>
              </c:extLst>
            </c:dLbl>
            <c:dLbl>
              <c:idx val="5"/>
              <c:layout>
                <c:manualLayout>
                  <c:x val="0"/>
                  <c:y val="-3.4325925925925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C0-48B6-9314-F678747859C0}"/>
                </c:ext>
              </c:extLst>
            </c:dLbl>
            <c:dLbl>
              <c:idx val="6"/>
              <c:layout>
                <c:manualLayout>
                  <c:x val="0"/>
                  <c:y val="-2.1333069109535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C0-48B6-9314-F678747859C0}"/>
                </c:ext>
              </c:extLst>
            </c:dLbl>
            <c:dLbl>
              <c:idx val="7"/>
              <c:layout>
                <c:manualLayout>
                  <c:x val="0"/>
                  <c:y val="-4.4568686868686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C0-48B6-9314-F678747859C0}"/>
                </c:ext>
              </c:extLst>
            </c:dLbl>
            <c:dLbl>
              <c:idx val="8"/>
              <c:layout>
                <c:manualLayout>
                  <c:x val="2.0201207595639025E-3"/>
                  <c:y val="-4.5243221008193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C0-48B6-9314-F678747859C0}"/>
                </c:ext>
              </c:extLst>
            </c:dLbl>
            <c:spPr>
              <a:noFill/>
              <a:ln>
                <a:noFill/>
              </a:ln>
              <a:effectLst/>
            </c:spPr>
            <c:txPr>
              <a:bodyPr wrap="square" lIns="38100" tIns="19050" rIns="38100" bIns="19050" anchor="ctr">
                <a:spAutoFit/>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'Trends and nat. data'!$D$54:$L$54</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'Trends and nat. data'!$D$60:$L$60</c:f>
              <c:numCache>
                <c:formatCode>0%</c:formatCode>
                <c:ptCount val="9"/>
                <c:pt idx="0">
                  <c:v>0.69717105292346948</c:v>
                </c:pt>
                <c:pt idx="1">
                  <c:v>0.88403038330599504</c:v>
                </c:pt>
                <c:pt idx="2">
                  <c:v>0.5130406014484139</c:v>
                </c:pt>
                <c:pt idx="3">
                  <c:v>0.6993667721080512</c:v>
                </c:pt>
                <c:pt idx="4">
                  <c:v>0.14380271655531601</c:v>
                </c:pt>
                <c:pt idx="5">
                  <c:v>0.56361274078905033</c:v>
                </c:pt>
                <c:pt idx="6">
                  <c:v>0.26489177309251977</c:v>
                </c:pt>
                <c:pt idx="7">
                  <c:v>0.54770514014798111</c:v>
                </c:pt>
                <c:pt idx="8">
                  <c:v>0.4528694358589373</c:v>
                </c:pt>
              </c:numCache>
            </c:numRef>
          </c:val>
          <c:extLst>
            <c:ext xmlns:c16="http://schemas.microsoft.com/office/drawing/2014/chart" uri="{C3380CC4-5D6E-409C-BE32-E72D297353CC}">
              <c16:uniqueId val="{0000000C-CBC0-48B6-9314-F678747859C0}"/>
            </c:ext>
          </c:extLst>
        </c:ser>
        <c:dLbls>
          <c:showLegendKey val="0"/>
          <c:showVal val="0"/>
          <c:showCatName val="0"/>
          <c:showSerName val="0"/>
          <c:showPercent val="0"/>
          <c:showBubbleSize val="0"/>
        </c:dLbls>
        <c:gapWidth val="150"/>
        <c:overlap val="100"/>
        <c:axId val="220573696"/>
        <c:axId val="220575232"/>
      </c:barChart>
      <c:lineChart>
        <c:grouping val="stacked"/>
        <c:varyColors val="0"/>
        <c:ser>
          <c:idx val="4"/>
          <c:order val="4"/>
          <c:tx>
            <c:v>Generation per cap</c:v>
          </c:tx>
          <c:spPr>
            <a:ln>
              <a:noFill/>
            </a:ln>
          </c:spPr>
          <c:marker>
            <c:symbol val="none"/>
          </c:marker>
          <c:val>
            <c:numRef>
              <c:f>'Trends and nat. data'!$D$62:$L$62</c:f>
              <c:numCache>
                <c:formatCode>0</c:formatCode>
                <c:ptCount val="9"/>
                <c:pt idx="0">
                  <c:v>726.30030670640122</c:v>
                </c:pt>
                <c:pt idx="1">
                  <c:v>218.84667106795263</c:v>
                </c:pt>
                <c:pt idx="2">
                  <c:v>542.34086086858611</c:v>
                </c:pt>
                <c:pt idx="3">
                  <c:v>223.18054399717934</c:v>
                </c:pt>
                <c:pt idx="4">
                  <c:v>106.70305832537255</c:v>
                </c:pt>
                <c:pt idx="5">
                  <c:v>45.232969483625993</c:v>
                </c:pt>
                <c:pt idx="6">
                  <c:v>90.727868978530822</c:v>
                </c:pt>
                <c:pt idx="7">
                  <c:v>297.85312269163035</c:v>
                </c:pt>
                <c:pt idx="8">
                  <c:v>459.62004649320187</c:v>
                </c:pt>
              </c:numCache>
            </c:numRef>
          </c:val>
          <c:smooth val="0"/>
          <c:extLst>
            <c:ext xmlns:c16="http://schemas.microsoft.com/office/drawing/2014/chart" uri="{C3380CC4-5D6E-409C-BE32-E72D297353CC}">
              <c16:uniqueId val="{0000000D-CBC0-48B6-9314-F678747859C0}"/>
            </c:ext>
          </c:extLst>
        </c:ser>
        <c:dLbls>
          <c:showLegendKey val="0"/>
          <c:showVal val="0"/>
          <c:showCatName val="0"/>
          <c:showSerName val="0"/>
          <c:showPercent val="0"/>
          <c:showBubbleSize val="0"/>
        </c:dLbls>
        <c:marker val="1"/>
        <c:smooth val="0"/>
        <c:axId val="683810104"/>
        <c:axId val="683810760"/>
      </c:lineChart>
      <c:catAx>
        <c:axId val="220573696"/>
        <c:scaling>
          <c:orientation val="minMax"/>
        </c:scaling>
        <c:delete val="0"/>
        <c:axPos val="b"/>
        <c:numFmt formatCode="General" sourceLinked="0"/>
        <c:majorTickMark val="none"/>
        <c:minorTickMark val="none"/>
        <c:tickLblPos val="nextTo"/>
        <c:spPr>
          <a:ln>
            <a:solidFill>
              <a:schemeClr val="bg1"/>
            </a:solidFill>
          </a:ln>
        </c:spPr>
        <c:txPr>
          <a:bodyPr/>
          <a:lstStyle/>
          <a:p>
            <a:pPr>
              <a:defRPr>
                <a:solidFill>
                  <a:schemeClr val="bg1"/>
                </a:solidFill>
              </a:defRPr>
            </a:pPr>
            <a:endParaRPr lang="en-US"/>
          </a:p>
        </c:txPr>
        <c:crossAx val="220575232"/>
        <c:crosses val="autoZero"/>
        <c:auto val="1"/>
        <c:lblAlgn val="ctr"/>
        <c:lblOffset val="100"/>
        <c:noMultiLvlLbl val="0"/>
      </c:catAx>
      <c:valAx>
        <c:axId val="220575232"/>
        <c:scaling>
          <c:orientation val="minMax"/>
          <c:min val="0"/>
        </c:scaling>
        <c:delete val="0"/>
        <c:axPos val="l"/>
        <c:majorGridlines>
          <c:spPr>
            <a:ln w="2540"/>
          </c:spPr>
        </c:majorGridlines>
        <c:title>
          <c:tx>
            <c:rich>
              <a:bodyPr/>
              <a:lstStyle/>
              <a:p>
                <a:pPr>
                  <a:defRPr/>
                </a:pPr>
                <a:r>
                  <a:rPr lang="en-AU"/>
                  <a:t>Megatonnes (Mt)</a:t>
                </a:r>
              </a:p>
            </c:rich>
          </c:tx>
          <c:layout>
            <c:manualLayout>
              <c:xMode val="edge"/>
              <c:yMode val="edge"/>
              <c:x val="0.10856633549608002"/>
              <c:y val="0.19084736842105265"/>
            </c:manualLayout>
          </c:layout>
          <c:overlay val="0"/>
        </c:title>
        <c:numFmt formatCode="#,##0" sourceLinked="0"/>
        <c:majorTickMark val="out"/>
        <c:minorTickMark val="none"/>
        <c:tickLblPos val="nextTo"/>
        <c:spPr>
          <a:ln>
            <a:noFill/>
          </a:ln>
        </c:spPr>
        <c:crossAx val="220573696"/>
        <c:crosses val="autoZero"/>
        <c:crossBetween val="between"/>
      </c:valAx>
      <c:valAx>
        <c:axId val="683810760"/>
        <c:scaling>
          <c:orientation val="minMax"/>
          <c:min val="0"/>
        </c:scaling>
        <c:delete val="0"/>
        <c:axPos val="r"/>
        <c:title>
          <c:tx>
            <c:rich>
              <a:bodyPr/>
              <a:lstStyle/>
              <a:p>
                <a:pPr>
                  <a:defRPr/>
                </a:pPr>
                <a:r>
                  <a:rPr lang="en-AU"/>
                  <a:t>Kg per capita</a:t>
                </a:r>
              </a:p>
            </c:rich>
          </c:tx>
          <c:layout>
            <c:manualLayout>
              <c:xMode val="edge"/>
              <c:yMode val="edge"/>
              <c:x val="0.96414909434982432"/>
              <c:y val="0.1908172514619883"/>
            </c:manualLayout>
          </c:layout>
          <c:overlay val="0"/>
        </c:title>
        <c:numFmt formatCode="#,##0;\-#,##0;;" sourceLinked="0"/>
        <c:majorTickMark val="out"/>
        <c:minorTickMark val="none"/>
        <c:tickLblPos val="nextTo"/>
        <c:spPr>
          <a:ln>
            <a:noFill/>
          </a:ln>
        </c:spPr>
        <c:crossAx val="683810104"/>
        <c:crosses val="max"/>
        <c:crossBetween val="between"/>
        <c:majorUnit val="84.6"/>
      </c:valAx>
      <c:catAx>
        <c:axId val="683810104"/>
        <c:scaling>
          <c:orientation val="minMax"/>
        </c:scaling>
        <c:delete val="1"/>
        <c:axPos val="b"/>
        <c:majorTickMark val="out"/>
        <c:minorTickMark val="none"/>
        <c:tickLblPos val="nextTo"/>
        <c:crossAx val="683810760"/>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3917883211678834"/>
          <c:y val="1.1762850952462938E-2"/>
          <c:w val="0.43655318239357138"/>
          <c:h val="5.5185089877524171E-2"/>
        </c:manualLayout>
      </c:layout>
      <c:overlay val="0"/>
    </c:legend>
    <c:plotVisOnly val="1"/>
    <c:dispBlanksAs val="gap"/>
    <c:showDLblsOverMax val="0"/>
  </c:chart>
  <c:spPr>
    <a:ln>
      <a:noFill/>
    </a:ln>
  </c:spPr>
  <c:printSettings>
    <c:headerFooter/>
    <c:pageMargins b="0.75000000000000844" l="0.70000000000000062" r="0.70000000000000062" t="0.75000000000000844"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9624451787636"/>
          <c:y val="4.716597222222222E-2"/>
          <c:w val="0.76337769260950905"/>
          <c:h val="0.20285416666666667"/>
        </c:manualLayout>
      </c:layout>
      <c:barChart>
        <c:barDir val="col"/>
        <c:grouping val="stacked"/>
        <c:varyColors val="0"/>
        <c:ser>
          <c:idx val="0"/>
          <c:order val="0"/>
          <c:tx>
            <c:v>Disposal (Mt)</c:v>
          </c:tx>
          <c:spPr>
            <a:noFill/>
          </c:spPr>
          <c:invertIfNegative val="0"/>
          <c:cat>
            <c:strRef>
              <c:f>NSW.!$C$79:$C$87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'Trends and nat. data'!$D$57:$L$57</c:f>
              <c:numCache>
                <c:formatCode>#,##0.0</c:formatCode>
                <c:ptCount val="9"/>
                <c:pt idx="0">
                  <c:v>5.193820583808944</c:v>
                </c:pt>
                <c:pt idx="1">
                  <c:v>0.59931824029537706</c:v>
                </c:pt>
                <c:pt idx="2">
                  <c:v>6.2364638260746217</c:v>
                </c:pt>
                <c:pt idx="3">
                  <c:v>1.584406592729183</c:v>
                </c:pt>
                <c:pt idx="4">
                  <c:v>2.1573670534223037</c:v>
                </c:pt>
                <c:pt idx="5">
                  <c:v>0.46612295505867557</c:v>
                </c:pt>
                <c:pt idx="6">
                  <c:v>1.5749447480184224</c:v>
                </c:pt>
                <c:pt idx="7">
                  <c:v>3.1812451598532512</c:v>
                </c:pt>
                <c:pt idx="8">
                  <c:v>5.9383155000000007</c:v>
                </c:pt>
              </c:numCache>
            </c:numRef>
          </c:val>
          <c:extLst>
            <c:ext xmlns:c16="http://schemas.microsoft.com/office/drawing/2014/chart" uri="{C3380CC4-5D6E-409C-BE32-E72D297353CC}">
              <c16:uniqueId val="{00000000-5769-4DE3-B849-1B460FFF6E0B}"/>
            </c:ext>
          </c:extLst>
        </c:ser>
        <c:ser>
          <c:idx val="1"/>
          <c:order val="1"/>
          <c:tx>
            <c:v>Recycling (Mt)</c:v>
          </c:tx>
          <c:spPr>
            <a:noFill/>
          </c:spPr>
          <c:invertIfNegative val="0"/>
          <c:cat>
            <c:strRef>
              <c:f>NSW.!$C$79:$C$87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'Trends and nat. data'!$D$58:$L$58</c:f>
              <c:numCache>
                <c:formatCode>#,##0.0</c:formatCode>
                <c:ptCount val="9"/>
                <c:pt idx="0">
                  <c:v>11.95718375031889</c:v>
                </c:pt>
                <c:pt idx="1">
                  <c:v>4.5685719138708256</c:v>
                </c:pt>
                <c:pt idx="2">
                  <c:v>5.2104645639640639</c:v>
                </c:pt>
                <c:pt idx="3">
                  <c:v>3.2282213331406062</c:v>
                </c:pt>
                <c:pt idx="4">
                  <c:v>0.34584083999999998</c:v>
                </c:pt>
                <c:pt idx="5">
                  <c:v>0.6020176590864128</c:v>
                </c:pt>
                <c:pt idx="6">
                  <c:v>9.0363344241901372E-2</c:v>
                </c:pt>
                <c:pt idx="7">
                  <c:v>3.8523195392770342</c:v>
                </c:pt>
                <c:pt idx="8">
                  <c:v>4.9152464999999994</c:v>
                </c:pt>
              </c:numCache>
            </c:numRef>
          </c:val>
          <c:extLst>
            <c:ext xmlns:c16="http://schemas.microsoft.com/office/drawing/2014/chart" uri="{C3380CC4-5D6E-409C-BE32-E72D297353CC}">
              <c16:uniqueId val="{00000001-5769-4DE3-B849-1B460FFF6E0B}"/>
            </c:ext>
          </c:extLst>
        </c:ser>
        <c:ser>
          <c:idx val="2"/>
          <c:order val="2"/>
          <c:tx>
            <c:v>En recovery (Mt)</c:v>
          </c:tx>
          <c:spPr>
            <a:noFill/>
          </c:spPr>
          <c:invertIfNegative val="0"/>
          <c:cat>
            <c:strRef>
              <c:f>NSW.!$C$79:$C$87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'Trends and nat. data'!$D$59:$L$59</c:f>
              <c:numCache>
                <c:formatCode>#,##0.0</c:formatCode>
                <c:ptCount val="9"/>
                <c:pt idx="2">
                  <c:v>1.3600198783885851</c:v>
                </c:pt>
                <c:pt idx="3">
                  <c:v>0.45760319209112282</c:v>
                </c:pt>
                <c:pt idx="4" formatCode="#,##0.00">
                  <c:v>1.6500000000000001E-2</c:v>
                </c:pt>
                <c:pt idx="6">
                  <c:v>0.47715840501184315</c:v>
                </c:pt>
                <c:pt idx="7">
                  <c:v>2.4930452385502928E-14</c:v>
                </c:pt>
              </c:numCache>
            </c:numRef>
          </c:val>
          <c:extLst>
            <c:ext xmlns:c16="http://schemas.microsoft.com/office/drawing/2014/chart" uri="{C3380CC4-5D6E-409C-BE32-E72D297353CC}">
              <c16:uniqueId val="{00000002-5769-4DE3-B849-1B460FFF6E0B}"/>
            </c:ext>
          </c:extLst>
        </c:ser>
        <c:ser>
          <c:idx val="3"/>
          <c:order val="3"/>
          <c:tx>
            <c:v>Generation (Mt)</c:v>
          </c:tx>
          <c:spPr>
            <a:noFill/>
            <a:ln>
              <a:noFill/>
            </a:ln>
          </c:spPr>
          <c:invertIfNegative val="0"/>
          <c:cat>
            <c:strRef>
              <c:f>NSW.!$C$79:$C$87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'Trends and nat. data'!$D$61:$L$61</c:f>
              <c:numCache>
                <c:formatCode>#,##0.0</c:formatCode>
                <c:ptCount val="9"/>
                <c:pt idx="0" formatCode="#,##0">
                  <c:v>17.151004334127833</c:v>
                </c:pt>
                <c:pt idx="1">
                  <c:v>5.1678901541662023</c:v>
                </c:pt>
                <c:pt idx="2" formatCode="#,##0">
                  <c:v>12.80694826842727</c:v>
                </c:pt>
                <c:pt idx="3">
                  <c:v>5.270231117960912</c:v>
                </c:pt>
                <c:pt idx="4">
                  <c:v>2.5197078934223041</c:v>
                </c:pt>
                <c:pt idx="5">
                  <c:v>1.0681406141450884</c:v>
                </c:pt>
                <c:pt idx="6">
                  <c:v>2.1424664972721672</c:v>
                </c:pt>
                <c:pt idx="7">
                  <c:v>7.0335646991303102</c:v>
                </c:pt>
                <c:pt idx="8" formatCode="#,##0">
                  <c:v>10.853562</c:v>
                </c:pt>
              </c:numCache>
            </c:numRef>
          </c:val>
          <c:extLst>
            <c:ext xmlns:c16="http://schemas.microsoft.com/office/drawing/2014/chart" uri="{C3380CC4-5D6E-409C-BE32-E72D297353CC}">
              <c16:uniqueId val="{00000003-5769-4DE3-B849-1B460FFF6E0B}"/>
            </c:ext>
          </c:extLst>
        </c:ser>
        <c:ser>
          <c:idx val="4"/>
          <c:order val="4"/>
          <c:tx>
            <c:v>Generation (kg/cap)</c:v>
          </c:tx>
          <c:spPr>
            <a:noFill/>
          </c:spPr>
          <c:invertIfNegative val="0"/>
          <c:cat>
            <c:strRef>
              <c:f>NSW.!$C$79:$C$87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'Trends and nat. data'!$D$62:$L$62</c:f>
              <c:numCache>
                <c:formatCode>0</c:formatCode>
                <c:ptCount val="9"/>
                <c:pt idx="0">
                  <c:v>726.30030670640122</c:v>
                </c:pt>
                <c:pt idx="1">
                  <c:v>218.84667106795263</c:v>
                </c:pt>
                <c:pt idx="2">
                  <c:v>542.34086086858611</c:v>
                </c:pt>
                <c:pt idx="3">
                  <c:v>223.18054399717934</c:v>
                </c:pt>
                <c:pt idx="4">
                  <c:v>106.70305832537255</c:v>
                </c:pt>
                <c:pt idx="5">
                  <c:v>45.232969483625993</c:v>
                </c:pt>
                <c:pt idx="6">
                  <c:v>90.727868978530822</c:v>
                </c:pt>
                <c:pt idx="7">
                  <c:v>297.85312269163035</c:v>
                </c:pt>
                <c:pt idx="8">
                  <c:v>459.62004649320187</c:v>
                </c:pt>
              </c:numCache>
            </c:numRef>
          </c:val>
          <c:extLst>
            <c:ext xmlns:c16="http://schemas.microsoft.com/office/drawing/2014/chart" uri="{C3380CC4-5D6E-409C-BE32-E72D297353CC}">
              <c16:uniqueId val="{00000004-5769-4DE3-B849-1B460FFF6E0B}"/>
            </c:ext>
          </c:extLst>
        </c:ser>
        <c:dLbls>
          <c:showLegendKey val="0"/>
          <c:showVal val="0"/>
          <c:showCatName val="0"/>
          <c:showSerName val="0"/>
          <c:showPercent val="0"/>
          <c:showBubbleSize val="0"/>
        </c:dLbls>
        <c:gapWidth val="150"/>
        <c:overlap val="100"/>
        <c:axId val="220573696"/>
        <c:axId val="220575232"/>
      </c:barChart>
      <c:catAx>
        <c:axId val="220573696"/>
        <c:scaling>
          <c:orientation val="minMax"/>
        </c:scaling>
        <c:delete val="1"/>
        <c:axPos val="b"/>
        <c:numFmt formatCode="General" sourceLinked="0"/>
        <c:majorTickMark val="none"/>
        <c:minorTickMark val="none"/>
        <c:tickLblPos val="nextTo"/>
        <c:crossAx val="220575232"/>
        <c:crosses val="autoZero"/>
        <c:auto val="1"/>
        <c:lblAlgn val="ctr"/>
        <c:lblOffset val="100"/>
        <c:noMultiLvlLbl val="0"/>
      </c:catAx>
      <c:valAx>
        <c:axId val="220575232"/>
        <c:scaling>
          <c:orientation val="minMax"/>
        </c:scaling>
        <c:delete val="1"/>
        <c:axPos val="l"/>
        <c:numFmt formatCode="#,##0" sourceLinked="0"/>
        <c:majorTickMark val="out"/>
        <c:minorTickMark val="none"/>
        <c:tickLblPos val="nextTo"/>
        <c:crossAx val="220573696"/>
        <c:crosses val="autoZero"/>
        <c:crossBetween val="between"/>
        <c:majorUnit val="2000"/>
      </c:valAx>
      <c:dTable>
        <c:showHorzBorder val="1"/>
        <c:showVertBorder val="1"/>
        <c:showOutline val="1"/>
        <c:showKeys val="0"/>
        <c:spPr>
          <a:ln w="2540"/>
        </c:spPr>
        <c:txPr>
          <a:bodyPr/>
          <a:lstStyle/>
          <a:p>
            <a:pPr rtl="0">
              <a:defRPr sz="900"/>
            </a:pPr>
            <a:endParaRPr lang="en-US"/>
          </a:p>
        </c:txPr>
      </c:dTable>
      <c:spPr>
        <a:noFill/>
        <a:ln w="25400">
          <a:noFill/>
        </a:ln>
      </c:spPr>
    </c:plotArea>
    <c:plotVisOnly val="1"/>
    <c:dispBlanksAs val="gap"/>
    <c:showDLblsOverMax val="0"/>
  </c:chart>
  <c:spPr>
    <a:noFill/>
    <a:ln>
      <a:noFill/>
    </a:ln>
  </c:spPr>
  <c:txPr>
    <a:bodyPr/>
    <a:lstStyle/>
    <a:p>
      <a:pPr>
        <a:defRPr sz="850"/>
      </a:pPr>
      <a:endParaRPr lang="en-US"/>
    </a:p>
  </c:txPr>
  <c:printSettings>
    <c:headerFooter/>
    <c:pageMargins b="0.75000000000000844" l="0.70000000000000062" r="0.70000000000000062" t="0.750000000000008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69535685320356"/>
          <c:y val="8.6951461988304099E-2"/>
          <c:w val="0.63679981075966474"/>
          <c:h val="0.45307953216374275"/>
        </c:manualLayout>
      </c:layout>
      <c:barChart>
        <c:barDir val="col"/>
        <c:grouping val="stacked"/>
        <c:varyColors val="0"/>
        <c:ser>
          <c:idx val="0"/>
          <c:order val="0"/>
          <c:tx>
            <c:strRef>
              <c:f>NSW.!$C$70</c:f>
              <c:strCache>
                <c:ptCount val="1"/>
                <c:pt idx="0">
                  <c:v>Disposal</c:v>
                </c:pt>
              </c:strCache>
            </c:strRef>
          </c:tx>
          <c:spPr>
            <a:solidFill>
              <a:schemeClr val="accent3">
                <a:lumMod val="50000"/>
              </a:schemeClr>
            </a:solidFill>
          </c:spPr>
          <c:invertIfNegative val="0"/>
          <c:cat>
            <c:strRef>
              <c:f>NSW.!$H$67:$J$67</c:f>
              <c:strCache>
                <c:ptCount val="3"/>
                <c:pt idx="0">
                  <c:v>Total</c:v>
                </c:pt>
                <c:pt idx="1">
                  <c:v>Total excl. fly ash</c:v>
                </c:pt>
                <c:pt idx="2">
                  <c:v>Total excl. fly ash &amp; hazwaste</c:v>
                </c:pt>
              </c:strCache>
            </c:strRef>
          </c:cat>
          <c:val>
            <c:numRef>
              <c:f>NSW.!$H$70:$J$70</c:f>
              <c:numCache>
                <c:formatCode>#,##0</c:formatCode>
                <c:ptCount val="3"/>
                <c:pt idx="0">
                  <c:v>6681.4926101128976</c:v>
                </c:pt>
                <c:pt idx="1">
                  <c:v>5880.0805163634168</c:v>
                </c:pt>
                <c:pt idx="2">
                  <c:v>4859.9563244671426</c:v>
                </c:pt>
              </c:numCache>
            </c:numRef>
          </c:val>
          <c:extLst>
            <c:ext xmlns:c16="http://schemas.microsoft.com/office/drawing/2014/chart" uri="{C3380CC4-5D6E-409C-BE32-E72D297353CC}">
              <c16:uniqueId val="{00000000-FDF3-4F84-BFE2-EDB9328156B8}"/>
            </c:ext>
          </c:extLst>
        </c:ser>
        <c:ser>
          <c:idx val="1"/>
          <c:order val="1"/>
          <c:tx>
            <c:strRef>
              <c:f>NSW.!$C$71</c:f>
              <c:strCache>
                <c:ptCount val="1"/>
                <c:pt idx="0">
                  <c:v>Recycling</c:v>
                </c:pt>
              </c:strCache>
            </c:strRef>
          </c:tx>
          <c:spPr>
            <a:solidFill>
              <a:srgbClr val="FFFF00"/>
            </a:solidFill>
          </c:spPr>
          <c:invertIfNegative val="0"/>
          <c:cat>
            <c:strRef>
              <c:f>NSW.!$H$67:$J$67</c:f>
              <c:strCache>
                <c:ptCount val="3"/>
                <c:pt idx="0">
                  <c:v>Total</c:v>
                </c:pt>
                <c:pt idx="1">
                  <c:v>Total excl. fly ash</c:v>
                </c:pt>
                <c:pt idx="2">
                  <c:v>Total excl. fly ash &amp; hazwaste</c:v>
                </c:pt>
              </c:strCache>
            </c:strRef>
          </c:cat>
          <c:val>
            <c:numRef>
              <c:f>NSW.!$H$71:$J$71</c:f>
              <c:numCache>
                <c:formatCode>#,##0</c:formatCode>
                <c:ptCount val="3"/>
                <c:pt idx="0">
                  <c:v>11458.928298233735</c:v>
                </c:pt>
                <c:pt idx="1">
                  <c:v>9520.3158029258775</c:v>
                </c:pt>
                <c:pt idx="2">
                  <c:v>8738.5183622114546</c:v>
                </c:pt>
              </c:numCache>
            </c:numRef>
          </c:val>
          <c:extLst>
            <c:ext xmlns:c16="http://schemas.microsoft.com/office/drawing/2014/chart" uri="{C3380CC4-5D6E-409C-BE32-E72D297353CC}">
              <c16:uniqueId val="{00000001-FDF3-4F84-BFE2-EDB9328156B8}"/>
            </c:ext>
          </c:extLst>
        </c:ser>
        <c:ser>
          <c:idx val="2"/>
          <c:order val="2"/>
          <c:tx>
            <c:strRef>
              <c:f>NSW.!$C$72</c:f>
              <c:strCache>
                <c:ptCount val="1"/>
                <c:pt idx="0">
                  <c:v>Energy recovery</c:v>
                </c:pt>
              </c:strCache>
            </c:strRef>
          </c:tx>
          <c:spPr>
            <a:solidFill>
              <a:schemeClr val="accent6">
                <a:lumMod val="75000"/>
              </a:schemeClr>
            </a:solidFill>
          </c:spPr>
          <c:invertIfNegative val="0"/>
          <c:cat>
            <c:strRef>
              <c:f>NSW.!$H$67:$J$67</c:f>
              <c:strCache>
                <c:ptCount val="3"/>
                <c:pt idx="0">
                  <c:v>Total</c:v>
                </c:pt>
                <c:pt idx="1">
                  <c:v>Total excl. fly ash</c:v>
                </c:pt>
                <c:pt idx="2">
                  <c:v>Total excl. fly ash &amp; hazwaste</c:v>
                </c:pt>
              </c:strCache>
            </c:strRef>
          </c:cat>
          <c:val>
            <c:numRef>
              <c:f>NSW.!$H$72:$J$72</c:f>
              <c:numCache>
                <c:formatCode>#,##0</c:formatCode>
                <c:ptCount val="3"/>
                <c:pt idx="0">
                  <c:v>820.76066229394621</c:v>
                </c:pt>
                <c:pt idx="1">
                  <c:v>820.76066229394621</c:v>
                </c:pt>
                <c:pt idx="2">
                  <c:v>820.76066229393723</c:v>
                </c:pt>
              </c:numCache>
            </c:numRef>
          </c:val>
          <c:extLst>
            <c:ext xmlns:c16="http://schemas.microsoft.com/office/drawing/2014/chart" uri="{C3380CC4-5D6E-409C-BE32-E72D297353CC}">
              <c16:uniqueId val="{00000002-FDF3-4F84-BFE2-EDB9328156B8}"/>
            </c:ext>
          </c:extLst>
        </c:ser>
        <c:ser>
          <c:idx val="3"/>
          <c:order val="3"/>
          <c:tx>
            <c:strRef>
              <c:f>NSW.!$C$73</c:f>
              <c:strCache>
                <c:ptCount val="1"/>
                <c:pt idx="0">
                  <c:v>Recovery rate</c:v>
                </c:pt>
              </c:strCache>
            </c:strRef>
          </c:tx>
          <c:spPr>
            <a:noFill/>
          </c:spPr>
          <c:invertIfNegative val="0"/>
          <c:dLbls>
            <c:dLbl>
              <c:idx val="0"/>
              <c:layout>
                <c:manualLayout>
                  <c:x val="0"/>
                  <c:y val="-9.44532163742690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F3-4F84-BFE2-EDB9328156B8}"/>
                </c:ext>
              </c:extLst>
            </c:dLbl>
            <c:dLbl>
              <c:idx val="1"/>
              <c:layout>
                <c:manualLayout>
                  <c:x val="-2.1458502297919142E-3"/>
                  <c:y val="-1.65666666666666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F3-4F84-BFE2-EDB9328156B8}"/>
                </c:ext>
              </c:extLst>
            </c:dLbl>
            <c:numFmt formatCode="0%" sourceLinked="0"/>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NSW.!$H$67:$J$67</c:f>
              <c:strCache>
                <c:ptCount val="3"/>
                <c:pt idx="0">
                  <c:v>Total</c:v>
                </c:pt>
                <c:pt idx="1">
                  <c:v>Total excl. fly ash</c:v>
                </c:pt>
                <c:pt idx="2">
                  <c:v>Total excl. fly ash &amp; hazwaste</c:v>
                </c:pt>
              </c:strCache>
            </c:strRef>
          </c:cat>
          <c:val>
            <c:numRef>
              <c:f>NSW.!$O$73:$Q$73</c:f>
              <c:numCache>
                <c:formatCode>0%</c:formatCode>
                <c:ptCount val="3"/>
                <c:pt idx="0">
                  <c:v>647.62256058670437</c:v>
                </c:pt>
                <c:pt idx="1">
                  <c:v>637.50547984712853</c:v>
                </c:pt>
                <c:pt idx="2">
                  <c:v>662.95325606059646</c:v>
                </c:pt>
              </c:numCache>
            </c:numRef>
          </c:val>
          <c:extLst>
            <c:ext xmlns:c16="http://schemas.microsoft.com/office/drawing/2014/chart" uri="{C3380CC4-5D6E-409C-BE32-E72D297353CC}">
              <c16:uniqueId val="{00000004-FDF3-4F84-BFE2-EDB9328156B8}"/>
            </c:ext>
          </c:extLst>
        </c:ser>
        <c:dLbls>
          <c:showLegendKey val="0"/>
          <c:showVal val="0"/>
          <c:showCatName val="0"/>
          <c:showSerName val="0"/>
          <c:showPercent val="0"/>
          <c:showBubbleSize val="0"/>
        </c:dLbls>
        <c:gapWidth val="270"/>
        <c:overlap val="100"/>
        <c:axId val="219543040"/>
        <c:axId val="219544576"/>
      </c:barChart>
      <c:lineChart>
        <c:grouping val="stacked"/>
        <c:varyColors val="0"/>
        <c:ser>
          <c:idx val="4"/>
          <c:order val="4"/>
          <c:tx>
            <c:v>disposal per cap</c:v>
          </c:tx>
          <c:spPr>
            <a:ln>
              <a:noFill/>
            </a:ln>
          </c:spPr>
          <c:marker>
            <c:symbol val="none"/>
          </c:marker>
          <c:val>
            <c:numRef>
              <c:f>NSW.!$K$70:$M$70</c:f>
              <c:numCache>
                <c:formatCode>#,##0</c:formatCode>
                <c:ptCount val="3"/>
                <c:pt idx="0">
                  <c:v>883.25485094873136</c:v>
                </c:pt>
                <c:pt idx="1">
                  <c:v>777.31278669473102</c:v>
                </c:pt>
                <c:pt idx="2">
                  <c:v>642.45824241239995</c:v>
                </c:pt>
              </c:numCache>
            </c:numRef>
          </c:val>
          <c:smooth val="0"/>
          <c:extLst>
            <c:ext xmlns:c16="http://schemas.microsoft.com/office/drawing/2014/chart" uri="{C3380CC4-5D6E-409C-BE32-E72D297353CC}">
              <c16:uniqueId val="{00000005-FDF3-4F84-BFE2-EDB9328156B8}"/>
            </c:ext>
          </c:extLst>
        </c:ser>
        <c:ser>
          <c:idx val="5"/>
          <c:order val="5"/>
          <c:tx>
            <c:v>recycling per cap</c:v>
          </c:tx>
          <c:spPr>
            <a:ln>
              <a:noFill/>
            </a:ln>
          </c:spPr>
          <c:marker>
            <c:symbol val="none"/>
          </c:marker>
          <c:val>
            <c:numRef>
              <c:f>NSW.!$K$71:$M$71</c:f>
              <c:numCache>
                <c:formatCode>#,##0</c:formatCode>
                <c:ptCount val="3"/>
                <c:pt idx="0">
                  <c:v>1514.8043403908846</c:v>
                </c:pt>
                <c:pt idx="1">
                  <c:v>1258.5309310633304</c:v>
                </c:pt>
                <c:pt idx="2">
                  <c:v>1155.1818109991764</c:v>
                </c:pt>
              </c:numCache>
            </c:numRef>
          </c:val>
          <c:smooth val="0"/>
          <c:extLst>
            <c:ext xmlns:c16="http://schemas.microsoft.com/office/drawing/2014/chart" uri="{C3380CC4-5D6E-409C-BE32-E72D297353CC}">
              <c16:uniqueId val="{00000006-FDF3-4F84-BFE2-EDB9328156B8}"/>
            </c:ext>
          </c:extLst>
        </c:ser>
        <c:ser>
          <c:idx val="6"/>
          <c:order val="6"/>
          <c:tx>
            <c:v>en recov per cap</c:v>
          </c:tx>
          <c:spPr>
            <a:ln>
              <a:noFill/>
            </a:ln>
          </c:spPr>
          <c:marker>
            <c:symbol val="none"/>
          </c:marker>
          <c:val>
            <c:numRef>
              <c:f>NSW.!$K$72:$M$72</c:f>
              <c:numCache>
                <c:formatCode>#,##0</c:formatCode>
                <c:ptCount val="3"/>
                <c:pt idx="0">
                  <c:v>108.49983360630735</c:v>
                </c:pt>
                <c:pt idx="1">
                  <c:v>108.49983360630745</c:v>
                </c:pt>
                <c:pt idx="2">
                  <c:v>108.49983360630614</c:v>
                </c:pt>
              </c:numCache>
            </c:numRef>
          </c:val>
          <c:smooth val="0"/>
          <c:extLst>
            <c:ext xmlns:c16="http://schemas.microsoft.com/office/drawing/2014/chart" uri="{C3380CC4-5D6E-409C-BE32-E72D297353CC}">
              <c16:uniqueId val="{00000007-FDF3-4F84-BFE2-EDB9328156B8}"/>
            </c:ext>
          </c:extLst>
        </c:ser>
        <c:dLbls>
          <c:showLegendKey val="0"/>
          <c:showVal val="0"/>
          <c:showCatName val="0"/>
          <c:showSerName val="0"/>
          <c:showPercent val="0"/>
          <c:showBubbleSize val="0"/>
        </c:dLbls>
        <c:marker val="1"/>
        <c:smooth val="0"/>
        <c:axId val="219687936"/>
        <c:axId val="219686016"/>
      </c:lineChart>
      <c:catAx>
        <c:axId val="219543040"/>
        <c:scaling>
          <c:orientation val="minMax"/>
        </c:scaling>
        <c:delete val="0"/>
        <c:axPos val="b"/>
        <c:numFmt formatCode="General" sourceLinked="0"/>
        <c:majorTickMark val="none"/>
        <c:minorTickMark val="none"/>
        <c:tickLblPos val="nextTo"/>
        <c:spPr>
          <a:ln w="2540"/>
        </c:spPr>
        <c:crossAx val="219544576"/>
        <c:crosses val="autoZero"/>
        <c:auto val="1"/>
        <c:lblAlgn val="ctr"/>
        <c:lblOffset val="50"/>
        <c:noMultiLvlLbl val="0"/>
      </c:catAx>
      <c:valAx>
        <c:axId val="219544576"/>
        <c:scaling>
          <c:orientation val="minMax"/>
          <c:max val="21000"/>
        </c:scaling>
        <c:delete val="0"/>
        <c:axPos val="l"/>
        <c:majorGridlines>
          <c:spPr>
            <a:ln w="2540"/>
          </c:spPr>
        </c:majorGridlines>
        <c:title>
          <c:tx>
            <c:rich>
              <a:bodyPr/>
              <a:lstStyle/>
              <a:p>
                <a:pPr>
                  <a:defRPr/>
                </a:pPr>
                <a:r>
                  <a:rPr lang="en-US"/>
                  <a:t>Megatonnes</a:t>
                </a:r>
              </a:p>
            </c:rich>
          </c:tx>
          <c:layout>
            <c:manualLayout>
              <c:xMode val="edge"/>
              <c:yMode val="edge"/>
              <c:x val="0.14021289537712894"/>
              <c:y val="0.21867309941520469"/>
            </c:manualLayout>
          </c:layout>
          <c:overlay val="0"/>
        </c:title>
        <c:numFmt formatCode="#,##0" sourceLinked="0"/>
        <c:majorTickMark val="out"/>
        <c:minorTickMark val="none"/>
        <c:tickLblPos val="nextTo"/>
        <c:spPr>
          <a:ln>
            <a:noFill/>
          </a:ln>
        </c:spPr>
        <c:crossAx val="219543040"/>
        <c:crosses val="autoZero"/>
        <c:crossBetween val="between"/>
        <c:majorUnit val="3000"/>
        <c:dispUnits>
          <c:builtInUnit val="thousands"/>
        </c:dispUnits>
      </c:valAx>
      <c:valAx>
        <c:axId val="219686016"/>
        <c:scaling>
          <c:orientation val="minMax"/>
          <c:min val="0"/>
        </c:scaling>
        <c:delete val="0"/>
        <c:axPos val="r"/>
        <c:title>
          <c:tx>
            <c:rich>
              <a:bodyPr/>
              <a:lstStyle/>
              <a:p>
                <a:pPr>
                  <a:defRPr/>
                </a:pPr>
                <a:r>
                  <a:rPr lang="en-US"/>
                  <a:t>Kg per capita</a:t>
                </a:r>
              </a:p>
            </c:rich>
          </c:tx>
          <c:layout>
            <c:manualLayout>
              <c:xMode val="edge"/>
              <c:yMode val="edge"/>
              <c:x val="0.9472445255474452"/>
              <c:y val="0.19316783625730993"/>
            </c:manualLayout>
          </c:layout>
          <c:overlay val="0"/>
        </c:title>
        <c:numFmt formatCode="#,##0" sourceLinked="0"/>
        <c:majorTickMark val="out"/>
        <c:minorTickMark val="none"/>
        <c:tickLblPos val="nextTo"/>
        <c:spPr>
          <a:ln>
            <a:noFill/>
          </a:ln>
        </c:spPr>
        <c:crossAx val="219687936"/>
        <c:crosses val="max"/>
        <c:crossBetween val="between"/>
        <c:majorUnit val="400"/>
      </c:valAx>
      <c:catAx>
        <c:axId val="219687936"/>
        <c:scaling>
          <c:orientation val="minMax"/>
        </c:scaling>
        <c:delete val="1"/>
        <c:axPos val="b"/>
        <c:majorTickMark val="out"/>
        <c:minorTickMark val="none"/>
        <c:tickLblPos val="nextTo"/>
        <c:crossAx val="219686016"/>
        <c:crosses val="autoZero"/>
        <c:auto val="1"/>
        <c:lblAlgn val="ctr"/>
        <c:lblOffset val="100"/>
        <c:noMultiLvlLbl val="0"/>
      </c:catAx>
    </c:plotArea>
    <c:legend>
      <c:legendPos val="t"/>
      <c:legendEntry>
        <c:idx val="3"/>
        <c:delete val="1"/>
      </c:legendEntry>
      <c:legendEntry>
        <c:idx val="4"/>
        <c:delete val="1"/>
      </c:legendEntry>
      <c:legendEntry>
        <c:idx val="5"/>
        <c:delete val="1"/>
      </c:legendEntry>
      <c:legendEntry>
        <c:idx val="6"/>
        <c:delete val="1"/>
      </c:legendEntry>
      <c:layout>
        <c:manualLayout>
          <c:xMode val="edge"/>
          <c:yMode val="edge"/>
          <c:x val="0.30593876723438768"/>
          <c:y val="1.2923391812865496E-2"/>
          <c:w val="0.50702679538284368"/>
          <c:h val="6.0088620727098134E-2"/>
        </c:manualLayout>
      </c:layout>
      <c:overlay val="1"/>
    </c:legend>
    <c:plotVisOnly val="1"/>
    <c:dispBlanksAs val="gap"/>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52652743984861"/>
          <c:y val="9.4208947885939032E-2"/>
          <c:w val="0.65039098404974316"/>
          <c:h val="0.53689445208096365"/>
        </c:manualLayout>
      </c:layout>
      <c:areaChart>
        <c:grouping val="stacked"/>
        <c:varyColors val="0"/>
        <c:ser>
          <c:idx val="0"/>
          <c:order val="0"/>
          <c:tx>
            <c:strRef>
              <c:f>'Trends and nat. data'!$C$118</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data'!$D$118:$L$118</c:f>
              <c:numCache>
                <c:formatCode>#,##0</c:formatCode>
                <c:ptCount val="9"/>
                <c:pt idx="0">
                  <c:v>29.273882570315926</c:v>
                </c:pt>
                <c:pt idx="1">
                  <c:v>30.021675880681077</c:v>
                </c:pt>
                <c:pt idx="2">
                  <c:v>30.769469191046223</c:v>
                </c:pt>
                <c:pt idx="3">
                  <c:v>28.513815790001804</c:v>
                </c:pt>
                <c:pt idx="4">
                  <c:v>26.325719306071015</c:v>
                </c:pt>
                <c:pt idx="5">
                  <c:v>25.997553613567248</c:v>
                </c:pt>
                <c:pt idx="6">
                  <c:v>25.669387921063485</c:v>
                </c:pt>
                <c:pt idx="7">
                  <c:v>25.341222228559708</c:v>
                </c:pt>
                <c:pt idx="8">
                  <c:v>26.789670052573729</c:v>
                </c:pt>
              </c:numCache>
            </c:numRef>
          </c:val>
          <c:extLst>
            <c:ext xmlns:c16="http://schemas.microsoft.com/office/drawing/2014/chart" uri="{C3380CC4-5D6E-409C-BE32-E72D297353CC}">
              <c16:uniqueId val="{00000000-E6E4-4349-A307-7DF6370E7006}"/>
            </c:ext>
          </c:extLst>
        </c:ser>
        <c:ser>
          <c:idx val="1"/>
          <c:order val="1"/>
          <c:tx>
            <c:strRef>
              <c:f>'Trends and nat. data'!$C$119</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data'!$D$119:$L$119</c:f>
              <c:numCache>
                <c:formatCode>#,##0</c:formatCode>
                <c:ptCount val="9"/>
                <c:pt idx="0">
                  <c:v>26.757674395055759</c:v>
                </c:pt>
                <c:pt idx="1">
                  <c:v>27.722179657621233</c:v>
                </c:pt>
                <c:pt idx="2">
                  <c:v>28.686684920186721</c:v>
                </c:pt>
                <c:pt idx="3">
                  <c:v>30.769912488663927</c:v>
                </c:pt>
                <c:pt idx="4">
                  <c:v>33.007714769962675</c:v>
                </c:pt>
                <c:pt idx="5">
                  <c:v>33.689069478579817</c:v>
                </c:pt>
                <c:pt idx="6">
                  <c:v>34.370424187196967</c:v>
                </c:pt>
                <c:pt idx="7">
                  <c:v>35.05177889581411</c:v>
                </c:pt>
                <c:pt idx="8">
                  <c:v>34.770604924866653</c:v>
                </c:pt>
              </c:numCache>
            </c:numRef>
          </c:val>
          <c:extLst>
            <c:ext xmlns:c16="http://schemas.microsoft.com/office/drawing/2014/chart" uri="{C3380CC4-5D6E-409C-BE32-E72D297353CC}">
              <c16:uniqueId val="{00000001-E6E4-4349-A307-7DF6370E7006}"/>
            </c:ext>
          </c:extLst>
        </c:ser>
        <c:ser>
          <c:idx val="2"/>
          <c:order val="2"/>
          <c:tx>
            <c:strRef>
              <c:f>'Trends and nat. data'!$C$120</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data'!$D$120:$L$120</c:f>
              <c:numCache>
                <c:formatCode>#,##0.0</c:formatCode>
                <c:ptCount val="9"/>
                <c:pt idx="0">
                  <c:v>1.3680336551714096</c:v>
                </c:pt>
                <c:pt idx="1">
                  <c:v>1.4228168500479004</c:v>
                </c:pt>
                <c:pt idx="2">
                  <c:v>1.4776000449243909</c:v>
                </c:pt>
                <c:pt idx="3">
                  <c:v>1.7193217859195711</c:v>
                </c:pt>
                <c:pt idx="4">
                  <c:v>1.9661091943209188</c:v>
                </c:pt>
                <c:pt idx="5">
                  <c:v>2.2734567438777846</c:v>
                </c:pt>
                <c:pt idx="6">
                  <c:v>2.5808042934346513</c:v>
                </c:pt>
                <c:pt idx="7">
                  <c:v>2.8881518429915176</c:v>
                </c:pt>
                <c:pt idx="8">
                  <c:v>2.3112814754915849</c:v>
                </c:pt>
              </c:numCache>
            </c:numRef>
          </c:val>
          <c:extLst>
            <c:ext xmlns:c16="http://schemas.microsoft.com/office/drawing/2014/chart" uri="{C3380CC4-5D6E-409C-BE32-E72D297353CC}">
              <c16:uniqueId val="{00000002-E6E4-4349-A307-7DF6370E7006}"/>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data'!$Q$121:$Y$121</c:f>
              <c:numCache>
                <c:formatCode>#,##0</c:formatCode>
                <c:ptCount val="9"/>
                <c:pt idx="0">
                  <c:v>2782.6668202740298</c:v>
                </c:pt>
                <c:pt idx="1">
                  <c:v>2815.2993784319297</c:v>
                </c:pt>
                <c:pt idx="2">
                  <c:v>2837.3448575376656</c:v>
                </c:pt>
                <c:pt idx="3">
                  <c:v>2789.9067895108824</c:v>
                </c:pt>
                <c:pt idx="4">
                  <c:v>2764.6692513294129</c:v>
                </c:pt>
                <c:pt idx="5">
                  <c:v>2751.2992872485461</c:v>
                </c:pt>
                <c:pt idx="6">
                  <c:v>2732.0434655763338</c:v>
                </c:pt>
                <c:pt idx="7">
                  <c:v>2717.5926418897566</c:v>
                </c:pt>
                <c:pt idx="8">
                  <c:v>2704.7938498430062</c:v>
                </c:pt>
              </c:numCache>
            </c:numRef>
          </c:val>
          <c:smooth val="0"/>
          <c:extLst>
            <c:ext xmlns:c16="http://schemas.microsoft.com/office/drawing/2014/chart" uri="{C3380CC4-5D6E-409C-BE32-E72D297353CC}">
              <c16:uniqueId val="{00000003-E6E4-4349-A307-7DF6370E7006}"/>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71"/>
          <c:min val="0"/>
        </c:scaling>
        <c:delete val="0"/>
        <c:axPos val="l"/>
        <c:majorGridlines>
          <c:spPr>
            <a:ln w="2540"/>
          </c:spPr>
        </c:majorGridlines>
        <c:title>
          <c:tx>
            <c:rich>
              <a:bodyPr/>
              <a:lstStyle/>
              <a:p>
                <a:pPr>
                  <a:defRPr/>
                </a:pPr>
                <a:r>
                  <a:rPr lang="en-US"/>
                  <a:t>Megatonnes (Mt)</a:t>
                </a:r>
              </a:p>
            </c:rich>
          </c:tx>
          <c:layout>
            <c:manualLayout>
              <c:xMode val="edge"/>
              <c:yMode val="edge"/>
              <c:x val="0.13034266017842661"/>
              <c:y val="0.22138003933136677"/>
            </c:manualLayout>
          </c:layout>
          <c:overlay val="0"/>
        </c:title>
        <c:numFmt formatCode="#,##0" sourceLinked="0"/>
        <c:majorTickMark val="out"/>
        <c:minorTickMark val="none"/>
        <c:tickLblPos val="nextTo"/>
        <c:spPr>
          <a:ln>
            <a:noFill/>
          </a:ln>
        </c:spPr>
        <c:crossAx val="228055680"/>
        <c:crosses val="autoZero"/>
        <c:crossBetween val="between"/>
        <c:majorUnit val="10"/>
      </c:valAx>
      <c:valAx>
        <c:axId val="228199424"/>
        <c:scaling>
          <c:orientation val="minMax"/>
          <c:max val="2840"/>
          <c:min val="0"/>
        </c:scaling>
        <c:delete val="0"/>
        <c:axPos val="r"/>
        <c:title>
          <c:tx>
            <c:rich>
              <a:bodyPr/>
              <a:lstStyle/>
              <a:p>
                <a:pPr>
                  <a:defRPr/>
                </a:pPr>
                <a:r>
                  <a:rPr lang="en-AU"/>
                  <a:t>Generation (kg per capita)</a:t>
                </a:r>
              </a:p>
            </c:rich>
          </c:tx>
          <c:layout>
            <c:manualLayout>
              <c:xMode val="edge"/>
              <c:yMode val="edge"/>
              <c:x val="0.94892639902676401"/>
              <c:y val="0.15373525073746314"/>
            </c:manualLayout>
          </c:layout>
          <c:overlay val="0"/>
        </c:title>
        <c:numFmt formatCode="#,##0;\-#,##0;;" sourceLinked="0"/>
        <c:majorTickMark val="out"/>
        <c:minorTickMark val="none"/>
        <c:tickLblPos val="nextTo"/>
        <c:spPr>
          <a:ln>
            <a:noFill/>
          </a:ln>
        </c:spPr>
        <c:crossAx val="228209792"/>
        <c:crosses val="max"/>
        <c:crossBetween val="between"/>
        <c:majorUnit val="400"/>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2.618427277642606E-2"/>
          <c:y val="1.2129547689282205E-2"/>
          <c:w val="0.95788387096774197"/>
          <c:h val="6.0380251281370742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74327199823948242"/>
          <c:h val="0.12808528285643614"/>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data'!$D$118:$L$118,'Trends and nat. data'!$N$118)</c:f>
              <c:numCache>
                <c:formatCode>#,##0</c:formatCode>
                <c:ptCount val="10"/>
                <c:pt idx="0">
                  <c:v>29.273882570315926</c:v>
                </c:pt>
                <c:pt idx="1">
                  <c:v>30.021675880681077</c:v>
                </c:pt>
                <c:pt idx="2">
                  <c:v>30.769469191046223</c:v>
                </c:pt>
                <c:pt idx="3">
                  <c:v>28.513815790001804</c:v>
                </c:pt>
                <c:pt idx="4">
                  <c:v>26.325719306071015</c:v>
                </c:pt>
                <c:pt idx="5">
                  <c:v>25.997553613567248</c:v>
                </c:pt>
                <c:pt idx="6">
                  <c:v>25.669387921063485</c:v>
                </c:pt>
                <c:pt idx="7">
                  <c:v>25.341222228559708</c:v>
                </c:pt>
                <c:pt idx="8">
                  <c:v>26.789670052573729</c:v>
                </c:pt>
                <c:pt idx="9" formatCode="0.0%">
                  <c:v>-9.8048791157131499E-3</c:v>
                </c:pt>
              </c:numCache>
            </c:numRef>
          </c:val>
          <c:extLst>
            <c:ext xmlns:c16="http://schemas.microsoft.com/office/drawing/2014/chart" uri="{C3380CC4-5D6E-409C-BE32-E72D297353CC}">
              <c16:uniqueId val="{00000000-F8AA-4BEF-AC4C-F0BBDD5076AF}"/>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data'!$D$119:$L$119,'Trends and nat. data'!$N$119)</c:f>
              <c:numCache>
                <c:formatCode>#,##0</c:formatCode>
                <c:ptCount val="10"/>
                <c:pt idx="0">
                  <c:v>26.757674395055759</c:v>
                </c:pt>
                <c:pt idx="1">
                  <c:v>27.722179657621233</c:v>
                </c:pt>
                <c:pt idx="2">
                  <c:v>28.686684920186721</c:v>
                </c:pt>
                <c:pt idx="3">
                  <c:v>30.769912488663927</c:v>
                </c:pt>
                <c:pt idx="4">
                  <c:v>33.007714769962675</c:v>
                </c:pt>
                <c:pt idx="5">
                  <c:v>33.689069478579817</c:v>
                </c:pt>
                <c:pt idx="6">
                  <c:v>34.370424187196967</c:v>
                </c:pt>
                <c:pt idx="7">
                  <c:v>35.05177889581411</c:v>
                </c:pt>
                <c:pt idx="8">
                  <c:v>34.770604924866653</c:v>
                </c:pt>
                <c:pt idx="9" formatCode="0.0%">
                  <c:v>2.9533378180730097E-2</c:v>
                </c:pt>
              </c:numCache>
            </c:numRef>
          </c:val>
          <c:extLst>
            <c:ext xmlns:c16="http://schemas.microsoft.com/office/drawing/2014/chart" uri="{C3380CC4-5D6E-409C-BE32-E72D297353CC}">
              <c16:uniqueId val="{00000001-F8AA-4BEF-AC4C-F0BBDD5076AF}"/>
            </c:ext>
          </c:extLst>
        </c:ser>
        <c:ser>
          <c:idx val="2"/>
          <c:order val="2"/>
          <c:tx>
            <c:strRef>
              <c:f>'Trends and nat. data'!$B$242</c:f>
              <c:strCache>
                <c:ptCount val="1"/>
                <c:pt idx="0">
                  <c:v>Energy recovery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data'!$D$120:$L$120,'Trends and nat. data'!$N$120)</c:f>
              <c:numCache>
                <c:formatCode>#,##0.0</c:formatCode>
                <c:ptCount val="10"/>
                <c:pt idx="0">
                  <c:v>1.3680336551714096</c:v>
                </c:pt>
                <c:pt idx="1">
                  <c:v>1.4228168500479004</c:v>
                </c:pt>
                <c:pt idx="2">
                  <c:v>1.4776000449243909</c:v>
                </c:pt>
                <c:pt idx="3">
                  <c:v>1.7193217859195711</c:v>
                </c:pt>
                <c:pt idx="4">
                  <c:v>1.9661091943209188</c:v>
                </c:pt>
                <c:pt idx="5">
                  <c:v>2.2734567438777846</c:v>
                </c:pt>
                <c:pt idx="6">
                  <c:v>2.5808042934346513</c:v>
                </c:pt>
                <c:pt idx="7">
                  <c:v>2.8881518429915176</c:v>
                </c:pt>
                <c:pt idx="8">
                  <c:v>2.3112814754915849</c:v>
                </c:pt>
                <c:pt idx="9" formatCode="0.0%">
                  <c:v>6.000088666259118E-2</c:v>
                </c:pt>
              </c:numCache>
            </c:numRef>
          </c:val>
          <c:extLst>
            <c:ext xmlns:c16="http://schemas.microsoft.com/office/drawing/2014/chart" uri="{C3380CC4-5D6E-409C-BE32-E72D297353CC}">
              <c16:uniqueId val="{00000002-F8AA-4BEF-AC4C-F0BBDD5076AF}"/>
            </c:ext>
          </c:extLst>
        </c:ser>
        <c:ser>
          <c:idx val="4"/>
          <c:order val="3"/>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data'!$D$121:$L$121,'Trends and nat. data'!$N$121)</c:f>
              <c:numCache>
                <c:formatCode>#,##0</c:formatCode>
                <c:ptCount val="10"/>
                <c:pt idx="0">
                  <c:v>57.399590620543101</c:v>
                </c:pt>
                <c:pt idx="1">
                  <c:v>59.166672388350221</c:v>
                </c:pt>
                <c:pt idx="2">
                  <c:v>60.933754156157335</c:v>
                </c:pt>
                <c:pt idx="3">
                  <c:v>61.003050064585302</c:v>
                </c:pt>
                <c:pt idx="4">
                  <c:v>61.299543270354611</c:v>
                </c:pt>
                <c:pt idx="5">
                  <c:v>61.96007983602486</c:v>
                </c:pt>
                <c:pt idx="6">
                  <c:v>62.620616401695102</c:v>
                </c:pt>
                <c:pt idx="7">
                  <c:v>63.281152967365337</c:v>
                </c:pt>
                <c:pt idx="8">
                  <c:v>63.871556452931969</c:v>
                </c:pt>
                <c:pt idx="9" formatCode="0.0%">
                  <c:v>1.1941511161344565E-2</c:v>
                </c:pt>
              </c:numCache>
            </c:numRef>
          </c:val>
          <c:extLst>
            <c:ext xmlns:c16="http://schemas.microsoft.com/office/drawing/2014/chart" uri="{C3380CC4-5D6E-409C-BE32-E72D297353CC}">
              <c16:uniqueId val="{00000003-F8AA-4BEF-AC4C-F0BBDD5076AF}"/>
            </c:ext>
          </c:extLst>
        </c:ser>
        <c:ser>
          <c:idx val="3"/>
          <c:order val="5"/>
          <c:tx>
            <c:strRef>
              <c:f>'Trends and nat. data'!$B$245</c:f>
              <c:strCache>
                <c:ptCount val="1"/>
                <c:pt idx="0">
                  <c:v>Generation (kg/cap)</c:v>
                </c:pt>
              </c:strCache>
            </c:strRef>
          </c:tx>
          <c:spPr>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data'!$Q$121:$Y$121,'Trends and nat. data'!$AA$121)</c:f>
              <c:numCache>
                <c:formatCode>#,##0</c:formatCode>
                <c:ptCount val="10"/>
                <c:pt idx="0">
                  <c:v>2782.6668202740298</c:v>
                </c:pt>
                <c:pt idx="1">
                  <c:v>2815.2993784319297</c:v>
                </c:pt>
                <c:pt idx="2">
                  <c:v>2837.3448575376656</c:v>
                </c:pt>
                <c:pt idx="3">
                  <c:v>2789.9067895108824</c:v>
                </c:pt>
                <c:pt idx="4">
                  <c:v>2764.6692513294129</c:v>
                </c:pt>
                <c:pt idx="5">
                  <c:v>2751.2992872485461</c:v>
                </c:pt>
                <c:pt idx="6">
                  <c:v>2732.0434655763338</c:v>
                </c:pt>
                <c:pt idx="7">
                  <c:v>2717.5926418897566</c:v>
                </c:pt>
                <c:pt idx="8">
                  <c:v>2704.7938498430062</c:v>
                </c:pt>
                <c:pt idx="9" formatCode="0.0%">
                  <c:v>-3.1488161727231123E-3</c:v>
                </c:pt>
              </c:numCache>
            </c:numRef>
          </c:val>
          <c:extLst>
            <c:ext xmlns:c16="http://schemas.microsoft.com/office/drawing/2014/chart" uri="{C3380CC4-5D6E-409C-BE32-E72D297353CC}">
              <c16:uniqueId val="{00000004-F8AA-4BEF-AC4C-F0BBDD5076AF}"/>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data'!$C$117</c:f>
              <c:strCache>
                <c:ptCount val="1"/>
                <c:pt idx="0">
                  <c:v>Recovery rate</c:v>
                </c:pt>
              </c:strCache>
            </c:strRef>
          </c:tx>
          <c:spPr>
            <a:ln w="28575">
              <a:noFill/>
            </a:ln>
          </c:spPr>
          <c:marker>
            <c:spPr>
              <a:noFill/>
              <a:ln>
                <a:noFill/>
              </a:ln>
            </c:spPr>
          </c:marker>
          <c:val>
            <c:numRef>
              <c:f>('Trends and nat. data'!$D$122:$L$122,'Trends and nat. data'!$N$122)</c:f>
              <c:numCache>
                <c:formatCode>0%</c:formatCode>
                <c:ptCount val="10"/>
                <c:pt idx="0">
                  <c:v>0.48999840845835374</c:v>
                </c:pt>
                <c:pt idx="1">
                  <c:v>0.49259144263464977</c:v>
                </c:pt>
                <c:pt idx="2">
                  <c:v>0.49503408058213366</c:v>
                </c:pt>
                <c:pt idx="3">
                  <c:v>0.53258376819169551</c:v>
                </c:pt>
                <c:pt idx="4">
                  <c:v>0.57053971528034975</c:v>
                </c:pt>
                <c:pt idx="5">
                  <c:v>0.58041445907802491</c:v>
                </c:pt>
                <c:pt idx="6">
                  <c:v>0.59008088076934628</c:v>
                </c:pt>
                <c:pt idx="7">
                  <c:v>0.59954550383068395</c:v>
                </c:pt>
                <c:pt idx="8">
                  <c:v>0.58056963787448179</c:v>
                </c:pt>
                <c:pt idx="9" formatCode="0.0%">
                  <c:v>1.9023983535076505E-2</c:v>
                </c:pt>
              </c:numCache>
            </c:numRef>
          </c:val>
          <c:smooth val="0"/>
          <c:extLst>
            <c:ext xmlns:c16="http://schemas.microsoft.com/office/drawing/2014/chart" uri="{C3380CC4-5D6E-409C-BE32-E72D297353CC}">
              <c16:uniqueId val="{00000005-F8AA-4BEF-AC4C-F0BBDD5076AF}"/>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403081914030819"/>
          <c:y val="9.6542982456140347E-2"/>
          <c:w val="0.66250811030008105"/>
          <c:h val="0.44436079099967524"/>
        </c:manualLayout>
      </c:layout>
      <c:barChart>
        <c:barDir val="col"/>
        <c:grouping val="stacked"/>
        <c:varyColors val="0"/>
        <c:ser>
          <c:idx val="0"/>
          <c:order val="0"/>
          <c:tx>
            <c:strRef>
              <c:f>'Trends and nat. data'!$C$40</c:f>
              <c:strCache>
                <c:ptCount val="1"/>
                <c:pt idx="0">
                  <c:v>Disposal</c:v>
                </c:pt>
              </c:strCache>
            </c:strRef>
          </c:tx>
          <c:spPr>
            <a:solidFill>
              <a:schemeClr val="accent3">
                <a:lumMod val="50000"/>
              </a:schemeClr>
            </a:solidFill>
          </c:spPr>
          <c:invertIfNegative val="0"/>
          <c:cat>
            <c:strRef>
              <c:f>'Trends and nat. data'!$P$5:$R$5</c:f>
              <c:strCache>
                <c:ptCount val="3"/>
                <c:pt idx="0">
                  <c:v>Total incl. fly ash &amp; hazwaste</c:v>
                </c:pt>
                <c:pt idx="1">
                  <c:v>Total excl. fly ash</c:v>
                </c:pt>
                <c:pt idx="2">
                  <c:v>Total excl. fly ash &amp; hazwaste</c:v>
                </c:pt>
              </c:strCache>
            </c:strRef>
          </c:cat>
          <c:val>
            <c:numRef>
              <c:f>'Trends and nat. data'!$H$40:$J$40</c:f>
              <c:numCache>
                <c:formatCode>#,##0</c:formatCode>
                <c:ptCount val="3"/>
                <c:pt idx="0">
                  <c:v>26789.670052573729</c:v>
                </c:pt>
                <c:pt idx="1">
                  <c:v>20851.354552573728</c:v>
                </c:pt>
                <c:pt idx="2">
                  <c:v>17812.443999407529</c:v>
                </c:pt>
              </c:numCache>
            </c:numRef>
          </c:val>
          <c:extLst>
            <c:ext xmlns:c16="http://schemas.microsoft.com/office/drawing/2014/chart" uri="{C3380CC4-5D6E-409C-BE32-E72D297353CC}">
              <c16:uniqueId val="{00000000-2134-42E6-814B-2B52B8860A83}"/>
            </c:ext>
          </c:extLst>
        </c:ser>
        <c:ser>
          <c:idx val="1"/>
          <c:order val="1"/>
          <c:tx>
            <c:strRef>
              <c:f>'Trends and nat. data'!$C$41</c:f>
              <c:strCache>
                <c:ptCount val="1"/>
                <c:pt idx="0">
                  <c:v>Recycling</c:v>
                </c:pt>
              </c:strCache>
            </c:strRef>
          </c:tx>
          <c:spPr>
            <a:solidFill>
              <a:srgbClr val="FFFF00"/>
            </a:solidFill>
          </c:spPr>
          <c:invertIfNegative val="0"/>
          <c:cat>
            <c:strRef>
              <c:f>'Trends and nat. data'!$P$5:$R$5</c:f>
              <c:strCache>
                <c:ptCount val="3"/>
                <c:pt idx="0">
                  <c:v>Total incl. fly ash &amp; hazwaste</c:v>
                </c:pt>
                <c:pt idx="1">
                  <c:v>Total excl. fly ash</c:v>
                </c:pt>
                <c:pt idx="2">
                  <c:v>Total excl. fly ash &amp; hazwaste</c:v>
                </c:pt>
              </c:strCache>
            </c:strRef>
          </c:cat>
          <c:val>
            <c:numRef>
              <c:f>'Trends and nat. data'!$H$41:$J$41</c:f>
              <c:numCache>
                <c:formatCode>#,##0</c:formatCode>
                <c:ptCount val="3"/>
                <c:pt idx="0">
                  <c:v>34770.604924866653</c:v>
                </c:pt>
                <c:pt idx="1">
                  <c:v>29855.358424866659</c:v>
                </c:pt>
                <c:pt idx="2">
                  <c:v>26003.038885589624</c:v>
                </c:pt>
              </c:numCache>
            </c:numRef>
          </c:val>
          <c:extLst>
            <c:ext xmlns:c16="http://schemas.microsoft.com/office/drawing/2014/chart" uri="{C3380CC4-5D6E-409C-BE32-E72D297353CC}">
              <c16:uniqueId val="{00000001-2134-42E6-814B-2B52B8860A83}"/>
            </c:ext>
          </c:extLst>
        </c:ser>
        <c:ser>
          <c:idx val="2"/>
          <c:order val="2"/>
          <c:tx>
            <c:strRef>
              <c:f>'Trends and nat. data'!$C$42</c:f>
              <c:strCache>
                <c:ptCount val="1"/>
                <c:pt idx="0">
                  <c:v>Energy recovery</c:v>
                </c:pt>
              </c:strCache>
            </c:strRef>
          </c:tx>
          <c:spPr>
            <a:solidFill>
              <a:schemeClr val="accent6">
                <a:lumMod val="75000"/>
              </a:schemeClr>
            </a:solidFill>
          </c:spPr>
          <c:invertIfNegative val="0"/>
          <c:cat>
            <c:strRef>
              <c:f>'Trends and nat. data'!$P$5:$R$5</c:f>
              <c:strCache>
                <c:ptCount val="3"/>
                <c:pt idx="0">
                  <c:v>Total incl. fly ash &amp; hazwaste</c:v>
                </c:pt>
                <c:pt idx="1">
                  <c:v>Total excl. fly ash</c:v>
                </c:pt>
                <c:pt idx="2">
                  <c:v>Total excl. fly ash &amp; hazwaste</c:v>
                </c:pt>
              </c:strCache>
            </c:strRef>
          </c:cat>
          <c:val>
            <c:numRef>
              <c:f>'Trends and nat. data'!$H$42:$J$42</c:f>
              <c:numCache>
                <c:formatCode>#,##0</c:formatCode>
                <c:ptCount val="3"/>
                <c:pt idx="0">
                  <c:v>2311.2814754915848</c:v>
                </c:pt>
                <c:pt idx="1">
                  <c:v>2311.2814754915848</c:v>
                </c:pt>
                <c:pt idx="2">
                  <c:v>2311.2814754915507</c:v>
                </c:pt>
              </c:numCache>
            </c:numRef>
          </c:val>
          <c:extLst>
            <c:ext xmlns:c16="http://schemas.microsoft.com/office/drawing/2014/chart" uri="{C3380CC4-5D6E-409C-BE32-E72D297353CC}">
              <c16:uniqueId val="{00000002-2134-42E6-814B-2B52B8860A83}"/>
            </c:ext>
          </c:extLst>
        </c:ser>
        <c:ser>
          <c:idx val="3"/>
          <c:order val="3"/>
          <c:tx>
            <c:strRef>
              <c:f>'Trends and nat. data'!$C$44</c:f>
              <c:strCache>
                <c:ptCount val="1"/>
                <c:pt idx="0">
                  <c:v>Recovery rate</c:v>
                </c:pt>
              </c:strCache>
            </c:strRef>
          </c:tx>
          <c:spPr>
            <a:noFill/>
            <a:ln>
              <a:noFill/>
            </a:ln>
          </c:spPr>
          <c:invertIfNegative val="0"/>
          <c:dLbls>
            <c:dLbl>
              <c:idx val="0"/>
              <c:layout>
                <c:manualLayout>
                  <c:x val="2.1353744255204108E-3"/>
                  <c:y val="-1.7310526315789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34-42E6-814B-2B52B8860A83}"/>
                </c:ext>
              </c:extLst>
            </c:dLbl>
            <c:dLbl>
              <c:idx val="1"/>
              <c:layout>
                <c:manualLayout>
                  <c:x val="-7.8680266171218451E-17"/>
                  <c:y val="-1.9268518518518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34-42E6-814B-2B52B8860A83}"/>
                </c:ext>
              </c:extLst>
            </c:dLbl>
            <c:dLbl>
              <c:idx val="2"/>
              <c:layout>
                <c:manualLayout>
                  <c:x val="-1.573605323424369E-16"/>
                  <c:y val="-4.3117283950617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34-42E6-814B-2B52B8860A83}"/>
                </c:ext>
              </c:extLst>
            </c:dLbl>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'Trends and nat. data'!$P$5:$R$5</c:f>
              <c:strCache>
                <c:ptCount val="3"/>
                <c:pt idx="0">
                  <c:v>Total incl. fly ash &amp; hazwaste</c:v>
                </c:pt>
                <c:pt idx="1">
                  <c:v>Total excl. fly ash</c:v>
                </c:pt>
                <c:pt idx="2">
                  <c:v>Total excl. fly ash &amp; hazwaste</c:v>
                </c:pt>
              </c:strCache>
            </c:strRef>
          </c:cat>
          <c:val>
            <c:numRef>
              <c:f>('Trends and nat. data'!$W$10,'Trends and nat. data'!$Y$10,'Trends and nat. data'!$AA$10)</c:f>
              <c:numCache>
                <c:formatCode>0%</c:formatCode>
                <c:ptCount val="3"/>
                <c:pt idx="0">
                  <c:v>580.56963787448194</c:v>
                </c:pt>
                <c:pt idx="1">
                  <c:v>606.71174442320648</c:v>
                </c:pt>
                <c:pt idx="2">
                  <c:v>613.83712370977992</c:v>
                </c:pt>
              </c:numCache>
            </c:numRef>
          </c:val>
          <c:extLst>
            <c:ext xmlns:c16="http://schemas.microsoft.com/office/drawing/2014/chart" uri="{C3380CC4-5D6E-409C-BE32-E72D297353CC}">
              <c16:uniqueId val="{00000006-2134-42E6-814B-2B52B8860A83}"/>
            </c:ext>
          </c:extLst>
        </c:ser>
        <c:dLbls>
          <c:showLegendKey val="0"/>
          <c:showVal val="0"/>
          <c:showCatName val="0"/>
          <c:showSerName val="0"/>
          <c:showPercent val="0"/>
          <c:showBubbleSize val="0"/>
        </c:dLbls>
        <c:gapWidth val="150"/>
        <c:overlap val="100"/>
        <c:axId val="220173440"/>
        <c:axId val="220174976"/>
      </c:barChart>
      <c:lineChart>
        <c:grouping val="stacked"/>
        <c:varyColors val="0"/>
        <c:ser>
          <c:idx val="4"/>
          <c:order val="4"/>
          <c:tx>
            <c:v>Disposal per cap</c:v>
          </c:tx>
          <c:spPr>
            <a:ln>
              <a:noFill/>
            </a:ln>
          </c:spPr>
          <c:marker>
            <c:symbol val="none"/>
          </c:marker>
          <c:val>
            <c:numRef>
              <c:f>'Trends and nat. data'!$P$40:$Q$40</c:f>
              <c:numCache>
                <c:formatCode>#,##0</c:formatCode>
                <c:ptCount val="2"/>
                <c:pt idx="0">
                  <c:v>1134.4726639145265</c:v>
                </c:pt>
                <c:pt idx="1">
                  <c:v>883.00048858615935</c:v>
                </c:pt>
              </c:numCache>
            </c:numRef>
          </c:val>
          <c:smooth val="0"/>
          <c:extLst>
            <c:ext xmlns:c16="http://schemas.microsoft.com/office/drawing/2014/chart" uri="{C3380CC4-5D6E-409C-BE32-E72D297353CC}">
              <c16:uniqueId val="{00000007-2134-42E6-814B-2B52B8860A83}"/>
            </c:ext>
          </c:extLst>
        </c:ser>
        <c:ser>
          <c:idx val="5"/>
          <c:order val="5"/>
          <c:tx>
            <c:v>Recycling per cap</c:v>
          </c:tx>
          <c:spPr>
            <a:ln>
              <a:noFill/>
            </a:ln>
          </c:spPr>
          <c:marker>
            <c:symbol val="none"/>
          </c:marker>
          <c:val>
            <c:numRef>
              <c:f>'Trends and nat. data'!$P$41:$Q$41</c:f>
              <c:numCache>
                <c:formatCode>#,##0</c:formatCode>
                <c:ptCount val="2"/>
                <c:pt idx="0">
                  <c:v>1472.4444428625336</c:v>
                </c:pt>
                <c:pt idx="1">
                  <c:v>1264.2965716976989</c:v>
                </c:pt>
              </c:numCache>
            </c:numRef>
          </c:val>
          <c:smooth val="0"/>
          <c:extLst>
            <c:ext xmlns:c16="http://schemas.microsoft.com/office/drawing/2014/chart" uri="{C3380CC4-5D6E-409C-BE32-E72D297353CC}">
              <c16:uniqueId val="{00000008-2134-42E6-814B-2B52B8860A83}"/>
            </c:ext>
          </c:extLst>
        </c:ser>
        <c:ser>
          <c:idx val="6"/>
          <c:order val="6"/>
          <c:tx>
            <c:v>Energy rec per cap</c:v>
          </c:tx>
          <c:spPr>
            <a:ln>
              <a:noFill/>
            </a:ln>
          </c:spPr>
          <c:marker>
            <c:symbol val="none"/>
          </c:marker>
          <c:val>
            <c:numRef>
              <c:f>'Trends and nat. data'!$P$42:$Q$42</c:f>
              <c:numCache>
                <c:formatCode>#,##0</c:formatCode>
                <c:ptCount val="2"/>
                <c:pt idx="0">
                  <c:v>97.876743065946314</c:v>
                </c:pt>
                <c:pt idx="1">
                  <c:v>97.876743065946314</c:v>
                </c:pt>
              </c:numCache>
            </c:numRef>
          </c:val>
          <c:smooth val="0"/>
          <c:extLst>
            <c:ext xmlns:c16="http://schemas.microsoft.com/office/drawing/2014/chart" uri="{C3380CC4-5D6E-409C-BE32-E72D297353CC}">
              <c16:uniqueId val="{00000009-2134-42E6-814B-2B52B8860A83}"/>
            </c:ext>
          </c:extLst>
        </c:ser>
        <c:dLbls>
          <c:showLegendKey val="0"/>
          <c:showVal val="0"/>
          <c:showCatName val="0"/>
          <c:showSerName val="0"/>
          <c:showPercent val="0"/>
          <c:showBubbleSize val="0"/>
        </c:dLbls>
        <c:marker val="1"/>
        <c:smooth val="0"/>
        <c:axId val="573573064"/>
        <c:axId val="573578640"/>
      </c:lineChart>
      <c:catAx>
        <c:axId val="220173440"/>
        <c:scaling>
          <c:orientation val="minMax"/>
        </c:scaling>
        <c:delete val="0"/>
        <c:axPos val="b"/>
        <c:numFmt formatCode="General" sourceLinked="0"/>
        <c:majorTickMark val="none"/>
        <c:minorTickMark val="none"/>
        <c:tickLblPos val="nextTo"/>
        <c:spPr>
          <a:ln w="2540"/>
        </c:spPr>
        <c:crossAx val="220174976"/>
        <c:crosses val="autoZero"/>
        <c:auto val="1"/>
        <c:lblAlgn val="ctr"/>
        <c:lblOffset val="50"/>
        <c:noMultiLvlLbl val="0"/>
      </c:catAx>
      <c:valAx>
        <c:axId val="220174976"/>
        <c:scaling>
          <c:orientation val="minMax"/>
        </c:scaling>
        <c:delete val="0"/>
        <c:axPos val="l"/>
        <c:majorGridlines>
          <c:spPr>
            <a:ln w="2540"/>
          </c:spPr>
        </c:majorGridlines>
        <c:title>
          <c:tx>
            <c:rich>
              <a:bodyPr/>
              <a:lstStyle/>
              <a:p>
                <a:pPr>
                  <a:defRPr/>
                </a:pPr>
                <a:r>
                  <a:rPr lang="en-AU"/>
                  <a:t>Megatonnes</a:t>
                </a:r>
              </a:p>
            </c:rich>
          </c:tx>
          <c:layout>
            <c:manualLayout>
              <c:xMode val="edge"/>
              <c:yMode val="edge"/>
              <c:x val="0.12084279535009462"/>
              <c:y val="0.1851859649122807"/>
            </c:manualLayout>
          </c:layout>
          <c:overlay val="0"/>
        </c:title>
        <c:numFmt formatCode="#,##0" sourceLinked="0"/>
        <c:majorTickMark val="out"/>
        <c:minorTickMark val="none"/>
        <c:tickLblPos val="nextTo"/>
        <c:spPr>
          <a:ln>
            <a:noFill/>
          </a:ln>
        </c:spPr>
        <c:crossAx val="220173440"/>
        <c:crosses val="autoZero"/>
        <c:crossBetween val="between"/>
        <c:dispUnits>
          <c:builtInUnit val="thousands"/>
        </c:dispUnits>
      </c:valAx>
      <c:valAx>
        <c:axId val="573578640"/>
        <c:scaling>
          <c:orientation val="minMax"/>
        </c:scaling>
        <c:delete val="0"/>
        <c:axPos val="r"/>
        <c:title>
          <c:tx>
            <c:rich>
              <a:bodyPr/>
              <a:lstStyle/>
              <a:p>
                <a:pPr>
                  <a:defRPr/>
                </a:pPr>
                <a:r>
                  <a:rPr lang="en-AU"/>
                  <a:t>Kg per capita</a:t>
                </a:r>
              </a:p>
            </c:rich>
          </c:tx>
          <c:layout>
            <c:manualLayout>
              <c:xMode val="edge"/>
              <c:yMode val="edge"/>
              <c:x val="0.9472043119762098"/>
              <c:y val="0.17422719298245615"/>
            </c:manualLayout>
          </c:layout>
          <c:overlay val="0"/>
        </c:title>
        <c:numFmt formatCode="#,##0" sourceLinked="1"/>
        <c:majorTickMark val="out"/>
        <c:minorTickMark val="none"/>
        <c:tickLblPos val="nextTo"/>
        <c:spPr>
          <a:ln>
            <a:noFill/>
          </a:ln>
        </c:spPr>
        <c:crossAx val="573573064"/>
        <c:crosses val="max"/>
        <c:crossBetween val="between"/>
        <c:majorUnit val="420"/>
      </c:valAx>
      <c:catAx>
        <c:axId val="573573064"/>
        <c:scaling>
          <c:orientation val="minMax"/>
        </c:scaling>
        <c:delete val="1"/>
        <c:axPos val="b"/>
        <c:majorTickMark val="out"/>
        <c:minorTickMark val="none"/>
        <c:tickLblPos val="nextTo"/>
        <c:crossAx val="573578640"/>
        <c:crosses val="autoZero"/>
        <c:auto val="1"/>
        <c:lblAlgn val="ctr"/>
        <c:lblOffset val="100"/>
        <c:noMultiLvlLbl val="0"/>
      </c:catAx>
    </c:plotArea>
    <c:legend>
      <c:legendPos val="t"/>
      <c:legendEntry>
        <c:idx val="3"/>
        <c:delete val="1"/>
      </c:legendEntry>
      <c:legendEntry>
        <c:idx val="4"/>
        <c:delete val="1"/>
      </c:legendEntry>
      <c:legendEntry>
        <c:idx val="5"/>
        <c:delete val="1"/>
      </c:legendEntry>
      <c:legendEntry>
        <c:idx val="6"/>
        <c:delete val="1"/>
      </c:legendEntry>
      <c:layout>
        <c:manualLayout>
          <c:xMode val="edge"/>
          <c:yMode val="edge"/>
          <c:x val="0.3239858585858586"/>
          <c:y val="1.5679012345679012E-2"/>
          <c:w val="0.43700656565656565"/>
          <c:h val="7.0880555555555558E-2"/>
        </c:manualLayout>
      </c:layout>
      <c:overlay val="0"/>
    </c:legend>
    <c:plotVisOnly val="1"/>
    <c:dispBlanksAs val="gap"/>
    <c:showDLblsOverMax val="0"/>
  </c:chart>
  <c:spPr>
    <a:ln>
      <a:noFill/>
    </a:ln>
  </c:spPr>
  <c:txPr>
    <a:bodyPr/>
    <a:lstStyle/>
    <a:p>
      <a:pPr>
        <a:defRPr sz="1000"/>
      </a:pPr>
      <a:endParaRPr lang="en-US"/>
    </a:p>
  </c:txPr>
  <c:printSettings>
    <c:headerFooter/>
    <c:pageMargins b="0.75000000000000799" l="0.70000000000000062" r="0.70000000000000062" t="0.75000000000000799"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56689784713192"/>
          <c:y val="0.19789721752645442"/>
          <c:w val="0.71772648461205024"/>
          <c:h val="0.17567814277013022"/>
        </c:manualLayout>
      </c:layout>
      <c:barChart>
        <c:barDir val="col"/>
        <c:grouping val="stacked"/>
        <c:varyColors val="0"/>
        <c:ser>
          <c:idx val="0"/>
          <c:order val="0"/>
          <c:tx>
            <c:strRef>
              <c:f>'Trends and nat. data'!$C$40</c:f>
              <c:strCache>
                <c:ptCount val="1"/>
                <c:pt idx="0">
                  <c:v>Disposal</c:v>
                </c:pt>
              </c:strCache>
            </c:strRef>
          </c:tx>
          <c:spPr>
            <a:noFill/>
          </c:spPr>
          <c:invertIfNegative val="0"/>
          <c:cat>
            <c:strRef>
              <c:f>'Trends and nat. data'!$W$9:$AB$9</c:f>
              <c:strCache>
                <c:ptCount val="6"/>
                <c:pt idx="0">
                  <c:v>Mega-tonnes</c:v>
                </c:pt>
                <c:pt idx="1">
                  <c:v>Kg per capita</c:v>
                </c:pt>
                <c:pt idx="2">
                  <c:v>Mega-tonnes</c:v>
                </c:pt>
                <c:pt idx="3">
                  <c:v>Kg per capita</c:v>
                </c:pt>
                <c:pt idx="4">
                  <c:v>Mega-tonnes</c:v>
                </c:pt>
                <c:pt idx="5">
                  <c:v>Kg per capita</c:v>
                </c:pt>
              </c:strCache>
            </c:strRef>
          </c:cat>
          <c:val>
            <c:numRef>
              <c:f>('Trends and nat. data'!$H$46,'Trends and nat. data'!$P$40,'Trends and nat. data'!$I$46,'Trends and nat. data'!$Q$40,'Trends and nat. data'!$J$46,'Trends and nat. data'!$R$40)</c:f>
              <c:numCache>
                <c:formatCode>#,##0</c:formatCode>
                <c:ptCount val="6"/>
                <c:pt idx="0">
                  <c:v>26.789670052573729</c:v>
                </c:pt>
                <c:pt idx="1">
                  <c:v>1134.4726639145265</c:v>
                </c:pt>
                <c:pt idx="2">
                  <c:v>20.851354552573728</c:v>
                </c:pt>
                <c:pt idx="3">
                  <c:v>883.00048858615935</c:v>
                </c:pt>
                <c:pt idx="4">
                  <c:v>17.812443999407527</c:v>
                </c:pt>
                <c:pt idx="5">
                  <c:v>754.31055161109714</c:v>
                </c:pt>
              </c:numCache>
            </c:numRef>
          </c:val>
          <c:extLst>
            <c:ext xmlns:c16="http://schemas.microsoft.com/office/drawing/2014/chart" uri="{C3380CC4-5D6E-409C-BE32-E72D297353CC}">
              <c16:uniqueId val="{00000000-DCA6-4485-A847-83E92C994839}"/>
            </c:ext>
          </c:extLst>
        </c:ser>
        <c:ser>
          <c:idx val="1"/>
          <c:order val="1"/>
          <c:tx>
            <c:strRef>
              <c:f>'Trends and nat. data'!$C$41</c:f>
              <c:strCache>
                <c:ptCount val="1"/>
                <c:pt idx="0">
                  <c:v>Recycling</c:v>
                </c:pt>
              </c:strCache>
            </c:strRef>
          </c:tx>
          <c:spPr>
            <a:noFill/>
          </c:spPr>
          <c:invertIfNegative val="0"/>
          <c:cat>
            <c:strRef>
              <c:f>'Trends and nat. data'!$W$9:$AB$9</c:f>
              <c:strCache>
                <c:ptCount val="6"/>
                <c:pt idx="0">
                  <c:v>Mega-tonnes</c:v>
                </c:pt>
                <c:pt idx="1">
                  <c:v>Kg per capita</c:v>
                </c:pt>
                <c:pt idx="2">
                  <c:v>Mega-tonnes</c:v>
                </c:pt>
                <c:pt idx="3">
                  <c:v>Kg per capita</c:v>
                </c:pt>
                <c:pt idx="4">
                  <c:v>Mega-tonnes</c:v>
                </c:pt>
                <c:pt idx="5">
                  <c:v>Kg per capita</c:v>
                </c:pt>
              </c:strCache>
            </c:strRef>
          </c:cat>
          <c:val>
            <c:numRef>
              <c:f>('Trends and nat. data'!$H$47,'Trends and nat. data'!$P$41,'Trends and nat. data'!$I$47,'Trends and nat. data'!$Q$41,'Trends and nat. data'!$J$47,'Trends and nat. data'!$R$41)</c:f>
              <c:numCache>
                <c:formatCode>#,##0</c:formatCode>
                <c:ptCount val="6"/>
                <c:pt idx="0">
                  <c:v>34.770604924866653</c:v>
                </c:pt>
                <c:pt idx="1">
                  <c:v>1472.4444428625336</c:v>
                </c:pt>
                <c:pt idx="2">
                  <c:v>29.855358424866658</c:v>
                </c:pt>
                <c:pt idx="3">
                  <c:v>1264.2965716976989</c:v>
                </c:pt>
                <c:pt idx="4">
                  <c:v>26.003038885589625</c:v>
                </c:pt>
                <c:pt idx="5">
                  <c:v>1101.1608853903667</c:v>
                </c:pt>
              </c:numCache>
            </c:numRef>
          </c:val>
          <c:extLst>
            <c:ext xmlns:c16="http://schemas.microsoft.com/office/drawing/2014/chart" uri="{C3380CC4-5D6E-409C-BE32-E72D297353CC}">
              <c16:uniqueId val="{00000001-DCA6-4485-A847-83E92C994839}"/>
            </c:ext>
          </c:extLst>
        </c:ser>
        <c:ser>
          <c:idx val="2"/>
          <c:order val="2"/>
          <c:tx>
            <c:strRef>
              <c:f>'Trends and nat. data'!$C$42</c:f>
              <c:strCache>
                <c:ptCount val="1"/>
                <c:pt idx="0">
                  <c:v>Energy recovery</c:v>
                </c:pt>
              </c:strCache>
            </c:strRef>
          </c:tx>
          <c:spPr>
            <a:noFill/>
          </c:spPr>
          <c:invertIfNegative val="0"/>
          <c:cat>
            <c:strRef>
              <c:f>'Trends and nat. data'!$W$9:$AB$9</c:f>
              <c:strCache>
                <c:ptCount val="6"/>
                <c:pt idx="0">
                  <c:v>Mega-tonnes</c:v>
                </c:pt>
                <c:pt idx="1">
                  <c:v>Kg per capita</c:v>
                </c:pt>
                <c:pt idx="2">
                  <c:v>Mega-tonnes</c:v>
                </c:pt>
                <c:pt idx="3">
                  <c:v>Kg per capita</c:v>
                </c:pt>
                <c:pt idx="4">
                  <c:v>Mega-tonnes</c:v>
                </c:pt>
                <c:pt idx="5">
                  <c:v>Kg per capita</c:v>
                </c:pt>
              </c:strCache>
            </c:strRef>
          </c:cat>
          <c:val>
            <c:numRef>
              <c:f>('Trends and nat. data'!$H$48,'Trends and nat. data'!$P$42,'Trends and nat. data'!$I$48,'Trends and nat. data'!$Q$42,'Trends and nat. data'!$J$48,'Trends and nat. data'!$R$42)</c:f>
              <c:numCache>
                <c:formatCode>#,##0</c:formatCode>
                <c:ptCount val="6"/>
                <c:pt idx="0" formatCode="#,##0.0">
                  <c:v>2.3112814754915849</c:v>
                </c:pt>
                <c:pt idx="1">
                  <c:v>97.876743065946314</c:v>
                </c:pt>
                <c:pt idx="2" formatCode="#,##0.0">
                  <c:v>2.3112814754915849</c:v>
                </c:pt>
                <c:pt idx="3">
                  <c:v>97.876743065946314</c:v>
                </c:pt>
                <c:pt idx="4" formatCode="#,##0.0">
                  <c:v>2.3112814754915507</c:v>
                </c:pt>
                <c:pt idx="5">
                  <c:v>97.876743065944879</c:v>
                </c:pt>
              </c:numCache>
            </c:numRef>
          </c:val>
          <c:extLst>
            <c:ext xmlns:c16="http://schemas.microsoft.com/office/drawing/2014/chart" uri="{C3380CC4-5D6E-409C-BE32-E72D297353CC}">
              <c16:uniqueId val="{00000002-DCA6-4485-A847-83E92C994839}"/>
            </c:ext>
          </c:extLst>
        </c:ser>
        <c:ser>
          <c:idx val="3"/>
          <c:order val="3"/>
          <c:tx>
            <c:strRef>
              <c:f>'Trends and nat. data'!$C$43</c:f>
              <c:strCache>
                <c:ptCount val="1"/>
                <c:pt idx="0">
                  <c:v>Generation</c:v>
                </c:pt>
              </c:strCache>
            </c:strRef>
          </c:tx>
          <c:spPr>
            <a:noFill/>
          </c:spPr>
          <c:invertIfNegative val="0"/>
          <c:cat>
            <c:strRef>
              <c:f>'Trends and nat. data'!$W$9:$AB$9</c:f>
              <c:strCache>
                <c:ptCount val="6"/>
                <c:pt idx="0">
                  <c:v>Mega-tonnes</c:v>
                </c:pt>
                <c:pt idx="1">
                  <c:v>Kg per capita</c:v>
                </c:pt>
                <c:pt idx="2">
                  <c:v>Mega-tonnes</c:v>
                </c:pt>
                <c:pt idx="3">
                  <c:v>Kg per capita</c:v>
                </c:pt>
                <c:pt idx="4">
                  <c:v>Mega-tonnes</c:v>
                </c:pt>
                <c:pt idx="5">
                  <c:v>Kg per capita</c:v>
                </c:pt>
              </c:strCache>
            </c:strRef>
          </c:cat>
          <c:val>
            <c:numRef>
              <c:f>('Trends and nat. data'!$H$50,'Trends and nat. data'!$P$43,'Trends and nat. data'!$I$50,'Trends and nat. data'!$Q$43,'Trends and nat. data'!$J$50,'Trends and nat. data'!$R$43)</c:f>
              <c:numCache>
                <c:formatCode>#,##0</c:formatCode>
                <c:ptCount val="6"/>
                <c:pt idx="0">
                  <c:v>63.871556452931969</c:v>
                </c:pt>
                <c:pt idx="1">
                  <c:v>2704.7938498430067</c:v>
                </c:pt>
                <c:pt idx="2">
                  <c:v>53.017994452931973</c:v>
                </c:pt>
                <c:pt idx="3">
                  <c:v>2245.1738033498045</c:v>
                </c:pt>
                <c:pt idx="4">
                  <c:v>46.1267643604887</c:v>
                </c:pt>
                <c:pt idx="5">
                  <c:v>1953.348180067409</c:v>
                </c:pt>
              </c:numCache>
            </c:numRef>
          </c:val>
          <c:extLst>
            <c:ext xmlns:c16="http://schemas.microsoft.com/office/drawing/2014/chart" uri="{C3380CC4-5D6E-409C-BE32-E72D297353CC}">
              <c16:uniqueId val="{00000003-DCA6-4485-A847-83E92C994839}"/>
            </c:ext>
          </c:extLst>
        </c:ser>
        <c:dLbls>
          <c:showLegendKey val="0"/>
          <c:showVal val="0"/>
          <c:showCatName val="0"/>
          <c:showSerName val="0"/>
          <c:showPercent val="0"/>
          <c:showBubbleSize val="0"/>
        </c:dLbls>
        <c:gapWidth val="150"/>
        <c:overlap val="100"/>
        <c:axId val="220173440"/>
        <c:axId val="220174976"/>
      </c:barChart>
      <c:catAx>
        <c:axId val="220173440"/>
        <c:scaling>
          <c:orientation val="minMax"/>
        </c:scaling>
        <c:delete val="1"/>
        <c:axPos val="b"/>
        <c:numFmt formatCode="General" sourceLinked="0"/>
        <c:majorTickMark val="none"/>
        <c:minorTickMark val="none"/>
        <c:tickLblPos val="nextTo"/>
        <c:crossAx val="220174976"/>
        <c:crosses val="autoZero"/>
        <c:auto val="1"/>
        <c:lblAlgn val="ctr"/>
        <c:lblOffset val="100"/>
        <c:noMultiLvlLbl val="0"/>
      </c:catAx>
      <c:valAx>
        <c:axId val="220174976"/>
        <c:scaling>
          <c:orientation val="minMax"/>
          <c:max val="21000"/>
        </c:scaling>
        <c:delete val="1"/>
        <c:axPos val="l"/>
        <c:numFmt formatCode="#,##0" sourceLinked="0"/>
        <c:majorTickMark val="out"/>
        <c:minorTickMark val="none"/>
        <c:tickLblPos val="nextTo"/>
        <c:crossAx val="220173440"/>
        <c:crosses val="autoZero"/>
        <c:crossBetween val="between"/>
        <c:majorUnit val="3000"/>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799" l="0.70000000000000062" r="0.70000000000000062" t="0.75000000000000799"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652008825975433"/>
          <c:y val="0.11008504574192583"/>
          <c:w val="0.62359730639730637"/>
          <c:h val="0.51645184197454652"/>
        </c:manualLayout>
      </c:layout>
      <c:barChart>
        <c:barDir val="col"/>
        <c:grouping val="stacked"/>
        <c:varyColors val="0"/>
        <c:ser>
          <c:idx val="0"/>
          <c:order val="0"/>
          <c:tx>
            <c:strRef>
              <c:f>'Trends and nat. data'!$C$57</c:f>
              <c:strCache>
                <c:ptCount val="1"/>
                <c:pt idx="0">
                  <c:v>Disposal</c:v>
                </c:pt>
              </c:strCache>
            </c:strRef>
          </c:tx>
          <c:spPr>
            <a:solidFill>
              <a:schemeClr val="accent3">
                <a:lumMod val="50000"/>
              </a:schemeClr>
            </a:solidFill>
          </c:spPr>
          <c:invertIfNegative val="0"/>
          <c:cat>
            <c:strRef>
              <c:f>'Trends and nat. data'!$S$56:$T$56</c:f>
              <c:strCache>
                <c:ptCount val="2"/>
                <c:pt idx="0">
                  <c:v>MSW food</c:v>
                </c:pt>
                <c:pt idx="1">
                  <c:v>All food</c:v>
                </c:pt>
              </c:strCache>
            </c:strRef>
          </c:cat>
          <c:val>
            <c:numRef>
              <c:f>'Trends and nat. data'!$S$57:$T$57</c:f>
              <c:numCache>
                <c:formatCode>#,##0.0</c:formatCode>
                <c:ptCount val="2"/>
                <c:pt idx="0" formatCode="0.0">
                  <c:v>2.233422690757001</c:v>
                </c:pt>
                <c:pt idx="1">
                  <c:v>3.117021898667689</c:v>
                </c:pt>
              </c:numCache>
            </c:numRef>
          </c:val>
          <c:extLst>
            <c:ext xmlns:c16="http://schemas.microsoft.com/office/drawing/2014/chart" uri="{C3380CC4-5D6E-409C-BE32-E72D297353CC}">
              <c16:uniqueId val="{00000000-3A41-4FCA-B1E8-D330985D833D}"/>
            </c:ext>
          </c:extLst>
        </c:ser>
        <c:ser>
          <c:idx val="1"/>
          <c:order val="1"/>
          <c:tx>
            <c:strRef>
              <c:f>'Trends and nat. data'!$C$58</c:f>
              <c:strCache>
                <c:ptCount val="1"/>
                <c:pt idx="0">
                  <c:v>Recycling</c:v>
                </c:pt>
              </c:strCache>
            </c:strRef>
          </c:tx>
          <c:spPr>
            <a:solidFill>
              <a:srgbClr val="FFFF00"/>
            </a:solidFill>
          </c:spPr>
          <c:invertIfNegative val="0"/>
          <c:cat>
            <c:strRef>
              <c:f>'Trends and nat. data'!$S$56:$T$56</c:f>
              <c:strCache>
                <c:ptCount val="2"/>
                <c:pt idx="0">
                  <c:v>MSW food</c:v>
                </c:pt>
                <c:pt idx="1">
                  <c:v>All food</c:v>
                </c:pt>
              </c:strCache>
            </c:strRef>
          </c:cat>
          <c:val>
            <c:numRef>
              <c:f>'Trends and nat. data'!$S$58:$T$58</c:f>
              <c:numCache>
                <c:formatCode>#,##0.0</c:formatCode>
                <c:ptCount val="2"/>
                <c:pt idx="0" formatCode="0.0">
                  <c:v>0.19901758947323797</c:v>
                </c:pt>
                <c:pt idx="1">
                  <c:v>1.209210991878668</c:v>
                </c:pt>
              </c:numCache>
            </c:numRef>
          </c:val>
          <c:extLst>
            <c:ext xmlns:c16="http://schemas.microsoft.com/office/drawing/2014/chart" uri="{C3380CC4-5D6E-409C-BE32-E72D297353CC}">
              <c16:uniqueId val="{00000001-3A41-4FCA-B1E8-D330985D833D}"/>
            </c:ext>
          </c:extLst>
        </c:ser>
        <c:ser>
          <c:idx val="2"/>
          <c:order val="2"/>
          <c:tx>
            <c:strRef>
              <c:f>'Trends and nat. data'!$C$59</c:f>
              <c:strCache>
                <c:ptCount val="1"/>
                <c:pt idx="0">
                  <c:v>Energy recovery</c:v>
                </c:pt>
              </c:strCache>
            </c:strRef>
          </c:tx>
          <c:spPr>
            <a:solidFill>
              <a:schemeClr val="accent6">
                <a:lumMod val="75000"/>
              </a:schemeClr>
            </a:solidFill>
          </c:spPr>
          <c:invertIfNegative val="0"/>
          <c:cat>
            <c:strRef>
              <c:f>'Trends and nat. data'!$S$56:$T$56</c:f>
              <c:strCache>
                <c:ptCount val="2"/>
                <c:pt idx="0">
                  <c:v>MSW food</c:v>
                </c:pt>
                <c:pt idx="1">
                  <c:v>All food</c:v>
                </c:pt>
              </c:strCache>
            </c:strRef>
          </c:cat>
          <c:val>
            <c:numRef>
              <c:f>'Trends and nat. data'!$S$59:$T$59</c:f>
              <c:numCache>
                <c:formatCode>#,##0.0</c:formatCode>
                <c:ptCount val="2"/>
                <c:pt idx="0" formatCode="0.0">
                  <c:v>0.69776069325031387</c:v>
                </c:pt>
                <c:pt idx="1">
                  <c:v>0.96589276807750335</c:v>
                </c:pt>
              </c:numCache>
            </c:numRef>
          </c:val>
          <c:extLst>
            <c:ext xmlns:c16="http://schemas.microsoft.com/office/drawing/2014/chart" uri="{C3380CC4-5D6E-409C-BE32-E72D297353CC}">
              <c16:uniqueId val="{00000002-3A41-4FCA-B1E8-D330985D833D}"/>
            </c:ext>
          </c:extLst>
        </c:ser>
        <c:ser>
          <c:idx val="3"/>
          <c:order val="3"/>
          <c:tx>
            <c:strRef>
              <c:f>'Trends and nat. data'!$C$60</c:f>
              <c:strCache>
                <c:ptCount val="1"/>
                <c:pt idx="0">
                  <c:v>Recovery rate</c:v>
                </c:pt>
              </c:strCache>
            </c:strRef>
          </c:tx>
          <c:spPr>
            <a:noFill/>
          </c:spPr>
          <c:invertIfNegative val="0"/>
          <c:dLbls>
            <c:dLbl>
              <c:idx val="0"/>
              <c:layout>
                <c:manualLayout>
                  <c:x val="-2.1380471380471771E-3"/>
                  <c:y val="-1.4076543209876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41-4FCA-B1E8-D330985D833D}"/>
                </c:ext>
              </c:extLst>
            </c:dLbl>
            <c:dLbl>
              <c:idx val="1"/>
              <c:layout>
                <c:manualLayout>
                  <c:x val="-2.1526065069765086E-3"/>
                  <c:y val="-7.0735741742583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41-4FCA-B1E8-D330985D833D}"/>
                </c:ext>
              </c:extLst>
            </c:dLbl>
            <c:dLbl>
              <c:idx val="2"/>
              <c:layout>
                <c:manualLayout>
                  <c:x val="-1.4193025141930251E-5"/>
                  <c:y val="-3.0018421052631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41-4FCA-B1E8-D330985D833D}"/>
                </c:ext>
              </c:extLst>
            </c:dLbl>
            <c:spPr>
              <a:noFill/>
              <a:ln>
                <a:noFill/>
              </a:ln>
              <a:effectLst/>
            </c:spPr>
            <c:txPr>
              <a:bodyPr wrap="square" lIns="38100" tIns="19050" rIns="38100" bIns="19050" anchor="ctr">
                <a:spAutoFit/>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'Trends and nat. data'!$S$56:$T$56</c:f>
              <c:strCache>
                <c:ptCount val="2"/>
                <c:pt idx="0">
                  <c:v>MSW food</c:v>
                </c:pt>
                <c:pt idx="1">
                  <c:v>All food</c:v>
                </c:pt>
              </c:strCache>
            </c:strRef>
          </c:cat>
          <c:val>
            <c:numRef>
              <c:f>'Trends and nat. data'!$S$60:$T$60</c:f>
              <c:numCache>
                <c:formatCode>0%</c:formatCode>
                <c:ptCount val="2"/>
                <c:pt idx="0">
                  <c:v>0.28649223814099084</c:v>
                </c:pt>
                <c:pt idx="1">
                  <c:v>0.41100757999041454</c:v>
                </c:pt>
              </c:numCache>
            </c:numRef>
          </c:val>
          <c:extLst>
            <c:ext xmlns:c16="http://schemas.microsoft.com/office/drawing/2014/chart" uri="{C3380CC4-5D6E-409C-BE32-E72D297353CC}">
              <c16:uniqueId val="{00000006-3A41-4FCA-B1E8-D330985D833D}"/>
            </c:ext>
          </c:extLst>
        </c:ser>
        <c:dLbls>
          <c:showLegendKey val="0"/>
          <c:showVal val="0"/>
          <c:showCatName val="0"/>
          <c:showSerName val="0"/>
          <c:showPercent val="0"/>
          <c:showBubbleSize val="0"/>
        </c:dLbls>
        <c:gapWidth val="150"/>
        <c:overlap val="100"/>
        <c:axId val="219379584"/>
        <c:axId val="219381120"/>
      </c:barChart>
      <c:lineChart>
        <c:grouping val="stacked"/>
        <c:varyColors val="0"/>
        <c:ser>
          <c:idx val="4"/>
          <c:order val="4"/>
          <c:tx>
            <c:v>Generation per cap</c:v>
          </c:tx>
          <c:spPr>
            <a:ln>
              <a:noFill/>
            </a:ln>
          </c:spPr>
          <c:marker>
            <c:symbol val="none"/>
          </c:marker>
          <c:cat>
            <c:strRef>
              <c:f>'Trends and nat. data'!$S$56:$T$56</c:f>
              <c:strCache>
                <c:ptCount val="2"/>
                <c:pt idx="0">
                  <c:v>MSW food</c:v>
                </c:pt>
                <c:pt idx="1">
                  <c:v>All food</c:v>
                </c:pt>
              </c:strCache>
            </c:strRef>
          </c:cat>
          <c:val>
            <c:numRef>
              <c:f>'Trends and nat. data'!$S$62:$T$62</c:f>
              <c:numCache>
                <c:formatCode>0</c:formatCode>
                <c:ptCount val="2"/>
                <c:pt idx="0">
                  <c:v>132.55584820579614</c:v>
                </c:pt>
                <c:pt idx="1">
                  <c:v>224.10772069709142</c:v>
                </c:pt>
              </c:numCache>
            </c:numRef>
          </c:val>
          <c:smooth val="0"/>
          <c:extLst>
            <c:ext xmlns:c16="http://schemas.microsoft.com/office/drawing/2014/chart" uri="{C3380CC4-5D6E-409C-BE32-E72D297353CC}">
              <c16:uniqueId val="{00000007-3A41-4FCA-B1E8-D330985D833D}"/>
            </c:ext>
          </c:extLst>
        </c:ser>
        <c:dLbls>
          <c:showLegendKey val="0"/>
          <c:showVal val="0"/>
          <c:showCatName val="0"/>
          <c:showSerName val="0"/>
          <c:showPercent val="0"/>
          <c:showBubbleSize val="0"/>
        </c:dLbls>
        <c:marker val="1"/>
        <c:smooth val="0"/>
        <c:axId val="361839272"/>
        <c:axId val="361838944"/>
      </c:lineChart>
      <c:catAx>
        <c:axId val="21937958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381120"/>
        <c:crosses val="autoZero"/>
        <c:auto val="1"/>
        <c:lblAlgn val="ctr"/>
        <c:lblOffset val="100"/>
        <c:noMultiLvlLbl val="0"/>
      </c:catAx>
      <c:valAx>
        <c:axId val="219381120"/>
        <c:scaling>
          <c:orientation val="minMax"/>
          <c:max val="6"/>
        </c:scaling>
        <c:delete val="0"/>
        <c:axPos val="l"/>
        <c:majorGridlines>
          <c:spPr>
            <a:ln w="2540"/>
          </c:spPr>
        </c:majorGridlines>
        <c:title>
          <c:tx>
            <c:rich>
              <a:bodyPr/>
              <a:lstStyle/>
              <a:p>
                <a:pPr>
                  <a:defRPr/>
                </a:pPr>
                <a:r>
                  <a:rPr lang="en-AU"/>
                  <a:t>Megatonnes</a:t>
                </a:r>
                <a:r>
                  <a:rPr lang="en-AU" baseline="0"/>
                  <a:t> (Mt)</a:t>
                </a:r>
                <a:endParaRPr lang="en-AU"/>
              </a:p>
            </c:rich>
          </c:tx>
          <c:layout>
            <c:manualLayout>
              <c:xMode val="edge"/>
              <c:yMode val="edge"/>
              <c:x val="0.15613493511759938"/>
              <c:y val="0.20185994152046782"/>
            </c:manualLayout>
          </c:layout>
          <c:overlay val="0"/>
        </c:title>
        <c:numFmt formatCode="#,##0" sourceLinked="0"/>
        <c:majorTickMark val="out"/>
        <c:minorTickMark val="none"/>
        <c:tickLblPos val="nextTo"/>
        <c:spPr>
          <a:ln>
            <a:noFill/>
          </a:ln>
        </c:spPr>
        <c:crossAx val="219379584"/>
        <c:crosses val="autoZero"/>
        <c:crossBetween val="between"/>
      </c:valAx>
      <c:valAx>
        <c:axId val="361838944"/>
        <c:scaling>
          <c:orientation val="minMax"/>
          <c:min val="0"/>
        </c:scaling>
        <c:delete val="0"/>
        <c:axPos val="r"/>
        <c:title>
          <c:tx>
            <c:rich>
              <a:bodyPr/>
              <a:lstStyle/>
              <a:p>
                <a:pPr>
                  <a:defRPr/>
                </a:pPr>
                <a:r>
                  <a:rPr lang="en-AU"/>
                  <a:t>Kg per capita</a:t>
                </a:r>
              </a:p>
            </c:rich>
          </c:tx>
          <c:layout>
            <c:manualLayout>
              <c:xMode val="edge"/>
              <c:yMode val="edge"/>
              <c:x val="0.93231650446066494"/>
              <c:y val="0.23289532163742691"/>
            </c:manualLayout>
          </c:layout>
          <c:overlay val="0"/>
        </c:title>
        <c:numFmt formatCode="#,##0;\-#,##0;;" sourceLinked="0"/>
        <c:majorTickMark val="out"/>
        <c:minorTickMark val="none"/>
        <c:tickLblPos val="nextTo"/>
        <c:spPr>
          <a:ln>
            <a:noFill/>
          </a:ln>
        </c:spPr>
        <c:crossAx val="361839272"/>
        <c:crosses val="max"/>
        <c:crossBetween val="between"/>
        <c:majorUnit val="42.260000000000005"/>
      </c:valAx>
      <c:catAx>
        <c:axId val="361839272"/>
        <c:scaling>
          <c:orientation val="minMax"/>
        </c:scaling>
        <c:delete val="1"/>
        <c:axPos val="b"/>
        <c:numFmt formatCode="General" sourceLinked="1"/>
        <c:majorTickMark val="out"/>
        <c:minorTickMark val="none"/>
        <c:tickLblPos val="nextTo"/>
        <c:crossAx val="361838944"/>
        <c:crossesAt val="0"/>
        <c:auto val="1"/>
        <c:lblAlgn val="ctr"/>
        <c:lblOffset val="100"/>
        <c:noMultiLvlLbl val="0"/>
      </c:catAx>
      <c:spPr>
        <a:ln>
          <a:noFill/>
        </a:ln>
      </c:spPr>
    </c:plotArea>
    <c:legend>
      <c:legendPos val="t"/>
      <c:legendEntry>
        <c:idx val="3"/>
        <c:delete val="1"/>
      </c:legendEntry>
      <c:legendEntry>
        <c:idx val="4"/>
        <c:delete val="1"/>
      </c:legendEntry>
      <c:layout>
        <c:manualLayout>
          <c:xMode val="edge"/>
          <c:yMode val="edge"/>
          <c:x val="0.33900192619626929"/>
          <c:y val="2.1354093567251462E-2"/>
          <c:w val="0.4386014801297648"/>
          <c:h val="6.3436549707602333E-2"/>
        </c:manualLayout>
      </c:layout>
      <c:overlay val="0"/>
    </c:legend>
    <c:plotVisOnly val="1"/>
    <c:dispBlanksAs val="gap"/>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06691744471381"/>
          <c:y val="0.2056321342565888"/>
          <c:w val="0.71766894102325385"/>
          <c:h val="4.1353791874351738E-2"/>
        </c:manualLayout>
      </c:layout>
      <c:barChart>
        <c:barDir val="col"/>
        <c:grouping val="stacked"/>
        <c:varyColors val="0"/>
        <c:ser>
          <c:idx val="0"/>
          <c:order val="0"/>
          <c:tx>
            <c:v>Disposal (Mt)</c:v>
          </c:tx>
          <c:spPr>
            <a:noFill/>
          </c:spPr>
          <c:invertIfNegative val="0"/>
          <c:cat>
            <c:strRef>
              <c:f>'Trends and nat. data'!$S$56:$T$56</c:f>
              <c:strCache>
                <c:ptCount val="2"/>
                <c:pt idx="0">
                  <c:v>MSW food</c:v>
                </c:pt>
                <c:pt idx="1">
                  <c:v>All food</c:v>
                </c:pt>
              </c:strCache>
            </c:strRef>
          </c:cat>
          <c:val>
            <c:numRef>
              <c:f>'Trends and nat. data'!$S$57:$T$57</c:f>
              <c:numCache>
                <c:formatCode>#,##0.0</c:formatCode>
                <c:ptCount val="2"/>
                <c:pt idx="0" formatCode="0.0">
                  <c:v>2.233422690757001</c:v>
                </c:pt>
                <c:pt idx="1">
                  <c:v>3.117021898667689</c:v>
                </c:pt>
              </c:numCache>
            </c:numRef>
          </c:val>
          <c:extLst>
            <c:ext xmlns:c16="http://schemas.microsoft.com/office/drawing/2014/chart" uri="{C3380CC4-5D6E-409C-BE32-E72D297353CC}">
              <c16:uniqueId val="{00000000-D892-4A7A-9554-D2303BEDB26D}"/>
            </c:ext>
          </c:extLst>
        </c:ser>
        <c:ser>
          <c:idx val="1"/>
          <c:order val="1"/>
          <c:tx>
            <c:v>Recycling (Mt)</c:v>
          </c:tx>
          <c:spPr>
            <a:noFill/>
          </c:spPr>
          <c:invertIfNegative val="0"/>
          <c:cat>
            <c:strRef>
              <c:f>'Trends and nat. data'!$S$56:$T$56</c:f>
              <c:strCache>
                <c:ptCount val="2"/>
                <c:pt idx="0">
                  <c:v>MSW food</c:v>
                </c:pt>
                <c:pt idx="1">
                  <c:v>All food</c:v>
                </c:pt>
              </c:strCache>
            </c:strRef>
          </c:cat>
          <c:val>
            <c:numRef>
              <c:f>'Trends and nat. data'!$S$58:$T$58</c:f>
              <c:numCache>
                <c:formatCode>#,##0.0</c:formatCode>
                <c:ptCount val="2"/>
                <c:pt idx="0" formatCode="0.0">
                  <c:v>0.19901758947323797</c:v>
                </c:pt>
                <c:pt idx="1">
                  <c:v>1.209210991878668</c:v>
                </c:pt>
              </c:numCache>
            </c:numRef>
          </c:val>
          <c:extLst>
            <c:ext xmlns:c16="http://schemas.microsoft.com/office/drawing/2014/chart" uri="{C3380CC4-5D6E-409C-BE32-E72D297353CC}">
              <c16:uniqueId val="{00000001-D892-4A7A-9554-D2303BEDB26D}"/>
            </c:ext>
          </c:extLst>
        </c:ser>
        <c:ser>
          <c:idx val="2"/>
          <c:order val="2"/>
          <c:tx>
            <c:v>En recovery (Mt)</c:v>
          </c:tx>
          <c:spPr>
            <a:noFill/>
          </c:spPr>
          <c:invertIfNegative val="0"/>
          <c:cat>
            <c:strRef>
              <c:f>'Trends and nat. data'!$S$56:$T$56</c:f>
              <c:strCache>
                <c:ptCount val="2"/>
                <c:pt idx="0">
                  <c:v>MSW food</c:v>
                </c:pt>
                <c:pt idx="1">
                  <c:v>All food</c:v>
                </c:pt>
              </c:strCache>
            </c:strRef>
          </c:cat>
          <c:val>
            <c:numRef>
              <c:f>'Trends and nat. data'!$S$59:$T$59</c:f>
              <c:numCache>
                <c:formatCode>#,##0.0</c:formatCode>
                <c:ptCount val="2"/>
                <c:pt idx="0" formatCode="0.0">
                  <c:v>0.69776069325031387</c:v>
                </c:pt>
                <c:pt idx="1">
                  <c:v>0.96589276807750335</c:v>
                </c:pt>
              </c:numCache>
            </c:numRef>
          </c:val>
          <c:extLst>
            <c:ext xmlns:c16="http://schemas.microsoft.com/office/drawing/2014/chart" uri="{C3380CC4-5D6E-409C-BE32-E72D297353CC}">
              <c16:uniqueId val="{00000002-D892-4A7A-9554-D2303BEDB26D}"/>
            </c:ext>
          </c:extLst>
        </c:ser>
        <c:ser>
          <c:idx val="3"/>
          <c:order val="3"/>
          <c:tx>
            <c:v>Generation (Mt)</c:v>
          </c:tx>
          <c:invertIfNegative val="0"/>
          <c:cat>
            <c:strRef>
              <c:f>'Trends and nat. data'!$S$56:$T$56</c:f>
              <c:strCache>
                <c:ptCount val="2"/>
                <c:pt idx="0">
                  <c:v>MSW food</c:v>
                </c:pt>
                <c:pt idx="1">
                  <c:v>All food</c:v>
                </c:pt>
              </c:strCache>
            </c:strRef>
          </c:cat>
          <c:val>
            <c:numRef>
              <c:f>'Trends and nat. data'!$S$61:$T$61</c:f>
              <c:numCache>
                <c:formatCode>#,##0.0</c:formatCode>
                <c:ptCount val="2"/>
                <c:pt idx="0">
                  <c:v>3.1302009734805525</c:v>
                </c:pt>
                <c:pt idx="1">
                  <c:v>5.2921256586238599</c:v>
                </c:pt>
              </c:numCache>
            </c:numRef>
          </c:val>
          <c:extLst>
            <c:ext xmlns:c16="http://schemas.microsoft.com/office/drawing/2014/chart" uri="{C3380CC4-5D6E-409C-BE32-E72D297353CC}">
              <c16:uniqueId val="{00000005-D892-4A7A-9554-D2303BEDB26D}"/>
            </c:ext>
          </c:extLst>
        </c:ser>
        <c:ser>
          <c:idx val="4"/>
          <c:order val="4"/>
          <c:tx>
            <c:v>Generation (kg/cap)</c:v>
          </c:tx>
          <c:invertIfNegative val="0"/>
          <c:cat>
            <c:strRef>
              <c:f>'Trends and nat. data'!$S$56:$T$56</c:f>
              <c:strCache>
                <c:ptCount val="2"/>
                <c:pt idx="0">
                  <c:v>MSW food</c:v>
                </c:pt>
                <c:pt idx="1">
                  <c:v>All food</c:v>
                </c:pt>
              </c:strCache>
            </c:strRef>
          </c:cat>
          <c:val>
            <c:numRef>
              <c:f>'Trends and nat. data'!$S$62:$T$62</c:f>
              <c:numCache>
                <c:formatCode>0</c:formatCode>
                <c:ptCount val="2"/>
                <c:pt idx="0">
                  <c:v>132.55584820579614</c:v>
                </c:pt>
                <c:pt idx="1">
                  <c:v>224.10772069709142</c:v>
                </c:pt>
              </c:numCache>
            </c:numRef>
          </c:val>
          <c:extLst>
            <c:ext xmlns:c16="http://schemas.microsoft.com/office/drawing/2014/chart" uri="{C3380CC4-5D6E-409C-BE32-E72D297353CC}">
              <c16:uniqueId val="{00000006-D892-4A7A-9554-D2303BEDB26D}"/>
            </c:ext>
          </c:extLst>
        </c:ser>
        <c:dLbls>
          <c:showLegendKey val="0"/>
          <c:showVal val="0"/>
          <c:showCatName val="0"/>
          <c:showSerName val="0"/>
          <c:showPercent val="0"/>
          <c:showBubbleSize val="0"/>
        </c:dLbls>
        <c:gapWidth val="150"/>
        <c:overlap val="100"/>
        <c:axId val="220573696"/>
        <c:axId val="220575232"/>
      </c:barChart>
      <c:catAx>
        <c:axId val="220573696"/>
        <c:scaling>
          <c:orientation val="minMax"/>
        </c:scaling>
        <c:delete val="1"/>
        <c:axPos val="b"/>
        <c:numFmt formatCode="General" sourceLinked="0"/>
        <c:majorTickMark val="none"/>
        <c:minorTickMark val="none"/>
        <c:tickLblPos val="nextTo"/>
        <c:crossAx val="220575232"/>
        <c:crosses val="autoZero"/>
        <c:auto val="1"/>
        <c:lblAlgn val="ctr"/>
        <c:lblOffset val="100"/>
        <c:noMultiLvlLbl val="0"/>
      </c:catAx>
      <c:valAx>
        <c:axId val="220575232"/>
        <c:scaling>
          <c:orientation val="minMax"/>
        </c:scaling>
        <c:delete val="1"/>
        <c:axPos val="l"/>
        <c:numFmt formatCode="#,##0" sourceLinked="0"/>
        <c:majorTickMark val="out"/>
        <c:minorTickMark val="none"/>
        <c:tickLblPos val="nextTo"/>
        <c:crossAx val="220573696"/>
        <c:crosses val="autoZero"/>
        <c:crossBetween val="between"/>
        <c:majorUnit val="2000"/>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txPr>
    <a:bodyPr/>
    <a:lstStyle/>
    <a:p>
      <a:pPr>
        <a:defRPr sz="850"/>
      </a:pPr>
      <a:endParaRPr lang="en-US"/>
    </a:p>
  </c:txPr>
  <c:printSettings>
    <c:headerFooter/>
    <c:pageMargins b="0.75000000000000844" l="0.70000000000000062" r="0.70000000000000062" t="0.75000000000000844"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208037825057E-2"/>
          <c:y val="8.5999286479887374E-2"/>
          <c:w val="0.89609125295508274"/>
          <c:h val="0.60783167135357363"/>
        </c:manualLayout>
      </c:layout>
      <c:barChart>
        <c:barDir val="col"/>
        <c:grouping val="stacked"/>
        <c:varyColors val="0"/>
        <c:ser>
          <c:idx val="0"/>
          <c:order val="0"/>
          <c:tx>
            <c:strRef>
              <c:f>'Int. comparisons'!$G$148</c:f>
              <c:strCache>
                <c:ptCount val="1"/>
                <c:pt idx="0">
                  <c:v>Disposed</c:v>
                </c:pt>
              </c:strCache>
            </c:strRef>
          </c:tx>
          <c:spPr>
            <a:solidFill>
              <a:srgbClr val="4F6228"/>
            </a:solidFill>
          </c:spPr>
          <c:invertIfNegative val="0"/>
          <c:cat>
            <c:strRef>
              <c:f>'Int. comparisons'!$A$184:$A$212</c:f>
              <c:strCache>
                <c:ptCount val="29"/>
                <c:pt idx="0">
                  <c:v> Australia </c:v>
                </c:pt>
                <c:pt idx="1">
                  <c:v> Austria </c:v>
                </c:pt>
                <c:pt idx="2">
                  <c:v> Belgium </c:v>
                </c:pt>
                <c:pt idx="3">
                  <c:v> Canada </c:v>
                </c:pt>
                <c:pt idx="4">
                  <c:v> Czech Republic </c:v>
                </c:pt>
                <c:pt idx="5">
                  <c:v> Denmark </c:v>
                </c:pt>
                <c:pt idx="6">
                  <c:v> Estonia </c:v>
                </c:pt>
                <c:pt idx="7">
                  <c:v> Finland </c:v>
                </c:pt>
                <c:pt idx="8">
                  <c:v> France </c:v>
                </c:pt>
                <c:pt idx="9">
                  <c:v> Germany </c:v>
                </c:pt>
                <c:pt idx="10">
                  <c:v> Greece </c:v>
                </c:pt>
                <c:pt idx="11">
                  <c:v> Hungary </c:v>
                </c:pt>
                <c:pt idx="12">
                  <c:v> Iceland </c:v>
                </c:pt>
                <c:pt idx="13">
                  <c:v> Ireland </c:v>
                </c:pt>
                <c:pt idx="14">
                  <c:v> Italy </c:v>
                </c:pt>
                <c:pt idx="15">
                  <c:v> Korea </c:v>
                </c:pt>
                <c:pt idx="16">
                  <c:v> Luxembourg </c:v>
                </c:pt>
                <c:pt idx="17">
                  <c:v> Mexico </c:v>
                </c:pt>
                <c:pt idx="18">
                  <c:v> Netherlands </c:v>
                </c:pt>
                <c:pt idx="19">
                  <c:v> Norway </c:v>
                </c:pt>
                <c:pt idx="20">
                  <c:v> Poland </c:v>
                </c:pt>
                <c:pt idx="21">
                  <c:v> Portugal </c:v>
                </c:pt>
                <c:pt idx="22">
                  <c:v> Slovak Republic </c:v>
                </c:pt>
                <c:pt idx="23">
                  <c:v> Slovenia </c:v>
                </c:pt>
                <c:pt idx="24">
                  <c:v> Spain </c:v>
                </c:pt>
                <c:pt idx="25">
                  <c:v> Sweden </c:v>
                </c:pt>
                <c:pt idx="26">
                  <c:v> Switzerland </c:v>
                </c:pt>
                <c:pt idx="27">
                  <c:v> United Kingdom </c:v>
                </c:pt>
                <c:pt idx="28">
                  <c:v> United States </c:v>
                </c:pt>
              </c:strCache>
            </c:strRef>
          </c:cat>
          <c:val>
            <c:numRef>
              <c:f>'Int. comparisons'!$G$149:$G$177</c:f>
              <c:numCache>
                <c:formatCode>_-* #,##0_-;\-* #,##0_-;_-* "-"??_-;_-@_-</c:formatCode>
                <c:ptCount val="29"/>
                <c:pt idx="0">
                  <c:v>274.67066394520492</c:v>
                </c:pt>
                <c:pt idx="1">
                  <c:v>34.00810290285137</c:v>
                </c:pt>
                <c:pt idx="2">
                  <c:v>18.152000539168334</c:v>
                </c:pt>
                <c:pt idx="3">
                  <c:v>681.25602593312192</c:v>
                </c:pt>
                <c:pt idx="4">
                  <c:v>173.96848200152399</c:v>
                </c:pt>
                <c:pt idx="5">
                  <c:v>12.644854826380801</c:v>
                </c:pt>
                <c:pt idx="6">
                  <c:v>63.234088839804457</c:v>
                </c:pt>
                <c:pt idx="7">
                  <c:v>123.61397058823529</c:v>
                </c:pt>
                <c:pt idx="8">
                  <c:v>141.48738141417138</c:v>
                </c:pt>
                <c:pt idx="9">
                  <c:v>80.227553613891686</c:v>
                </c:pt>
                <c:pt idx="10">
                  <c:v>406.40216411181245</c:v>
                </c:pt>
                <c:pt idx="11">
                  <c:v>244.26572307610149</c:v>
                </c:pt>
                <c:pt idx="12">
                  <c:v>168.04931452744157</c:v>
                </c:pt>
                <c:pt idx="13">
                  <c:v>279.29951585466915</c:v>
                </c:pt>
                <c:pt idx="14">
                  <c:v>195.31416010497827</c:v>
                </c:pt>
                <c:pt idx="15">
                  <c:v>61.330550360048171</c:v>
                </c:pt>
                <c:pt idx="16">
                  <c:v>114.24890666847475</c:v>
                </c:pt>
                <c:pt idx="17">
                  <c:v>337.87546950845098</c:v>
                </c:pt>
                <c:pt idx="18">
                  <c:v>8.9262176699834512</c:v>
                </c:pt>
                <c:pt idx="19">
                  <c:v>11.859061709168799</c:v>
                </c:pt>
                <c:pt idx="20">
                  <c:v>252.03853552946646</c:v>
                </c:pt>
                <c:pt idx="21">
                  <c:v>221.86988993334793</c:v>
                </c:pt>
                <c:pt idx="22">
                  <c:v>220.66677511180399</c:v>
                </c:pt>
                <c:pt idx="23">
                  <c:v>115.21505144248005</c:v>
                </c:pt>
                <c:pt idx="24">
                  <c:v>239.70790320688789</c:v>
                </c:pt>
                <c:pt idx="25">
                  <c:v>2.9170569257987982</c:v>
                </c:pt>
                <c:pt idx="26">
                  <c:v>0</c:v>
                </c:pt>
                <c:pt idx="27">
                  <c:v>147.49000039434404</c:v>
                </c:pt>
                <c:pt idx="28">
                  <c:v>389.92448874143975</c:v>
                </c:pt>
              </c:numCache>
            </c:numRef>
          </c:val>
          <c:extLst>
            <c:ext xmlns:c16="http://schemas.microsoft.com/office/drawing/2014/chart" uri="{C3380CC4-5D6E-409C-BE32-E72D297353CC}">
              <c16:uniqueId val="{00000000-13A3-43F6-A056-96990CE1C7FE}"/>
            </c:ext>
          </c:extLst>
        </c:ser>
        <c:ser>
          <c:idx val="1"/>
          <c:order val="1"/>
          <c:tx>
            <c:strRef>
              <c:f>'Int. comparisons'!$C$183</c:f>
              <c:strCache>
                <c:ptCount val="1"/>
                <c:pt idx="0">
                  <c:v>Recycled</c:v>
                </c:pt>
              </c:strCache>
            </c:strRef>
          </c:tx>
          <c:spPr>
            <a:solidFill>
              <a:srgbClr val="FFFF00"/>
            </a:solidFill>
          </c:spPr>
          <c:invertIfNegative val="0"/>
          <c:cat>
            <c:strRef>
              <c:f>'Int. comparisons'!$A$184:$A$212</c:f>
              <c:strCache>
                <c:ptCount val="29"/>
                <c:pt idx="0">
                  <c:v> Australia </c:v>
                </c:pt>
                <c:pt idx="1">
                  <c:v> Austria </c:v>
                </c:pt>
                <c:pt idx="2">
                  <c:v> Belgium </c:v>
                </c:pt>
                <c:pt idx="3">
                  <c:v> Canada </c:v>
                </c:pt>
                <c:pt idx="4">
                  <c:v> Czech Republic </c:v>
                </c:pt>
                <c:pt idx="5">
                  <c:v> Denmark </c:v>
                </c:pt>
                <c:pt idx="6">
                  <c:v> Estonia </c:v>
                </c:pt>
                <c:pt idx="7">
                  <c:v> Finland </c:v>
                </c:pt>
                <c:pt idx="8">
                  <c:v> France </c:v>
                </c:pt>
                <c:pt idx="9">
                  <c:v> Germany </c:v>
                </c:pt>
                <c:pt idx="10">
                  <c:v> Greece </c:v>
                </c:pt>
                <c:pt idx="11">
                  <c:v> Hungary </c:v>
                </c:pt>
                <c:pt idx="12">
                  <c:v> Iceland </c:v>
                </c:pt>
                <c:pt idx="13">
                  <c:v> Ireland </c:v>
                </c:pt>
                <c:pt idx="14">
                  <c:v> Italy </c:v>
                </c:pt>
                <c:pt idx="15">
                  <c:v> Korea </c:v>
                </c:pt>
                <c:pt idx="16">
                  <c:v> Luxembourg </c:v>
                </c:pt>
                <c:pt idx="17">
                  <c:v> Mexico </c:v>
                </c:pt>
                <c:pt idx="18">
                  <c:v> Netherlands </c:v>
                </c:pt>
                <c:pt idx="19">
                  <c:v> Norway </c:v>
                </c:pt>
                <c:pt idx="20">
                  <c:v> Poland </c:v>
                </c:pt>
                <c:pt idx="21">
                  <c:v> Portugal </c:v>
                </c:pt>
                <c:pt idx="22">
                  <c:v> Slovak Republic </c:v>
                </c:pt>
                <c:pt idx="23">
                  <c:v> Slovenia </c:v>
                </c:pt>
                <c:pt idx="24">
                  <c:v> Spain </c:v>
                </c:pt>
                <c:pt idx="25">
                  <c:v> Sweden </c:v>
                </c:pt>
                <c:pt idx="26">
                  <c:v> Switzerland </c:v>
                </c:pt>
                <c:pt idx="27">
                  <c:v> United Kingdom </c:v>
                </c:pt>
                <c:pt idx="28">
                  <c:v> United States </c:v>
                </c:pt>
              </c:strCache>
            </c:strRef>
          </c:cat>
          <c:val>
            <c:numRef>
              <c:f>'Int. comparisons'!$C$184:$C$212</c:f>
              <c:numCache>
                <c:formatCode>_-* #,##0_-;\-* #,##0_-;_-* "-"??_-;_-@_-</c:formatCode>
                <c:ptCount val="29"/>
                <c:pt idx="0">
                  <c:v>141.41924922654633</c:v>
                </c:pt>
                <c:pt idx="1">
                  <c:v>141.98382961940447</c:v>
                </c:pt>
                <c:pt idx="2">
                  <c:v>155.99937097027833</c:v>
                </c:pt>
                <c:pt idx="3">
                  <c:v>171.86332531452396</c:v>
                </c:pt>
                <c:pt idx="4">
                  <c:v>69.932103093841391</c:v>
                </c:pt>
                <c:pt idx="5">
                  <c:v>205.52341506540063</c:v>
                </c:pt>
                <c:pt idx="6">
                  <c:v>37.010272888270791</c:v>
                </c:pt>
                <c:pt idx="7">
                  <c:v>93.825367647058826</c:v>
                </c:pt>
                <c:pt idx="8">
                  <c:v>116.07459931550953</c:v>
                </c:pt>
                <c:pt idx="9">
                  <c:v>286.3268068776465</c:v>
                </c:pt>
                <c:pt idx="10">
                  <c:v>78.358881875563569</c:v>
                </c:pt>
                <c:pt idx="11">
                  <c:v>80.815036330354076</c:v>
                </c:pt>
                <c:pt idx="12">
                  <c:v>100.49731437697778</c:v>
                </c:pt>
                <c:pt idx="13">
                  <c:v>180.68216513281286</c:v>
                </c:pt>
                <c:pt idx="14">
                  <c:v>119.89533554021389</c:v>
                </c:pt>
                <c:pt idx="15">
                  <c:v>207.72737057013717</c:v>
                </c:pt>
                <c:pt idx="16">
                  <c:v>181.58155443303085</c:v>
                </c:pt>
                <c:pt idx="17">
                  <c:v>17.737220543755612</c:v>
                </c:pt>
                <c:pt idx="18">
                  <c:v>130.67982668855771</c:v>
                </c:pt>
                <c:pt idx="19">
                  <c:v>110.36986568035819</c:v>
                </c:pt>
                <c:pt idx="20">
                  <c:v>32.283354427374</c:v>
                </c:pt>
                <c:pt idx="21">
                  <c:v>56.81390033756324</c:v>
                </c:pt>
                <c:pt idx="22">
                  <c:v>19.920793198015716</c:v>
                </c:pt>
                <c:pt idx="23">
                  <c:v>125.54186677195588</c:v>
                </c:pt>
                <c:pt idx="24">
                  <c:v>67.531779946001265</c:v>
                </c:pt>
                <c:pt idx="25">
                  <c:v>150.21230096784265</c:v>
                </c:pt>
                <c:pt idx="26">
                  <c:v>239.49755813597849</c:v>
                </c:pt>
                <c:pt idx="27">
                  <c:v>133.58395387526255</c:v>
                </c:pt>
                <c:pt idx="28">
                  <c:v>188.56325496534518</c:v>
                </c:pt>
              </c:numCache>
            </c:numRef>
          </c:val>
          <c:extLst>
            <c:ext xmlns:c16="http://schemas.microsoft.com/office/drawing/2014/chart" uri="{C3380CC4-5D6E-409C-BE32-E72D297353CC}">
              <c16:uniqueId val="{00000001-13A3-43F6-A056-96990CE1C7FE}"/>
            </c:ext>
          </c:extLst>
        </c:ser>
        <c:ser>
          <c:idx val="3"/>
          <c:order val="2"/>
          <c:tx>
            <c:strRef>
              <c:f>'Int. comparisons'!$E$183</c:f>
              <c:strCache>
                <c:ptCount val="1"/>
                <c:pt idx="0">
                  <c:v>Energy recovery</c:v>
                </c:pt>
              </c:strCache>
            </c:strRef>
          </c:tx>
          <c:spPr>
            <a:solidFill>
              <a:srgbClr val="E46C0A"/>
            </a:solidFill>
          </c:spPr>
          <c:invertIfNegative val="0"/>
          <c:cat>
            <c:strRef>
              <c:f>'Int. comparisons'!$A$184:$A$212</c:f>
              <c:strCache>
                <c:ptCount val="29"/>
                <c:pt idx="0">
                  <c:v> Australia </c:v>
                </c:pt>
                <c:pt idx="1">
                  <c:v> Austria </c:v>
                </c:pt>
                <c:pt idx="2">
                  <c:v> Belgium </c:v>
                </c:pt>
                <c:pt idx="3">
                  <c:v> Canada </c:v>
                </c:pt>
                <c:pt idx="4">
                  <c:v> Czech Republic </c:v>
                </c:pt>
                <c:pt idx="5">
                  <c:v> Denmark </c:v>
                </c:pt>
                <c:pt idx="6">
                  <c:v> Estonia </c:v>
                </c:pt>
                <c:pt idx="7">
                  <c:v> Finland </c:v>
                </c:pt>
                <c:pt idx="8">
                  <c:v> France </c:v>
                </c:pt>
                <c:pt idx="9">
                  <c:v> Germany </c:v>
                </c:pt>
                <c:pt idx="10">
                  <c:v> Greece </c:v>
                </c:pt>
                <c:pt idx="11">
                  <c:v> Hungary </c:v>
                </c:pt>
                <c:pt idx="12">
                  <c:v> Iceland </c:v>
                </c:pt>
                <c:pt idx="13">
                  <c:v> Ireland </c:v>
                </c:pt>
                <c:pt idx="14">
                  <c:v> Italy </c:v>
                </c:pt>
                <c:pt idx="15">
                  <c:v> Korea </c:v>
                </c:pt>
                <c:pt idx="16">
                  <c:v> Luxembourg </c:v>
                </c:pt>
                <c:pt idx="17">
                  <c:v> Mexico </c:v>
                </c:pt>
                <c:pt idx="18">
                  <c:v> Netherlands </c:v>
                </c:pt>
                <c:pt idx="19">
                  <c:v> Norway </c:v>
                </c:pt>
                <c:pt idx="20">
                  <c:v> Poland </c:v>
                </c:pt>
                <c:pt idx="21">
                  <c:v> Portugal </c:v>
                </c:pt>
                <c:pt idx="22">
                  <c:v> Slovak Republic </c:v>
                </c:pt>
                <c:pt idx="23">
                  <c:v> Slovenia </c:v>
                </c:pt>
                <c:pt idx="24">
                  <c:v> Spain </c:v>
                </c:pt>
                <c:pt idx="25">
                  <c:v> Sweden </c:v>
                </c:pt>
                <c:pt idx="26">
                  <c:v> Switzerland </c:v>
                </c:pt>
                <c:pt idx="27">
                  <c:v> United Kingdom </c:v>
                </c:pt>
                <c:pt idx="28">
                  <c:v> United States </c:v>
                </c:pt>
              </c:strCache>
            </c:strRef>
          </c:cat>
          <c:val>
            <c:numRef>
              <c:f>'Int. comparisons'!$E$184:$E$212</c:f>
              <c:numCache>
                <c:formatCode>_-* #,##0_-;\-* #,##0_-;_-* "-"??_-;_-@_-</c:formatCode>
                <c:ptCount val="29"/>
                <c:pt idx="0">
                  <c:v>53.070333793901511</c:v>
                </c:pt>
                <c:pt idx="1">
                  <c:v>202.57257128417194</c:v>
                </c:pt>
                <c:pt idx="2">
                  <c:v>179.63291622672028</c:v>
                </c:pt>
                <c:pt idx="3">
                  <c:v>18.679783454876926</c:v>
                </c:pt>
                <c:pt idx="4">
                  <c:v>57.022569592903601</c:v>
                </c:pt>
                <c:pt idx="5">
                  <c:v>412.29350595875428</c:v>
                </c:pt>
                <c:pt idx="6">
                  <c:v>162.34981146424639</c:v>
                </c:pt>
                <c:pt idx="7">
                  <c:v>208.99632352941177</c:v>
                </c:pt>
                <c:pt idx="8">
                  <c:v>178.27972011598095</c:v>
                </c:pt>
                <c:pt idx="9">
                  <c:v>142.23960857881787</c:v>
                </c:pt>
                <c:pt idx="10">
                  <c:v>0</c:v>
                </c:pt>
                <c:pt idx="11">
                  <c:v>33.984796254066296</c:v>
                </c:pt>
                <c:pt idx="12">
                  <c:v>26.080400986165159</c:v>
                </c:pt>
                <c:pt idx="13">
                  <c:v>93.143455314694478</c:v>
                </c:pt>
                <c:pt idx="14">
                  <c:v>97.583524631912326</c:v>
                </c:pt>
                <c:pt idx="15">
                  <c:v>83.632568672792956</c:v>
                </c:pt>
                <c:pt idx="16">
                  <c:v>227.87628120373822</c:v>
                </c:pt>
                <c:pt idx="17">
                  <c:v>0</c:v>
                </c:pt>
                <c:pt idx="18">
                  <c:v>249.99360287733651</c:v>
                </c:pt>
                <c:pt idx="19">
                  <c:v>223.54097722406073</c:v>
                </c:pt>
                <c:pt idx="20">
                  <c:v>0</c:v>
                </c:pt>
                <c:pt idx="21">
                  <c:v>104.29269505512896</c:v>
                </c:pt>
                <c:pt idx="22">
                  <c:v>32.064555999327176</c:v>
                </c:pt>
                <c:pt idx="23">
                  <c:v>0.73243265136254299</c:v>
                </c:pt>
                <c:pt idx="24">
                  <c:v>53.71895045739663</c:v>
                </c:pt>
                <c:pt idx="25">
                  <c:v>228.11218649183058</c:v>
                </c:pt>
                <c:pt idx="26">
                  <c:v>345.28091231002281</c:v>
                </c:pt>
                <c:pt idx="27">
                  <c:v>128.03250148743103</c:v>
                </c:pt>
                <c:pt idx="28">
                  <c:v>84.504863072769254</c:v>
                </c:pt>
              </c:numCache>
            </c:numRef>
          </c:val>
          <c:extLst>
            <c:ext xmlns:c16="http://schemas.microsoft.com/office/drawing/2014/chart" uri="{C3380CC4-5D6E-409C-BE32-E72D297353CC}">
              <c16:uniqueId val="{00000002-13A3-43F6-A056-96990CE1C7FE}"/>
            </c:ext>
          </c:extLst>
        </c:ser>
        <c:ser>
          <c:idx val="2"/>
          <c:order val="3"/>
          <c:tx>
            <c:strRef>
              <c:f>'Int. comparisons'!$D$183</c:f>
              <c:strCache>
                <c:ptCount val="1"/>
                <c:pt idx="0">
                  <c:v>Composted</c:v>
                </c:pt>
              </c:strCache>
            </c:strRef>
          </c:tx>
          <c:spPr>
            <a:solidFill>
              <a:schemeClr val="accent6">
                <a:lumMod val="60000"/>
                <a:lumOff val="40000"/>
              </a:schemeClr>
            </a:solidFill>
          </c:spPr>
          <c:invertIfNegative val="0"/>
          <c:cat>
            <c:strRef>
              <c:f>'Int. comparisons'!$A$184:$A$212</c:f>
              <c:strCache>
                <c:ptCount val="29"/>
                <c:pt idx="0">
                  <c:v> Australia </c:v>
                </c:pt>
                <c:pt idx="1">
                  <c:v> Austria </c:v>
                </c:pt>
                <c:pt idx="2">
                  <c:v> Belgium </c:v>
                </c:pt>
                <c:pt idx="3">
                  <c:v> Canada </c:v>
                </c:pt>
                <c:pt idx="4">
                  <c:v> Czech Republic </c:v>
                </c:pt>
                <c:pt idx="5">
                  <c:v> Denmark </c:v>
                </c:pt>
                <c:pt idx="6">
                  <c:v> Estonia </c:v>
                </c:pt>
                <c:pt idx="7">
                  <c:v> Finland </c:v>
                </c:pt>
                <c:pt idx="8">
                  <c:v> France </c:v>
                </c:pt>
                <c:pt idx="9">
                  <c:v> Germany </c:v>
                </c:pt>
                <c:pt idx="10">
                  <c:v> Greece </c:v>
                </c:pt>
                <c:pt idx="11">
                  <c:v> Hungary </c:v>
                </c:pt>
                <c:pt idx="12">
                  <c:v> Iceland </c:v>
                </c:pt>
                <c:pt idx="13">
                  <c:v> Ireland </c:v>
                </c:pt>
                <c:pt idx="14">
                  <c:v> Italy </c:v>
                </c:pt>
                <c:pt idx="15">
                  <c:v> Korea </c:v>
                </c:pt>
                <c:pt idx="16">
                  <c:v> Luxembourg </c:v>
                </c:pt>
                <c:pt idx="17">
                  <c:v> Mexico </c:v>
                </c:pt>
                <c:pt idx="18">
                  <c:v> Netherlands </c:v>
                </c:pt>
                <c:pt idx="19">
                  <c:v> Norway </c:v>
                </c:pt>
                <c:pt idx="20">
                  <c:v> Poland </c:v>
                </c:pt>
                <c:pt idx="21">
                  <c:v> Portugal </c:v>
                </c:pt>
                <c:pt idx="22">
                  <c:v> Slovak Republic </c:v>
                </c:pt>
                <c:pt idx="23">
                  <c:v> Slovenia </c:v>
                </c:pt>
                <c:pt idx="24">
                  <c:v> Spain </c:v>
                </c:pt>
                <c:pt idx="25">
                  <c:v> Sweden </c:v>
                </c:pt>
                <c:pt idx="26">
                  <c:v> Switzerland </c:v>
                </c:pt>
                <c:pt idx="27">
                  <c:v> United Kingdom </c:v>
                </c:pt>
                <c:pt idx="28">
                  <c:v> United States </c:v>
                </c:pt>
              </c:strCache>
            </c:strRef>
          </c:cat>
          <c:val>
            <c:numRef>
              <c:f>'Int. comparisons'!$D$184:$D$212</c:f>
              <c:numCache>
                <c:formatCode>_-* #,##0_-;\-* #,##0_-;_-* "-"??_-;_-@_-</c:formatCode>
                <c:ptCount val="29"/>
                <c:pt idx="0">
                  <c:v>95.94619650770214</c:v>
                </c:pt>
                <c:pt idx="1">
                  <c:v>192.07493118672929</c:v>
                </c:pt>
                <c:pt idx="2">
                  <c:v>92.826814638420231</c:v>
                </c:pt>
                <c:pt idx="3">
                  <c:v>70.335307789540806</c:v>
                </c:pt>
                <c:pt idx="4">
                  <c:v>8.8771451754811022</c:v>
                </c:pt>
                <c:pt idx="5">
                  <c:v>121.6399414988463</c:v>
                </c:pt>
                <c:pt idx="6">
                  <c:v>14.869252083437486</c:v>
                </c:pt>
                <c:pt idx="7">
                  <c:v>66.505514705882348</c:v>
                </c:pt>
                <c:pt idx="8">
                  <c:v>90.255961974485757</c:v>
                </c:pt>
                <c:pt idx="9">
                  <c:v>105.87061093592075</c:v>
                </c:pt>
                <c:pt idx="10">
                  <c:v>18.845807033363389</c:v>
                </c:pt>
                <c:pt idx="11">
                  <c:v>19.015302665965663</c:v>
                </c:pt>
                <c:pt idx="12">
                  <c:v>25.108655276344102</c:v>
                </c:pt>
                <c:pt idx="13">
                  <c:v>34.064639944170629</c:v>
                </c:pt>
                <c:pt idx="14">
                  <c:v>70.59685810472854</c:v>
                </c:pt>
                <c:pt idx="15">
                  <c:v>1.4735262099492092</c:v>
                </c:pt>
                <c:pt idx="16">
                  <c:v>128.14862528392717</c:v>
                </c:pt>
                <c:pt idx="17">
                  <c:v>0</c:v>
                </c:pt>
                <c:pt idx="18">
                  <c:v>136.57113035074678</c:v>
                </c:pt>
                <c:pt idx="19">
                  <c:v>68.362857699046131</c:v>
                </c:pt>
                <c:pt idx="20">
                  <c:v>29.273009480769993</c:v>
                </c:pt>
                <c:pt idx="21">
                  <c:v>56.706798121886152</c:v>
                </c:pt>
                <c:pt idx="22">
                  <c:v>12.727224720912254</c:v>
                </c:pt>
                <c:pt idx="23">
                  <c:v>29.995784874344146</c:v>
                </c:pt>
                <c:pt idx="24">
                  <c:v>74.160560691545399</c:v>
                </c:pt>
                <c:pt idx="25">
                  <c:v>68.971797273389527</c:v>
                </c:pt>
                <c:pt idx="26">
                  <c:v>107.55272927372965</c:v>
                </c:pt>
                <c:pt idx="27">
                  <c:v>79.990089553795826</c:v>
                </c:pt>
                <c:pt idx="28">
                  <c:v>61.602211439801273</c:v>
                </c:pt>
              </c:numCache>
            </c:numRef>
          </c:val>
          <c:extLst>
            <c:ext xmlns:c16="http://schemas.microsoft.com/office/drawing/2014/chart" uri="{C3380CC4-5D6E-409C-BE32-E72D297353CC}">
              <c16:uniqueId val="{00000003-13A3-43F6-A056-96990CE1C7FE}"/>
            </c:ext>
          </c:extLst>
        </c:ser>
        <c:ser>
          <c:idx val="4"/>
          <c:order val="4"/>
          <c:tx>
            <c:strRef>
              <c:f>'Int. comparisons'!$F$183</c:f>
              <c:strCache>
                <c:ptCount val="1"/>
                <c:pt idx="0">
                  <c:v>Other recovery / beneficial reuse</c:v>
                </c:pt>
              </c:strCache>
            </c:strRef>
          </c:tx>
          <c:spPr>
            <a:solidFill>
              <a:schemeClr val="accent5">
                <a:lumMod val="60000"/>
                <a:lumOff val="40000"/>
              </a:schemeClr>
            </a:solidFill>
          </c:spPr>
          <c:invertIfNegative val="0"/>
          <c:cat>
            <c:strRef>
              <c:f>'Int. comparisons'!$A$184:$A$212</c:f>
              <c:strCache>
                <c:ptCount val="29"/>
                <c:pt idx="0">
                  <c:v> Australia </c:v>
                </c:pt>
                <c:pt idx="1">
                  <c:v> Austria </c:v>
                </c:pt>
                <c:pt idx="2">
                  <c:v> Belgium </c:v>
                </c:pt>
                <c:pt idx="3">
                  <c:v> Canada </c:v>
                </c:pt>
                <c:pt idx="4">
                  <c:v> Czech Republic </c:v>
                </c:pt>
                <c:pt idx="5">
                  <c:v> Denmark </c:v>
                </c:pt>
                <c:pt idx="6">
                  <c:v> Estonia </c:v>
                </c:pt>
                <c:pt idx="7">
                  <c:v> Finland </c:v>
                </c:pt>
                <c:pt idx="8">
                  <c:v> France </c:v>
                </c:pt>
                <c:pt idx="9">
                  <c:v> Germany </c:v>
                </c:pt>
                <c:pt idx="10">
                  <c:v> Greece </c:v>
                </c:pt>
                <c:pt idx="11">
                  <c:v> Hungary </c:v>
                </c:pt>
                <c:pt idx="12">
                  <c:v> Iceland </c:v>
                </c:pt>
                <c:pt idx="13">
                  <c:v> Ireland </c:v>
                </c:pt>
                <c:pt idx="14">
                  <c:v> Italy </c:v>
                </c:pt>
                <c:pt idx="15">
                  <c:v> Korea </c:v>
                </c:pt>
                <c:pt idx="16">
                  <c:v> Luxembourg </c:v>
                </c:pt>
                <c:pt idx="17">
                  <c:v> Mexico </c:v>
                </c:pt>
                <c:pt idx="18">
                  <c:v> Netherlands </c:v>
                </c:pt>
                <c:pt idx="19">
                  <c:v> Norway </c:v>
                </c:pt>
                <c:pt idx="20">
                  <c:v> Poland </c:v>
                </c:pt>
                <c:pt idx="21">
                  <c:v> Portugal </c:v>
                </c:pt>
                <c:pt idx="22">
                  <c:v> Slovak Republic </c:v>
                </c:pt>
                <c:pt idx="23">
                  <c:v> Slovenia </c:v>
                </c:pt>
                <c:pt idx="24">
                  <c:v> Spain </c:v>
                </c:pt>
                <c:pt idx="25">
                  <c:v> Sweden </c:v>
                </c:pt>
                <c:pt idx="26">
                  <c:v> Switzerland </c:v>
                </c:pt>
                <c:pt idx="27">
                  <c:v> United Kingdom </c:v>
                </c:pt>
                <c:pt idx="28">
                  <c:v> United States </c:v>
                </c:pt>
              </c:strCache>
            </c:strRef>
          </c:cat>
          <c:val>
            <c:numRef>
              <c:f>'Int. comparisons'!$F$184:$F$212</c:f>
              <c:numCache>
                <c:formatCode>_-* #,##0_-;\-* #,##0_-;_-* "-"??_-;_-@_-</c:formatCode>
                <c:ptCount val="29"/>
                <c:pt idx="0">
                  <c:v>0</c:v>
                </c:pt>
                <c:pt idx="1">
                  <c:v>0</c:v>
                </c:pt>
                <c:pt idx="2">
                  <c:v>0</c:v>
                </c:pt>
                <c:pt idx="3">
                  <c:v>0</c:v>
                </c:pt>
                <c:pt idx="4">
                  <c:v>0</c:v>
                </c:pt>
                <c:pt idx="5">
                  <c:v>0</c:v>
                </c:pt>
                <c:pt idx="6">
                  <c:v>15.149518169574616</c:v>
                </c:pt>
                <c:pt idx="7">
                  <c:v>0</c:v>
                </c:pt>
                <c:pt idx="8">
                  <c:v>0</c:v>
                </c:pt>
                <c:pt idx="9">
                  <c:v>0</c:v>
                </c:pt>
                <c:pt idx="10">
                  <c:v>0</c:v>
                </c:pt>
                <c:pt idx="11">
                  <c:v>0</c:v>
                </c:pt>
                <c:pt idx="12">
                  <c:v>0</c:v>
                </c:pt>
                <c:pt idx="13">
                  <c:v>0</c:v>
                </c:pt>
                <c:pt idx="14">
                  <c:v>0</c:v>
                </c:pt>
                <c:pt idx="15">
                  <c:v>0</c:v>
                </c:pt>
                <c:pt idx="16">
                  <c:v>0</c:v>
                </c:pt>
                <c:pt idx="17">
                  <c:v>0</c:v>
                </c:pt>
                <c:pt idx="18">
                  <c:v>0</c:v>
                </c:pt>
                <c:pt idx="19">
                  <c:v>9.3439750827331132</c:v>
                </c:pt>
                <c:pt idx="20">
                  <c:v>0</c:v>
                </c:pt>
                <c:pt idx="21">
                  <c:v>0</c:v>
                </c:pt>
                <c:pt idx="22">
                  <c:v>18.279344949518542</c:v>
                </c:pt>
                <c:pt idx="23">
                  <c:v>161.03817235255912</c:v>
                </c:pt>
                <c:pt idx="24">
                  <c:v>0</c:v>
                </c:pt>
                <c:pt idx="25">
                  <c:v>0</c:v>
                </c:pt>
                <c:pt idx="26">
                  <c:v>0</c:v>
                </c:pt>
                <c:pt idx="27">
                  <c:v>0</c:v>
                </c:pt>
                <c:pt idx="28">
                  <c:v>0</c:v>
                </c:pt>
              </c:numCache>
            </c:numRef>
          </c:val>
          <c:extLst>
            <c:ext xmlns:c16="http://schemas.microsoft.com/office/drawing/2014/chart" uri="{C3380CC4-5D6E-409C-BE32-E72D297353CC}">
              <c16:uniqueId val="{00000004-13A3-43F6-A056-96990CE1C7FE}"/>
            </c:ext>
          </c:extLst>
        </c:ser>
        <c:ser>
          <c:idx val="5"/>
          <c:order val="5"/>
          <c:tx>
            <c:v>Recovery rate</c:v>
          </c:tx>
          <c:spPr>
            <a:noFill/>
          </c:spPr>
          <c:invertIfNegative val="0"/>
          <c:dLbls>
            <c:dLbl>
              <c:idx val="0"/>
              <c:layout>
                <c:manualLayout>
                  <c:x val="1.5011820330969267E-3"/>
                  <c:y val="-4.42936253431098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A3-43F6-A056-96990CE1C7FE}"/>
                </c:ext>
              </c:extLst>
            </c:dLbl>
            <c:dLbl>
              <c:idx val="1"/>
              <c:layout>
                <c:manualLayout>
                  <c:x val="1.3760676338881184E-17"/>
                  <c:y val="-6.98190693959697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A3-43F6-A056-96990CE1C7FE}"/>
                </c:ext>
              </c:extLst>
            </c:dLbl>
            <c:dLbl>
              <c:idx val="3"/>
              <c:layout>
                <c:manualLayout>
                  <c:x val="0"/>
                  <c:y val="-2.15785317387535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A3-43F6-A056-96990CE1C7FE}"/>
                </c:ext>
              </c:extLst>
            </c:dLbl>
            <c:dLbl>
              <c:idx val="4"/>
              <c:layout>
                <c:manualLayout>
                  <c:x val="-2.7521352677762368E-17"/>
                  <c:y val="-2.73438533505593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A3-43F6-A056-96990CE1C7FE}"/>
                </c:ext>
              </c:extLst>
            </c:dLbl>
            <c:dLbl>
              <c:idx val="5"/>
              <c:layout>
                <c:manualLayout>
                  <c:x val="0"/>
                  <c:y val="-4.98255358477755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C8-4341-B3D7-9613BDFC18C2}"/>
                </c:ext>
              </c:extLst>
            </c:dLbl>
            <c:dLbl>
              <c:idx val="7"/>
              <c:layout>
                <c:manualLayout>
                  <c:x val="0"/>
                  <c:y val="-4.41801709528958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A3-43F6-A056-96990CE1C7FE}"/>
                </c:ext>
              </c:extLst>
            </c:dLbl>
            <c:dLbl>
              <c:idx val="9"/>
              <c:layout>
                <c:manualLayout>
                  <c:x val="0"/>
                  <c:y val="-1.8611452794677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A3-43F6-A056-96990CE1C7FE}"/>
                </c:ext>
              </c:extLst>
            </c:dLbl>
            <c:dLbl>
              <c:idx val="10"/>
              <c:layout>
                <c:manualLayout>
                  <c:x val="0"/>
                  <c:y val="-2.4311078484877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A3-43F6-A056-96990CE1C7FE}"/>
                </c:ext>
              </c:extLst>
            </c:dLbl>
            <c:dLbl>
              <c:idx val="11"/>
              <c:layout>
                <c:manualLayout>
                  <c:x val="0"/>
                  <c:y val="-4.13613002142180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A3-43F6-A056-96990CE1C7FE}"/>
                </c:ext>
              </c:extLst>
            </c:dLbl>
            <c:dLbl>
              <c:idx val="12"/>
              <c:layout>
                <c:manualLayout>
                  <c:x val="-5.5118881473987366E-17"/>
                  <c:y val="-2.15998324641890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A3-43F6-A056-96990CE1C7FE}"/>
                </c:ext>
              </c:extLst>
            </c:dLbl>
            <c:dLbl>
              <c:idx val="14"/>
              <c:layout>
                <c:manualLayout>
                  <c:x val="1.5032595876003179E-3"/>
                  <c:y val="-2.15285310885209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A3-43F6-A056-96990CE1C7FE}"/>
                </c:ext>
              </c:extLst>
            </c:dLbl>
            <c:dLbl>
              <c:idx val="15"/>
              <c:layout>
                <c:manualLayout>
                  <c:x val="-1.1008541071104947E-16"/>
                  <c:y val="-4.42965401792220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A3-43F6-A056-96990CE1C7FE}"/>
                </c:ext>
              </c:extLst>
            </c:dLbl>
            <c:dLbl>
              <c:idx val="18"/>
              <c:layout>
                <c:manualLayout>
                  <c:x val="0"/>
                  <c:y val="-4.13722869041795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A3-43F6-A056-96990CE1C7FE}"/>
                </c:ext>
              </c:extLst>
            </c:dLbl>
            <c:dLbl>
              <c:idx val="20"/>
              <c:layout>
                <c:manualLayout>
                  <c:x val="-1.5011820330969267E-3"/>
                  <c:y val="-3.01761771789857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48-4E95-B087-D0A24C42EE11}"/>
                </c:ext>
              </c:extLst>
            </c:dLbl>
            <c:dLbl>
              <c:idx val="21"/>
              <c:layout>
                <c:manualLayout>
                  <c:x val="0"/>
                  <c:y val="-2.4247176308570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A3-43F6-A056-96990CE1C7FE}"/>
                </c:ext>
              </c:extLst>
            </c:dLbl>
            <c:dLbl>
              <c:idx val="28"/>
              <c:layout>
                <c:manualLayout>
                  <c:x val="-1.1023776294797473E-16"/>
                  <c:y val="-1.86152645034397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A3-43F6-A056-96990CE1C7FE}"/>
                </c:ext>
              </c:extLst>
            </c:dLbl>
            <c:dLbl>
              <c:idx val="29"/>
              <c:layout>
                <c:manualLayout>
                  <c:x val="1.5032595876002628E-3"/>
                  <c:y val="-3.00775211874953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A3-43F6-A056-96990CE1C7FE}"/>
                </c:ext>
              </c:extLst>
            </c:dLbl>
            <c:dLbl>
              <c:idx val="30"/>
              <c:layout>
                <c:manualLayout>
                  <c:x val="0"/>
                  <c:y val="-4.70250509984210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3A3-43F6-A056-96990CE1C7FE}"/>
                </c:ext>
              </c:extLst>
            </c:dLbl>
            <c:dLbl>
              <c:idx val="34"/>
              <c:layout>
                <c:manualLayout>
                  <c:x val="0"/>
                  <c:y val="-2.1531670142795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3A3-43F6-A056-96990CE1C7FE}"/>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 comparisons'!$H$184:$H$212</c:f>
              <c:numCache>
                <c:formatCode>0%</c:formatCode>
                <c:ptCount val="29"/>
                <c:pt idx="0">
                  <c:v>0.51394880182753422</c:v>
                </c:pt>
                <c:pt idx="1">
                  <c:v>0.94040351784790477</c:v>
                </c:pt>
                <c:pt idx="2">
                  <c:v>0.95935613682092558</c:v>
                </c:pt>
                <c:pt idx="3">
                  <c:v>0.27690147477135602</c:v>
                </c:pt>
                <c:pt idx="4">
                  <c:v>0.4384496009912347</c:v>
                </c:pt>
                <c:pt idx="5">
                  <c:v>0.98318730760123141</c:v>
                </c:pt>
                <c:pt idx="6">
                  <c:v>0.7838985244628528</c:v>
                </c:pt>
                <c:pt idx="7">
                  <c:v>0.74923180190930783</c:v>
                </c:pt>
                <c:pt idx="8">
                  <c:v>0.73106251668990907</c:v>
                </c:pt>
                <c:pt idx="9">
                  <c:v>0.86947750655638489</c:v>
                </c:pt>
                <c:pt idx="10">
                  <c:v>0.19301700984780662</c:v>
                </c:pt>
                <c:pt idx="11">
                  <c:v>0.35393258426966301</c:v>
                </c:pt>
                <c:pt idx="12">
                  <c:v>0.47441176470588242</c:v>
                </c:pt>
                <c:pt idx="13">
                  <c:v>0.52434540389972151</c:v>
                </c:pt>
                <c:pt idx="14">
                  <c:v>0.59594900754066216</c:v>
                </c:pt>
                <c:pt idx="15">
                  <c:v>0.82683009108287397</c:v>
                </c:pt>
                <c:pt idx="16">
                  <c:v>0.82473273620340937</c:v>
                </c:pt>
                <c:pt idx="17">
                  <c:v>4.9877917858194711E-2</c:v>
                </c:pt>
                <c:pt idx="18">
                  <c:v>0.98303551232752773</c:v>
                </c:pt>
                <c:pt idx="19">
                  <c:v>0.97199595476693934</c:v>
                </c:pt>
                <c:pt idx="20">
                  <c:v>0.19629261833829856</c:v>
                </c:pt>
                <c:pt idx="21">
                  <c:v>0.49538702451118988</c:v>
                </c:pt>
                <c:pt idx="22">
                  <c:v>0.27330657910738176</c:v>
                </c:pt>
                <c:pt idx="23">
                  <c:v>0.73362117304026009</c:v>
                </c:pt>
                <c:pt idx="24">
                  <c:v>0.44909830146309621</c:v>
                </c:pt>
                <c:pt idx="25">
                  <c:v>0.99352072305309624</c:v>
                </c:pt>
                <c:pt idx="26">
                  <c:v>1</c:v>
                </c:pt>
                <c:pt idx="27">
                  <c:v>0.69844399473193919</c:v>
                </c:pt>
                <c:pt idx="28">
                  <c:v>0.46187237482645294</c:v>
                </c:pt>
              </c:numCache>
            </c:numRef>
          </c:val>
          <c:extLst>
            <c:ext xmlns:c16="http://schemas.microsoft.com/office/drawing/2014/chart" uri="{C3380CC4-5D6E-409C-BE32-E72D297353CC}">
              <c16:uniqueId val="{00000016-13A3-43F6-A056-96990CE1C7FE}"/>
            </c:ext>
          </c:extLst>
        </c:ser>
        <c:dLbls>
          <c:showLegendKey val="0"/>
          <c:showVal val="0"/>
          <c:showCatName val="0"/>
          <c:showSerName val="0"/>
          <c:showPercent val="0"/>
          <c:showBubbleSize val="0"/>
        </c:dLbls>
        <c:gapWidth val="150"/>
        <c:overlap val="100"/>
        <c:axId val="146987264"/>
        <c:axId val="148983808"/>
      </c:barChart>
      <c:catAx>
        <c:axId val="146987264"/>
        <c:scaling>
          <c:orientation val="minMax"/>
        </c:scaling>
        <c:delete val="0"/>
        <c:axPos val="b"/>
        <c:numFmt formatCode="General" sourceLinked="0"/>
        <c:majorTickMark val="out"/>
        <c:minorTickMark val="none"/>
        <c:tickLblPos val="nextTo"/>
        <c:txPr>
          <a:bodyPr rot="-5400000" vert="horz"/>
          <a:lstStyle/>
          <a:p>
            <a:pPr>
              <a:defRPr sz="1000"/>
            </a:pPr>
            <a:endParaRPr lang="en-US"/>
          </a:p>
        </c:txPr>
        <c:crossAx val="148983808"/>
        <c:crosses val="autoZero"/>
        <c:auto val="1"/>
        <c:lblAlgn val="ctr"/>
        <c:lblOffset val="100"/>
        <c:noMultiLvlLbl val="0"/>
      </c:catAx>
      <c:valAx>
        <c:axId val="148983808"/>
        <c:scaling>
          <c:orientation val="minMax"/>
          <c:max val="1000"/>
          <c:min val="0"/>
        </c:scaling>
        <c:delete val="0"/>
        <c:axPos val="l"/>
        <c:majorGridlines>
          <c:spPr>
            <a:ln w="2540"/>
          </c:spPr>
        </c:majorGridlines>
        <c:title>
          <c:tx>
            <c:rich>
              <a:bodyPr/>
              <a:lstStyle/>
              <a:p>
                <a:pPr>
                  <a:defRPr/>
                </a:pPr>
                <a:r>
                  <a:rPr lang="en-AU" baseline="0"/>
                  <a:t>Kg per capita</a:t>
                </a:r>
              </a:p>
            </c:rich>
          </c:tx>
          <c:layout>
            <c:manualLayout>
              <c:xMode val="edge"/>
              <c:yMode val="edge"/>
              <c:x val="1.4317874396135266E-2"/>
              <c:y val="0.29605205628234621"/>
            </c:manualLayout>
          </c:layout>
          <c:overlay val="0"/>
        </c:title>
        <c:numFmt formatCode="_-* #,##0_-;\-* #,##0_-;_-* &quot;-&quot;??_-;_-@_-" sourceLinked="1"/>
        <c:majorTickMark val="out"/>
        <c:minorTickMark val="none"/>
        <c:tickLblPos val="nextTo"/>
        <c:txPr>
          <a:bodyPr/>
          <a:lstStyle/>
          <a:p>
            <a:pPr>
              <a:defRPr sz="1000"/>
            </a:pPr>
            <a:endParaRPr lang="en-US"/>
          </a:p>
        </c:txPr>
        <c:crossAx val="146987264"/>
        <c:crosses val="autoZero"/>
        <c:crossBetween val="between"/>
        <c:majorUnit val="200"/>
      </c:valAx>
    </c:plotArea>
    <c:legend>
      <c:legendPos val="t"/>
      <c:legendEntry>
        <c:idx val="5"/>
        <c:delete val="1"/>
      </c:legendEntry>
      <c:layout>
        <c:manualLayout>
          <c:xMode val="edge"/>
          <c:yMode val="edge"/>
          <c:x val="0.20836442080378251"/>
          <c:y val="1.9932994644324971E-2"/>
          <c:w val="0.67334196217494091"/>
          <c:h val="5.1492373667639625E-2"/>
        </c:manualLayout>
      </c:layout>
      <c:overlay val="0"/>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6475398756421"/>
          <c:y val="9.2548842956844096E-2"/>
          <c:w val="0.80339078129224117"/>
          <c:h val="0.42652144402881725"/>
        </c:manualLayout>
      </c:layout>
      <c:barChart>
        <c:barDir val="col"/>
        <c:grouping val="stacked"/>
        <c:varyColors val="0"/>
        <c:ser>
          <c:idx val="0"/>
          <c:order val="0"/>
          <c:tx>
            <c:strRef>
              <c:f>'Int. comparisons'!$K$15</c:f>
              <c:strCache>
                <c:ptCount val="1"/>
                <c:pt idx="0">
                  <c:v>Disposal</c:v>
                </c:pt>
              </c:strCache>
            </c:strRef>
          </c:tx>
          <c:spPr>
            <a:solidFill>
              <a:srgbClr val="4F6228"/>
            </a:solidFill>
            <a:ln>
              <a:noFill/>
            </a:ln>
            <a:effectLst/>
          </c:spPr>
          <c:invertIfNegative val="0"/>
          <c:cat>
            <c:strRef>
              <c:extLst>
                <c:ext xmlns:c15="http://schemas.microsoft.com/office/drawing/2012/chart" uri="{02D57815-91ED-43cb-92C2-25804820EDAC}">
                  <c15:fullRef>
                    <c15:sqref>'Int. comparisons'!$J$16:$J$22</c15:sqref>
                  </c15:fullRef>
                </c:ext>
              </c:extLst>
              <c:f>'Int. comparisons'!$J$16:$J$21</c:f>
              <c:strCache>
                <c:ptCount val="6"/>
                <c:pt idx="0">
                  <c:v>a) Australia</c:v>
                </c:pt>
                <c:pt idx="1">
                  <c:v>b) Denmark</c:v>
                </c:pt>
                <c:pt idx="2">
                  <c:v>c) New Zealand</c:v>
                </c:pt>
                <c:pt idx="3">
                  <c:v>d) Norway</c:v>
                </c:pt>
                <c:pt idx="4">
                  <c:v>e) United Kingdom</c:v>
                </c:pt>
                <c:pt idx="5">
                  <c:v>f) United States</c:v>
                </c:pt>
              </c:strCache>
            </c:strRef>
          </c:cat>
          <c:val>
            <c:numRef>
              <c:extLst>
                <c:ext xmlns:c15="http://schemas.microsoft.com/office/drawing/2012/chart" uri="{02D57815-91ED-43cb-92C2-25804820EDAC}">
                  <c15:fullRef>
                    <c15:sqref>'Int. comparisons'!$K$16:$K$22</c15:sqref>
                  </c15:fullRef>
                </c:ext>
              </c:extLst>
              <c:f>'Int. comparisons'!$K$16:$K$21</c:f>
              <c:numCache>
                <c:formatCode>#,##0</c:formatCode>
                <c:ptCount val="6"/>
                <c:pt idx="0">
                  <c:v>1134.4726639145265</c:v>
                </c:pt>
                <c:pt idx="1">
                  <c:v>98.62699694848321</c:v>
                </c:pt>
                <c:pt idx="2">
                  <c:v>1520.5348227816662</c:v>
                </c:pt>
                <c:pt idx="3">
                  <c:v>464.74596067743812</c:v>
                </c:pt>
                <c:pt idx="4">
                  <c:v>1409.1790072715778</c:v>
                </c:pt>
                <c:pt idx="5">
                  <c:v>1297.0211527572603</c:v>
                </c:pt>
              </c:numCache>
            </c:numRef>
          </c:val>
          <c:extLst>
            <c:ext xmlns:c16="http://schemas.microsoft.com/office/drawing/2014/chart" uri="{C3380CC4-5D6E-409C-BE32-E72D297353CC}">
              <c16:uniqueId val="{00000000-BB90-4A8D-8B94-9FFF27A02E93}"/>
            </c:ext>
          </c:extLst>
        </c:ser>
        <c:ser>
          <c:idx val="1"/>
          <c:order val="1"/>
          <c:tx>
            <c:strRef>
              <c:f>'Int. comparisons'!$L$15</c:f>
              <c:strCache>
                <c:ptCount val="1"/>
                <c:pt idx="0">
                  <c:v>Recycling</c:v>
                </c:pt>
              </c:strCache>
            </c:strRef>
          </c:tx>
          <c:spPr>
            <a:solidFill>
              <a:srgbClr val="FFFF00"/>
            </a:solidFill>
            <a:ln>
              <a:noFill/>
            </a:ln>
            <a:effectLst/>
          </c:spPr>
          <c:invertIfNegative val="0"/>
          <c:cat>
            <c:strRef>
              <c:extLst>
                <c:ext xmlns:c15="http://schemas.microsoft.com/office/drawing/2012/chart" uri="{02D57815-91ED-43cb-92C2-25804820EDAC}">
                  <c15:fullRef>
                    <c15:sqref>'Int. comparisons'!$J$16:$J$22</c15:sqref>
                  </c15:fullRef>
                </c:ext>
              </c:extLst>
              <c:f>'Int. comparisons'!$J$16:$J$21</c:f>
              <c:strCache>
                <c:ptCount val="6"/>
                <c:pt idx="0">
                  <c:v>a) Australia</c:v>
                </c:pt>
                <c:pt idx="1">
                  <c:v>b) Denmark</c:v>
                </c:pt>
                <c:pt idx="2">
                  <c:v>c) New Zealand</c:v>
                </c:pt>
                <c:pt idx="3">
                  <c:v>d) Norway</c:v>
                </c:pt>
                <c:pt idx="4">
                  <c:v>e) United Kingdom</c:v>
                </c:pt>
                <c:pt idx="5">
                  <c:v>f) United States</c:v>
                </c:pt>
              </c:strCache>
            </c:strRef>
          </c:cat>
          <c:val>
            <c:numRef>
              <c:extLst>
                <c:ext xmlns:c15="http://schemas.microsoft.com/office/drawing/2012/chart" uri="{02D57815-91ED-43cb-92C2-25804820EDAC}">
                  <c15:fullRef>
                    <c15:sqref>'Int. comparisons'!$L$16:$L$22</c15:sqref>
                  </c15:fullRef>
                </c:ext>
              </c:extLst>
              <c:f>'Int. comparisons'!$L$16:$L$21</c:f>
              <c:numCache>
                <c:formatCode>#,##0</c:formatCode>
                <c:ptCount val="6"/>
                <c:pt idx="0">
                  <c:v>1472.4444428625336</c:v>
                </c:pt>
                <c:pt idx="1">
                  <c:v>1003.8829653563095</c:v>
                </c:pt>
                <c:pt idx="2">
                  <c:v>579.25136105968238</c:v>
                </c:pt>
                <c:pt idx="3" formatCode="_-* #,##0_-;\-* #,##0_-;_-* &quot;-&quot;??_-;_-@_-">
                  <c:v>0</c:v>
                </c:pt>
                <c:pt idx="4">
                  <c:v>1576.3027189377174</c:v>
                </c:pt>
                <c:pt idx="5">
                  <c:v>1080.9637837718146</c:v>
                </c:pt>
              </c:numCache>
            </c:numRef>
          </c:val>
          <c:extLst>
            <c:ext xmlns:c16="http://schemas.microsoft.com/office/drawing/2014/chart" uri="{C3380CC4-5D6E-409C-BE32-E72D297353CC}">
              <c16:uniqueId val="{00000001-BB90-4A8D-8B94-9FFF27A02E93}"/>
            </c:ext>
          </c:extLst>
        </c:ser>
        <c:ser>
          <c:idx val="3"/>
          <c:order val="2"/>
          <c:tx>
            <c:strRef>
              <c:f>'Int. comparisons'!$M$15</c:f>
              <c:strCache>
                <c:ptCount val="1"/>
                <c:pt idx="0">
                  <c:v>Energy recovery</c:v>
                </c:pt>
              </c:strCache>
            </c:strRef>
          </c:tx>
          <c:spPr>
            <a:solidFill>
              <a:schemeClr val="accent6">
                <a:lumMod val="75000"/>
              </a:schemeClr>
            </a:solidFill>
            <a:ln>
              <a:noFill/>
            </a:ln>
            <a:effectLst/>
          </c:spPr>
          <c:invertIfNegative val="0"/>
          <c:cat>
            <c:strLit>
              <c:ptCount val="6"/>
              <c:pt idx="0">
                <c:v>a) Australia</c:v>
              </c:pt>
              <c:pt idx="1">
                <c:v>b) Denmark</c:v>
              </c:pt>
              <c:pt idx="2">
                <c:v>c) New Zealand</c:v>
              </c:pt>
              <c:pt idx="3">
                <c:v>d) Norway</c:v>
              </c:pt>
              <c:pt idx="4">
                <c:v>e) United Kingdom</c:v>
              </c:pt>
              <c:pt idx="5">
                <c:v>f) United States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'Int. comparisons'!$M$16:$M$22</c15:sqref>
                  </c15:fullRef>
                </c:ext>
              </c:extLst>
              <c:f>'Int. comparisons'!$M$16:$M$21</c:f>
              <c:numCache>
                <c:formatCode>#,##0</c:formatCode>
                <c:ptCount val="6"/>
                <c:pt idx="0">
                  <c:v>97.876743065946314</c:v>
                </c:pt>
                <c:pt idx="1">
                  <c:v>286.20124019969762</c:v>
                </c:pt>
                <c:pt idx="2" formatCode="_-* #,##0_-;\-* #,##0_-;_-* &quot;-&quot;??_-;_-@_-">
                  <c:v>0</c:v>
                </c:pt>
                <c:pt idx="3" formatCode="_-* #,##0_-;\-* #,##0_-;_-* &quot;-&quot;??_-;_-@_-">
                  <c:v>0</c:v>
                </c:pt>
                <c:pt idx="4">
                  <c:v>25.598203087220302</c:v>
                </c:pt>
                <c:pt idx="5">
                  <c:v>41.636389133233898</c:v>
                </c:pt>
              </c:numCache>
            </c:numRef>
          </c:val>
          <c:extLst>
            <c:ext xmlns:c16="http://schemas.microsoft.com/office/drawing/2014/chart" uri="{C3380CC4-5D6E-409C-BE32-E72D297353CC}">
              <c16:uniqueId val="{00000002-BB90-4A8D-8B94-9FFF27A02E93}"/>
            </c:ext>
          </c:extLst>
        </c:ser>
        <c:ser>
          <c:idx val="4"/>
          <c:order val="3"/>
          <c:tx>
            <c:strRef>
              <c:f>'Int. comparisons'!$N$15</c:f>
              <c:strCache>
                <c:ptCount val="1"/>
                <c:pt idx="0">
                  <c:v>En. rec. + recycl.</c:v>
                </c:pt>
              </c:strCache>
            </c:strRef>
          </c:tx>
          <c:spPr>
            <a:solidFill>
              <a:srgbClr val="FFCC00"/>
            </a:solidFill>
            <a:ln>
              <a:noFill/>
            </a:ln>
            <a:effectLst/>
          </c:spPr>
          <c:invertIfNegative val="0"/>
          <c:cat>
            <c:strLit>
              <c:ptCount val="6"/>
              <c:pt idx="0">
                <c:v>a) Australia</c:v>
              </c:pt>
              <c:pt idx="1">
                <c:v>b) Denmark</c:v>
              </c:pt>
              <c:pt idx="2">
                <c:v>c) New Zealand</c:v>
              </c:pt>
              <c:pt idx="3">
                <c:v>d) Norway</c:v>
              </c:pt>
              <c:pt idx="4">
                <c:v>e) United Kingdom</c:v>
              </c:pt>
              <c:pt idx="5">
                <c:v>f) United States</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'Int. comparisons'!$N$16:$N$22</c15:sqref>
                  </c15:fullRef>
                </c:ext>
              </c:extLst>
              <c:f>'Int. comparisons'!$N$16:$N$21</c:f>
              <c:numCache>
                <c:formatCode>_-* #,##0_-;\-* #,##0_-;_-* "-"??_-;_-@_-</c:formatCode>
                <c:ptCount val="6"/>
                <c:pt idx="0">
                  <c:v>0</c:v>
                </c:pt>
                <c:pt idx="1">
                  <c:v>0</c:v>
                </c:pt>
                <c:pt idx="2">
                  <c:v>0</c:v>
                </c:pt>
                <c:pt idx="3" formatCode="#,##0">
                  <c:v>1858.9838427097529</c:v>
                </c:pt>
                <c:pt idx="4">
                  <c:v>0</c:v>
                </c:pt>
                <c:pt idx="5">
                  <c:v>0</c:v>
                </c:pt>
              </c:numCache>
            </c:numRef>
          </c:val>
          <c:extLst>
            <c:ext xmlns:c16="http://schemas.microsoft.com/office/drawing/2014/chart" uri="{C3380CC4-5D6E-409C-BE32-E72D297353CC}">
              <c16:uniqueId val="{00000004-BB90-4A8D-8B94-9FFF27A02E93}"/>
            </c:ext>
          </c:extLst>
        </c:ser>
        <c:ser>
          <c:idx val="2"/>
          <c:order val="4"/>
          <c:tx>
            <c:strRef>
              <c:f>'Int. comparisons'!$P$15</c:f>
              <c:strCache>
                <c:ptCount val="1"/>
                <c:pt idx="0">
                  <c:v>Diversion rate (%)</c:v>
                </c:pt>
              </c:strCache>
            </c:strRef>
          </c:tx>
          <c:spPr>
            <a:noFill/>
            <a:ln>
              <a:noFill/>
            </a:ln>
            <a:effectLst/>
          </c:spPr>
          <c:invertIfNegative val="0"/>
          <c:dLbls>
            <c:dLbl>
              <c:idx val="0"/>
              <c:layout>
                <c:manualLayout>
                  <c:x val="-3.9197078056207006E-17"/>
                  <c:y val="-1.97946969696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90-4A8D-8B94-9FFF27A02E93}"/>
                </c:ext>
              </c:extLst>
            </c:dLbl>
            <c:dLbl>
              <c:idx val="2"/>
              <c:layout>
                <c:manualLayout>
                  <c:x val="0"/>
                  <c:y val="-6.3085087719298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FA-4239-9B1E-070BFF2E8530}"/>
                </c:ext>
              </c:extLst>
            </c:dLbl>
            <c:dLbl>
              <c:idx val="3"/>
              <c:layout>
                <c:manualLayout>
                  <c:x val="0"/>
                  <c:y val="-4.097719298245617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F8-43F0-B642-9B0627103AFD}"/>
                </c:ext>
              </c:extLst>
            </c:dLbl>
            <c:dLbl>
              <c:idx val="4"/>
              <c:layout>
                <c:manualLayout>
                  <c:x val="-7.7723709112144022E-6"/>
                  <c:y val="-3.10339181286549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F8-43F0-B642-9B0627103A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'Int. comparisons'!$J$16:$J$22</c15:sqref>
                  </c15:fullRef>
                </c:ext>
              </c:extLst>
              <c:f>'Int. comparisons'!$J$16:$J$21</c:f>
              <c:strCache>
                <c:ptCount val="6"/>
                <c:pt idx="0">
                  <c:v>a) Australia</c:v>
                </c:pt>
                <c:pt idx="1">
                  <c:v>b) Denmark</c:v>
                </c:pt>
                <c:pt idx="2">
                  <c:v>c) New Zealand</c:v>
                </c:pt>
                <c:pt idx="3">
                  <c:v>d) Norway</c:v>
                </c:pt>
                <c:pt idx="4">
                  <c:v>e) United Kingdom</c:v>
                </c:pt>
                <c:pt idx="5">
                  <c:v>f) United States</c:v>
                </c:pt>
              </c:strCache>
            </c:strRef>
          </c:cat>
          <c:val>
            <c:numRef>
              <c:extLst>
                <c:ext xmlns:c15="http://schemas.microsoft.com/office/drawing/2012/chart" uri="{02D57815-91ED-43cb-92C2-25804820EDAC}">
                  <c15:fullRef>
                    <c15:sqref>'Int. comparisons'!$P$16:$P$22</c15:sqref>
                  </c15:fullRef>
                </c:ext>
              </c:extLst>
              <c:f>'Int. comparisons'!$P$16:$P$21</c:f>
              <c:numCache>
                <c:formatCode>0%</c:formatCode>
                <c:ptCount val="6"/>
                <c:pt idx="0">
                  <c:v>0.5805696378744819</c:v>
                </c:pt>
                <c:pt idx="1">
                  <c:v>0.90065734539253939</c:v>
                </c:pt>
                <c:pt idx="2">
                  <c:v>0.27586206896551724</c:v>
                </c:pt>
                <c:pt idx="3">
                  <c:v>0.8</c:v>
                </c:pt>
                <c:pt idx="4">
                  <c:v>0.54007202763868745</c:v>
                </c:pt>
                <c:pt idx="5">
                  <c:v>0.47728101375556148</c:v>
                </c:pt>
              </c:numCache>
            </c:numRef>
          </c:val>
          <c:extLst>
            <c:ext xmlns:c16="http://schemas.microsoft.com/office/drawing/2014/chart" uri="{C3380CC4-5D6E-409C-BE32-E72D297353CC}">
              <c16:uniqueId val="{00000003-BB90-4A8D-8B94-9FFF27A02E93}"/>
            </c:ext>
          </c:extLst>
        </c:ser>
        <c:dLbls>
          <c:showLegendKey val="0"/>
          <c:showVal val="0"/>
          <c:showCatName val="0"/>
          <c:showSerName val="0"/>
          <c:showPercent val="0"/>
          <c:showBubbleSize val="0"/>
        </c:dLbls>
        <c:gapWidth val="219"/>
        <c:overlap val="100"/>
        <c:axId val="511236800"/>
        <c:axId val="511233520"/>
      </c:barChart>
      <c:catAx>
        <c:axId val="511236800"/>
        <c:scaling>
          <c:orientation val="minMax"/>
        </c:scaling>
        <c:delete val="0"/>
        <c:axPos val="b"/>
        <c:numFmt formatCode="General" sourceLinked="1"/>
        <c:majorTickMark val="none"/>
        <c:minorTickMark val="none"/>
        <c:tickLblPos val="nextTo"/>
        <c:spPr>
          <a:noFill/>
          <a:ln w="2540" cap="flat" cmpd="sng" algn="ctr">
            <a:solidFill>
              <a:srgbClr val="8B8B8B"/>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11233520"/>
        <c:crosses val="autoZero"/>
        <c:auto val="1"/>
        <c:lblAlgn val="ctr"/>
        <c:lblOffset val="100"/>
        <c:noMultiLvlLbl val="0"/>
      </c:catAx>
      <c:valAx>
        <c:axId val="511233520"/>
        <c:scaling>
          <c:orientation val="minMax"/>
        </c:scaling>
        <c:delete val="0"/>
        <c:axPos val="l"/>
        <c:majorGridlines>
          <c:spPr>
            <a:ln w="2540" cap="flat" cmpd="sng" algn="ctr">
              <a:solidFill>
                <a:srgbClr val="8B8B8B"/>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Kg per capita</a:t>
                </a:r>
              </a:p>
            </c:rich>
          </c:tx>
          <c:layout>
            <c:manualLayout>
              <c:xMode val="edge"/>
              <c:yMode val="edge"/>
              <c:x val="6.7656968099486348E-2"/>
              <c:y val="0.1612038240405657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511236800"/>
        <c:crosses val="autoZero"/>
        <c:crossBetween val="between"/>
      </c:valAx>
      <c:spPr>
        <a:noFill/>
        <a:ln>
          <a:noFill/>
        </a:ln>
        <a:effectLst/>
      </c:spPr>
    </c:plotArea>
    <c:legend>
      <c:legendPos val="t"/>
      <c:legendEntry>
        <c:idx val="4"/>
        <c:delete val="1"/>
      </c:legendEntry>
      <c:layout>
        <c:manualLayout>
          <c:xMode val="edge"/>
          <c:yMode val="edge"/>
          <c:x val="0.28861161800486612"/>
          <c:y val="2.1216668239218636E-2"/>
          <c:w val="0.57298628007569619"/>
          <c:h val="6.266491228070175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66026936026936"/>
          <c:y val="0.25345500589597508"/>
          <c:w val="0.86158367003366998"/>
          <c:h val="0.276289478170685"/>
        </c:manualLayout>
      </c:layout>
      <c:barChart>
        <c:barDir val="col"/>
        <c:grouping val="stacked"/>
        <c:varyColors val="0"/>
        <c:ser>
          <c:idx val="0"/>
          <c:order val="0"/>
          <c:tx>
            <c:strRef>
              <c:f>'Int. comparisons'!$K$15</c:f>
              <c:strCache>
                <c:ptCount val="1"/>
                <c:pt idx="0">
                  <c:v>Disposal</c:v>
                </c:pt>
              </c:strCache>
            </c:strRef>
          </c:tx>
          <c:spPr>
            <a:noFill/>
            <a:ln>
              <a:noFill/>
            </a:ln>
            <a:effectLst/>
          </c:spPr>
          <c:invertIfNegative val="0"/>
          <c:cat>
            <c:strRef>
              <c:f>'Int. comparisons'!$I$53:$I$64</c:f>
              <c:strCache>
                <c:ptCount val="12"/>
                <c:pt idx="0">
                  <c:v>kt</c:v>
                </c:pt>
                <c:pt idx="1">
                  <c:v>kg/cap</c:v>
                </c:pt>
                <c:pt idx="2">
                  <c:v>kt</c:v>
                </c:pt>
                <c:pt idx="3">
                  <c:v>kg/cap</c:v>
                </c:pt>
                <c:pt idx="4">
                  <c:v>kt</c:v>
                </c:pt>
                <c:pt idx="5">
                  <c:v>kg/cap</c:v>
                </c:pt>
                <c:pt idx="6">
                  <c:v>kt</c:v>
                </c:pt>
                <c:pt idx="7">
                  <c:v>kg/cap</c:v>
                </c:pt>
                <c:pt idx="8">
                  <c:v>kt</c:v>
                </c:pt>
                <c:pt idx="9">
                  <c:v>kg/cap</c:v>
                </c:pt>
                <c:pt idx="10">
                  <c:v>kt</c:v>
                </c:pt>
                <c:pt idx="11">
                  <c:v>kg/cap</c:v>
                </c:pt>
              </c:strCache>
            </c:strRef>
          </c:cat>
          <c:val>
            <c:numRef>
              <c:f>('Int. comparisons'!$C$16,'Int. comparisons'!$K$16,'Int. comparisons'!$C$17,'Int. comparisons'!$K$17,'Int. comparisons'!$C$23,'Int. comparisons'!$K$18,'Int. comparisons'!$C$24,'Int. comparisons'!$K$19,'Int. comparisons'!$C$30,'Int. comparisons'!$K$20,'Int. comparisons'!$C$34,'Int. comparisons'!$K$21)</c:f>
              <c:numCache>
                <c:formatCode>#,##0</c:formatCode>
                <c:ptCount val="12"/>
                <c:pt idx="0">
                  <c:v>26789.670052573729</c:v>
                </c:pt>
                <c:pt idx="1">
                  <c:v>1134.4726639145265</c:v>
                </c:pt>
                <c:pt idx="2" formatCode="_-* #,##0_-;\-* #,##0_-;_-* &quot;-&quot;??_-;_-@_-">
                  <c:v>549.45100000000002</c:v>
                </c:pt>
                <c:pt idx="3">
                  <c:v>98.62699694848321</c:v>
                </c:pt>
                <c:pt idx="4">
                  <c:v>6300</c:v>
                </c:pt>
                <c:pt idx="5">
                  <c:v>1520.5348227816662</c:v>
                </c:pt>
                <c:pt idx="6" formatCode="_-* #,##0_-;\-* #,##0_-;_-* &quot;-&quot;??_-;_-@_-">
                  <c:v>2387.3999999999996</c:v>
                </c:pt>
                <c:pt idx="7">
                  <c:v>464.74596067743812</c:v>
                </c:pt>
                <c:pt idx="8" formatCode="_-* #,##0_-;\-* #,##0_-;_-* &quot;-&quot;??_-;_-@_-">
                  <c:v>89144.664000000004</c:v>
                </c:pt>
                <c:pt idx="9">
                  <c:v>1409.1790072715778</c:v>
                </c:pt>
                <c:pt idx="10">
                  <c:v>410026</c:v>
                </c:pt>
                <c:pt idx="11">
                  <c:v>1297.0211527572603</c:v>
                </c:pt>
              </c:numCache>
            </c:numRef>
          </c:val>
          <c:extLst>
            <c:ext xmlns:c16="http://schemas.microsoft.com/office/drawing/2014/chart" uri="{C3380CC4-5D6E-409C-BE32-E72D297353CC}">
              <c16:uniqueId val="{00000000-3E46-48F5-9E1E-5ECD1ADB9DEC}"/>
            </c:ext>
          </c:extLst>
        </c:ser>
        <c:ser>
          <c:idx val="3"/>
          <c:order val="1"/>
          <c:tx>
            <c:strRef>
              <c:f>'Int. comparisons'!$F$15</c:f>
              <c:strCache>
                <c:ptCount val="1"/>
                <c:pt idx="0">
                  <c:v>En. rec. + recycl.</c:v>
                </c:pt>
              </c:strCache>
            </c:strRef>
          </c:tx>
          <c:spPr>
            <a:noFill/>
            <a:ln>
              <a:noFill/>
            </a:ln>
            <a:effectLst/>
          </c:spPr>
          <c:invertIfNegative val="0"/>
          <c:cat>
            <c:strRef>
              <c:f>'Int. comparisons'!$I$53:$I$64</c:f>
              <c:strCache>
                <c:ptCount val="12"/>
                <c:pt idx="0">
                  <c:v>kt</c:v>
                </c:pt>
                <c:pt idx="1">
                  <c:v>kg/cap</c:v>
                </c:pt>
                <c:pt idx="2">
                  <c:v>kt</c:v>
                </c:pt>
                <c:pt idx="3">
                  <c:v>kg/cap</c:v>
                </c:pt>
                <c:pt idx="4">
                  <c:v>kt</c:v>
                </c:pt>
                <c:pt idx="5">
                  <c:v>kg/cap</c:v>
                </c:pt>
                <c:pt idx="6">
                  <c:v>kt</c:v>
                </c:pt>
                <c:pt idx="7">
                  <c:v>kg/cap</c:v>
                </c:pt>
                <c:pt idx="8">
                  <c:v>kt</c:v>
                </c:pt>
                <c:pt idx="9">
                  <c:v>kg/cap</c:v>
                </c:pt>
                <c:pt idx="10">
                  <c:v>kt</c:v>
                </c:pt>
                <c:pt idx="11">
                  <c:v>kg/cap</c:v>
                </c:pt>
              </c:strCache>
            </c:strRef>
          </c:cat>
          <c:val>
            <c:numRef>
              <c:f>('Int. comparisons'!$F$16,'Int. comparisons'!$N$16,'Int. comparisons'!$F$17,'Int. comparisons'!$N$17,'Int. comparisons'!$F$23,'Int. comparisons'!$N$18,'Int. comparisons'!$F$24,'Int. comparisons'!$N$19,'Int. comparisons'!$F$30,'Int. comparisons'!$N$20,'Int. comparisons'!$F$34,'Int. comparisons'!$N$21)</c:f>
              <c:numCache>
                <c:formatCode>_-* #,##0_-;\-* #,##0_-;_-* "-"??_-;_-@_-</c:formatCode>
                <c:ptCount val="12"/>
                <c:pt idx="0">
                  <c:v>0</c:v>
                </c:pt>
                <c:pt idx="1">
                  <c:v>0</c:v>
                </c:pt>
                <c:pt idx="2">
                  <c:v>0</c:v>
                </c:pt>
                <c:pt idx="3">
                  <c:v>0</c:v>
                </c:pt>
                <c:pt idx="4">
                  <c:v>0</c:v>
                </c:pt>
                <c:pt idx="5">
                  <c:v>0</c:v>
                </c:pt>
                <c:pt idx="6" formatCode="#,##0">
                  <c:v>9549.6</c:v>
                </c:pt>
                <c:pt idx="7" formatCode="#,##0">
                  <c:v>1858.9838427097529</c:v>
                </c:pt>
                <c:pt idx="8">
                  <c:v>0</c:v>
                </c:pt>
                <c:pt idx="9">
                  <c:v>0</c:v>
                </c:pt>
                <c:pt idx="10">
                  <c:v>0</c:v>
                </c:pt>
                <c:pt idx="11">
                  <c:v>0</c:v>
                </c:pt>
              </c:numCache>
            </c:numRef>
          </c:val>
          <c:extLst>
            <c:ext xmlns:c16="http://schemas.microsoft.com/office/drawing/2014/chart" uri="{C3380CC4-5D6E-409C-BE32-E72D297353CC}">
              <c16:uniqueId val="{00000002-2147-4735-B285-D3D0773290E8}"/>
            </c:ext>
          </c:extLst>
        </c:ser>
        <c:ser>
          <c:idx val="1"/>
          <c:order val="2"/>
          <c:tx>
            <c:strRef>
              <c:f>'Int. comparisons'!$L$15</c:f>
              <c:strCache>
                <c:ptCount val="1"/>
                <c:pt idx="0">
                  <c:v>Recycling</c:v>
                </c:pt>
              </c:strCache>
            </c:strRef>
          </c:tx>
          <c:spPr>
            <a:noFill/>
            <a:ln>
              <a:noFill/>
            </a:ln>
            <a:effectLst/>
          </c:spPr>
          <c:invertIfNegative val="0"/>
          <c:cat>
            <c:strRef>
              <c:f>'Int. comparisons'!$I$53:$I$64</c:f>
              <c:strCache>
                <c:ptCount val="12"/>
                <c:pt idx="0">
                  <c:v>kt</c:v>
                </c:pt>
                <c:pt idx="1">
                  <c:v>kg/cap</c:v>
                </c:pt>
                <c:pt idx="2">
                  <c:v>kt</c:v>
                </c:pt>
                <c:pt idx="3">
                  <c:v>kg/cap</c:v>
                </c:pt>
                <c:pt idx="4">
                  <c:v>kt</c:v>
                </c:pt>
                <c:pt idx="5">
                  <c:v>kg/cap</c:v>
                </c:pt>
                <c:pt idx="6">
                  <c:v>kt</c:v>
                </c:pt>
                <c:pt idx="7">
                  <c:v>kg/cap</c:v>
                </c:pt>
                <c:pt idx="8">
                  <c:v>kt</c:v>
                </c:pt>
                <c:pt idx="9">
                  <c:v>kg/cap</c:v>
                </c:pt>
                <c:pt idx="10">
                  <c:v>kt</c:v>
                </c:pt>
                <c:pt idx="11">
                  <c:v>kg/cap</c:v>
                </c:pt>
              </c:strCache>
            </c:strRef>
          </c:cat>
          <c:val>
            <c:numRef>
              <c:f>('Int. comparisons'!$D$16,'Int. comparisons'!$L$16,'Int. comparisons'!$D$17,'Int. comparisons'!$L$17,'Int. comparisons'!$D$23,'Int. comparisons'!$L$18,'Int. comparisons'!$D$24,'Int. comparisons'!$L$19,'Int. comparisons'!$D$30,'Int. comparisons'!$L$20,'Int. comparisons'!$D$34,'Int. comparisons'!$L$21)</c:f>
              <c:numCache>
                <c:formatCode>#,##0</c:formatCode>
                <c:ptCount val="12"/>
                <c:pt idx="0">
                  <c:v>34770.604924866653</c:v>
                </c:pt>
                <c:pt idx="1">
                  <c:v>1472.4444428625336</c:v>
                </c:pt>
                <c:pt idx="2" formatCode="_-* #,##0_-;\-* #,##0_-;_-* &quot;-&quot;??_-;_-@_-">
                  <c:v>5592.6319999999996</c:v>
                </c:pt>
                <c:pt idx="3">
                  <c:v>1003.8829653563095</c:v>
                </c:pt>
                <c:pt idx="4">
                  <c:v>2400</c:v>
                </c:pt>
                <c:pt idx="5">
                  <c:v>579.25136105968238</c:v>
                </c:pt>
                <c:pt idx="6" formatCode="_-* #,##0_-;\-* #,##0_-;_-* &quot;-&quot;??_-;_-@_-">
                  <c:v>0</c:v>
                </c:pt>
                <c:pt idx="7" formatCode="_-* #,##0_-;\-* #,##0_-;_-* &quot;-&quot;??_-;_-@_-">
                  <c:v>0</c:v>
                </c:pt>
                <c:pt idx="8" formatCode="_-* #,##0_-;\-* #,##0_-;_-* &quot;-&quot;??_-;_-@_-">
                  <c:v>99716.91</c:v>
                </c:pt>
                <c:pt idx="9">
                  <c:v>1576.3027189377174</c:v>
                </c:pt>
                <c:pt idx="10">
                  <c:v>341724</c:v>
                </c:pt>
                <c:pt idx="11">
                  <c:v>1080.9637837718146</c:v>
                </c:pt>
              </c:numCache>
            </c:numRef>
          </c:val>
          <c:extLst>
            <c:ext xmlns:c16="http://schemas.microsoft.com/office/drawing/2014/chart" uri="{C3380CC4-5D6E-409C-BE32-E72D297353CC}">
              <c16:uniqueId val="{00000001-3E46-48F5-9E1E-5ECD1ADB9DEC}"/>
            </c:ext>
          </c:extLst>
        </c:ser>
        <c:ser>
          <c:idx val="4"/>
          <c:order val="3"/>
          <c:tx>
            <c:strRef>
              <c:f>'Int. comparisons'!$M$15</c:f>
              <c:strCache>
                <c:ptCount val="1"/>
                <c:pt idx="0">
                  <c:v>Energy recovery</c:v>
                </c:pt>
              </c:strCache>
            </c:strRef>
          </c:tx>
          <c:spPr>
            <a:noFill/>
            <a:ln>
              <a:noFill/>
            </a:ln>
            <a:effectLst/>
          </c:spPr>
          <c:invertIfNegative val="0"/>
          <c:cat>
            <c:strRef>
              <c:f>'Int. comparisons'!$I$53:$I$64</c:f>
              <c:strCache>
                <c:ptCount val="12"/>
                <c:pt idx="0">
                  <c:v>kt</c:v>
                </c:pt>
                <c:pt idx="1">
                  <c:v>kg/cap</c:v>
                </c:pt>
                <c:pt idx="2">
                  <c:v>kt</c:v>
                </c:pt>
                <c:pt idx="3">
                  <c:v>kg/cap</c:v>
                </c:pt>
                <c:pt idx="4">
                  <c:v>kt</c:v>
                </c:pt>
                <c:pt idx="5">
                  <c:v>kg/cap</c:v>
                </c:pt>
                <c:pt idx="6">
                  <c:v>kt</c:v>
                </c:pt>
                <c:pt idx="7">
                  <c:v>kg/cap</c:v>
                </c:pt>
                <c:pt idx="8">
                  <c:v>kt</c:v>
                </c:pt>
                <c:pt idx="9">
                  <c:v>kg/cap</c:v>
                </c:pt>
                <c:pt idx="10">
                  <c:v>kt</c:v>
                </c:pt>
                <c:pt idx="11">
                  <c:v>kg/cap</c:v>
                </c:pt>
              </c:strCache>
            </c:strRef>
          </c:cat>
          <c:val>
            <c:numRef>
              <c:f>('Int. comparisons'!$E$16,'Int. comparisons'!$M$16,'Int. comparisons'!$E$17,'Int. comparisons'!$M$17,'Int. comparisons'!$E$23,'Int. comparisons'!$M$18,'Int. comparisons'!$E$24,'Int. comparisons'!$M$19,'Int. comparisons'!$E$30,'Int. comparisons'!$M$20,'Int. comparisons'!$E$34,'Int. comparisons'!$M$21)</c:f>
              <c:numCache>
                <c:formatCode>#,##0</c:formatCode>
                <c:ptCount val="12"/>
                <c:pt idx="0">
                  <c:v>2311.2814754915848</c:v>
                </c:pt>
                <c:pt idx="1">
                  <c:v>97.876743065946314</c:v>
                </c:pt>
                <c:pt idx="2" formatCode="_-* #,##0_-;\-* #,##0_-;_-* &quot;-&quot;??_-;_-@_-">
                  <c:v>2604.9349999999999</c:v>
                </c:pt>
                <c:pt idx="3">
                  <c:v>286.20124019969762</c:v>
                </c:pt>
                <c:pt idx="4" formatCode="_-* #,##0_-;\-* #,##0_-;_-* &quot;-&quot;??_-;_-@_-">
                  <c:v>0</c:v>
                </c:pt>
                <c:pt idx="5" formatCode="_-* #,##0_-;\-* #,##0_-;_-* &quot;-&quot;??_-;_-@_-">
                  <c:v>0</c:v>
                </c:pt>
                <c:pt idx="6" formatCode="_-* #,##0_-;\-* #,##0_-;_-* &quot;-&quot;??_-;_-@_-">
                  <c:v>0</c:v>
                </c:pt>
                <c:pt idx="7" formatCode="_-* #,##0_-;\-* #,##0_-;_-* &quot;-&quot;??_-;_-@_-">
                  <c:v>0</c:v>
                </c:pt>
                <c:pt idx="8" formatCode="_-* #,##0_-;\-* #,##0_-;_-* &quot;-&quot;??_-;_-@_-">
                  <c:v>4961.5230000000001</c:v>
                </c:pt>
                <c:pt idx="9">
                  <c:v>25.598203087220302</c:v>
                </c:pt>
                <c:pt idx="10">
                  <c:v>32660</c:v>
                </c:pt>
                <c:pt idx="11">
                  <c:v>41.636389133233898</c:v>
                </c:pt>
              </c:numCache>
            </c:numRef>
          </c:val>
          <c:extLst>
            <c:ext xmlns:c16="http://schemas.microsoft.com/office/drawing/2014/chart" uri="{C3380CC4-5D6E-409C-BE32-E72D297353CC}">
              <c16:uniqueId val="{00000003-2147-4735-B285-D3D0773290E8}"/>
            </c:ext>
          </c:extLst>
        </c:ser>
        <c:ser>
          <c:idx val="2"/>
          <c:order val="4"/>
          <c:tx>
            <c:strRef>
              <c:f>'Int. comparisons'!$O$15</c:f>
              <c:strCache>
                <c:ptCount val="1"/>
                <c:pt idx="0">
                  <c:v>Generation</c:v>
                </c:pt>
              </c:strCache>
            </c:strRef>
          </c:tx>
          <c:spPr>
            <a:noFill/>
            <a:ln>
              <a:noFill/>
            </a:ln>
            <a:effectLst/>
          </c:spPr>
          <c:invertIfNegative val="0"/>
          <c:cat>
            <c:strRef>
              <c:f>'Int. comparisons'!$I$53:$I$64</c:f>
              <c:strCache>
                <c:ptCount val="12"/>
                <c:pt idx="0">
                  <c:v>kt</c:v>
                </c:pt>
                <c:pt idx="1">
                  <c:v>kg/cap</c:v>
                </c:pt>
                <c:pt idx="2">
                  <c:v>kt</c:v>
                </c:pt>
                <c:pt idx="3">
                  <c:v>kg/cap</c:v>
                </c:pt>
                <c:pt idx="4">
                  <c:v>kt</c:v>
                </c:pt>
                <c:pt idx="5">
                  <c:v>kg/cap</c:v>
                </c:pt>
                <c:pt idx="6">
                  <c:v>kt</c:v>
                </c:pt>
                <c:pt idx="7">
                  <c:v>kg/cap</c:v>
                </c:pt>
                <c:pt idx="8">
                  <c:v>kt</c:v>
                </c:pt>
                <c:pt idx="9">
                  <c:v>kg/cap</c:v>
                </c:pt>
                <c:pt idx="10">
                  <c:v>kt</c:v>
                </c:pt>
                <c:pt idx="11">
                  <c:v>kg/cap</c:v>
                </c:pt>
              </c:strCache>
            </c:strRef>
          </c:cat>
          <c:val>
            <c:numRef>
              <c:f>('Int. comparisons'!$G$16,'Int. comparisons'!$O$16,'Int. comparisons'!$G$17,'Int. comparisons'!$O$17,'Int. comparisons'!$G$23,'Int. comparisons'!$O$18,'Int. comparisons'!$G$24,'Int. comparisons'!$O$19,'Int. comparisons'!$G$30,'Int. comparisons'!$O$20,'Int. comparisons'!$G$34,'Int. comparisons'!$O$21)</c:f>
              <c:numCache>
                <c:formatCode>#,##0</c:formatCode>
                <c:ptCount val="12"/>
                <c:pt idx="0">
                  <c:v>63871.55645293196</c:v>
                </c:pt>
                <c:pt idx="1">
                  <c:v>2704.7938498430067</c:v>
                </c:pt>
                <c:pt idx="2" formatCode="_-* #,##0_-;\-* #,##0_-;_-* &quot;-&quot;??_-;_-@_-">
                  <c:v>9101.76</c:v>
                </c:pt>
                <c:pt idx="3">
                  <c:v>1633.7749057619817</c:v>
                </c:pt>
                <c:pt idx="4">
                  <c:v>8700</c:v>
                </c:pt>
                <c:pt idx="5">
                  <c:v>2099.7861838413487</c:v>
                </c:pt>
                <c:pt idx="6">
                  <c:v>11937</c:v>
                </c:pt>
                <c:pt idx="7">
                  <c:v>2323.7298033871912</c:v>
                </c:pt>
                <c:pt idx="8" formatCode="_-* #,##0_-;\-* #,##0_-;_-* &quot;-&quot;??_-;_-@_-">
                  <c:v>193823.09700000001</c:v>
                </c:pt>
                <c:pt idx="9">
                  <c:v>3063.9123774897248</c:v>
                </c:pt>
                <c:pt idx="10">
                  <c:v>784410</c:v>
                </c:pt>
                <c:pt idx="11">
                  <c:v>2481.2971919691013</c:v>
                </c:pt>
              </c:numCache>
            </c:numRef>
          </c:val>
          <c:extLst>
            <c:ext xmlns:c16="http://schemas.microsoft.com/office/drawing/2014/chart" uri="{C3380CC4-5D6E-409C-BE32-E72D297353CC}">
              <c16:uniqueId val="{00000002-3E46-48F5-9E1E-5ECD1ADB9DEC}"/>
            </c:ext>
          </c:extLst>
        </c:ser>
        <c:dLbls>
          <c:showLegendKey val="0"/>
          <c:showVal val="0"/>
          <c:showCatName val="0"/>
          <c:showSerName val="0"/>
          <c:showPercent val="0"/>
          <c:showBubbleSize val="0"/>
        </c:dLbls>
        <c:gapWidth val="219"/>
        <c:overlap val="100"/>
        <c:axId val="511236800"/>
        <c:axId val="511233520"/>
      </c:barChart>
      <c:catAx>
        <c:axId val="511236800"/>
        <c:scaling>
          <c:orientation val="minMax"/>
        </c:scaling>
        <c:delete val="1"/>
        <c:axPos val="b"/>
        <c:numFmt formatCode="General" sourceLinked="1"/>
        <c:majorTickMark val="none"/>
        <c:minorTickMark val="none"/>
        <c:tickLblPos val="nextTo"/>
        <c:crossAx val="511233520"/>
        <c:crosses val="autoZero"/>
        <c:auto val="1"/>
        <c:lblAlgn val="ctr"/>
        <c:lblOffset val="100"/>
        <c:noMultiLvlLbl val="0"/>
      </c:catAx>
      <c:valAx>
        <c:axId val="511233520"/>
        <c:scaling>
          <c:orientation val="minMax"/>
        </c:scaling>
        <c:delete val="1"/>
        <c:axPos val="l"/>
        <c:numFmt formatCode="#,##0" sourceLinked="1"/>
        <c:majorTickMark val="none"/>
        <c:minorTickMark val="none"/>
        <c:tickLblPos val="nextTo"/>
        <c:crossAx val="511236800"/>
        <c:crosses val="autoZero"/>
        <c:crossBetween val="between"/>
      </c:valAx>
      <c:dTable>
        <c:showHorzBorder val="1"/>
        <c:showVertBorder val="1"/>
        <c:showOutline val="1"/>
        <c:showKeys val="0"/>
        <c:spPr>
          <a:noFill/>
          <a:ln w="2540" cap="flat" cmpd="sng" algn="ctr">
            <a:solidFill>
              <a:srgbClr val="8B8B8B"/>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dTable>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1047706429997"/>
          <c:y val="9.4592434297069511E-2"/>
          <c:w val="0.71807230014589774"/>
          <c:h val="0.10514317465139436"/>
        </c:manualLayout>
      </c:layout>
      <c:barChart>
        <c:barDir val="col"/>
        <c:grouping val="stacked"/>
        <c:varyColors val="0"/>
        <c:ser>
          <c:idx val="0"/>
          <c:order val="0"/>
          <c:tx>
            <c:strRef>
              <c:f>NSW.!$C$70</c:f>
              <c:strCache>
                <c:ptCount val="1"/>
                <c:pt idx="0">
                  <c:v>Disposal</c:v>
                </c:pt>
              </c:strCache>
            </c:strRef>
          </c:tx>
          <c:spPr>
            <a:noFill/>
          </c:spPr>
          <c:invertIfNegative val="0"/>
          <c:cat>
            <c:strRef>
              <c:f>NSW.!$N$76:$S$76</c:f>
              <c:strCache>
                <c:ptCount val="6"/>
                <c:pt idx="0">
                  <c:v>Mega-tonnes</c:v>
                </c:pt>
                <c:pt idx="1">
                  <c:v>Kg per capita</c:v>
                </c:pt>
                <c:pt idx="2">
                  <c:v>Mega-tonnes</c:v>
                </c:pt>
                <c:pt idx="3">
                  <c:v>Kg per capita</c:v>
                </c:pt>
                <c:pt idx="4">
                  <c:v>Mega-tonnes</c:v>
                </c:pt>
                <c:pt idx="5">
                  <c:v>Kg per capita</c:v>
                </c:pt>
              </c:strCache>
            </c:strRef>
          </c:cat>
          <c:val>
            <c:numRef>
              <c:f>(NSW.!$O$70,NSW.!$K$70,NSW.!$P$70,NSW.!$L$70,NSW.!$Q$70,NSW.!$M$70)</c:f>
              <c:numCache>
                <c:formatCode>#,##0</c:formatCode>
                <c:ptCount val="6"/>
                <c:pt idx="0" formatCode="0.00">
                  <c:v>6.6814926101128975</c:v>
                </c:pt>
                <c:pt idx="1">
                  <c:v>883.25485094873136</c:v>
                </c:pt>
                <c:pt idx="2" formatCode="0.00">
                  <c:v>5.8800805163634164</c:v>
                </c:pt>
                <c:pt idx="3">
                  <c:v>777.31278669473102</c:v>
                </c:pt>
                <c:pt idx="4" formatCode="0.00">
                  <c:v>4.8599563244671424</c:v>
                </c:pt>
                <c:pt idx="5">
                  <c:v>642.45824241239995</c:v>
                </c:pt>
              </c:numCache>
            </c:numRef>
          </c:val>
          <c:extLst>
            <c:ext xmlns:c16="http://schemas.microsoft.com/office/drawing/2014/chart" uri="{C3380CC4-5D6E-409C-BE32-E72D297353CC}">
              <c16:uniqueId val="{00000000-4935-4E10-98D6-B1959A3EB8CD}"/>
            </c:ext>
          </c:extLst>
        </c:ser>
        <c:ser>
          <c:idx val="1"/>
          <c:order val="1"/>
          <c:tx>
            <c:strRef>
              <c:f>NSW.!$C$71</c:f>
              <c:strCache>
                <c:ptCount val="1"/>
                <c:pt idx="0">
                  <c:v>Recycling</c:v>
                </c:pt>
              </c:strCache>
            </c:strRef>
          </c:tx>
          <c:spPr>
            <a:noFill/>
          </c:spPr>
          <c:invertIfNegative val="0"/>
          <c:cat>
            <c:strRef>
              <c:f>NSW.!$N$76:$S$76</c:f>
              <c:strCache>
                <c:ptCount val="6"/>
                <c:pt idx="0">
                  <c:v>Mega-tonnes</c:v>
                </c:pt>
                <c:pt idx="1">
                  <c:v>Kg per capita</c:v>
                </c:pt>
                <c:pt idx="2">
                  <c:v>Mega-tonnes</c:v>
                </c:pt>
                <c:pt idx="3">
                  <c:v>Kg per capita</c:v>
                </c:pt>
                <c:pt idx="4">
                  <c:v>Mega-tonnes</c:v>
                </c:pt>
                <c:pt idx="5">
                  <c:v>Kg per capita</c:v>
                </c:pt>
              </c:strCache>
            </c:strRef>
          </c:cat>
          <c:val>
            <c:numRef>
              <c:f>(NSW.!$O$71,NSW.!$K$71,NSW.!$P$71,NSW.!$L$71,NSW.!$Q$71,NSW.!$M$71)</c:f>
              <c:numCache>
                <c:formatCode>#,##0</c:formatCode>
                <c:ptCount val="6"/>
                <c:pt idx="0" formatCode="0.00">
                  <c:v>11.458928298233735</c:v>
                </c:pt>
                <c:pt idx="1">
                  <c:v>1514.8043403908846</c:v>
                </c:pt>
                <c:pt idx="2" formatCode="0.00">
                  <c:v>9.520315802925877</c:v>
                </c:pt>
                <c:pt idx="3">
                  <c:v>1258.5309310633304</c:v>
                </c:pt>
                <c:pt idx="4" formatCode="0.00">
                  <c:v>8.7385183622114546</c:v>
                </c:pt>
                <c:pt idx="5">
                  <c:v>1155.1818109991764</c:v>
                </c:pt>
              </c:numCache>
            </c:numRef>
          </c:val>
          <c:extLst>
            <c:ext xmlns:c16="http://schemas.microsoft.com/office/drawing/2014/chart" uri="{C3380CC4-5D6E-409C-BE32-E72D297353CC}">
              <c16:uniqueId val="{00000001-4935-4E10-98D6-B1959A3EB8CD}"/>
            </c:ext>
          </c:extLst>
        </c:ser>
        <c:ser>
          <c:idx val="2"/>
          <c:order val="2"/>
          <c:tx>
            <c:strRef>
              <c:f>NSW.!$C$72</c:f>
              <c:strCache>
                <c:ptCount val="1"/>
                <c:pt idx="0">
                  <c:v>Energy recovery</c:v>
                </c:pt>
              </c:strCache>
            </c:strRef>
          </c:tx>
          <c:spPr>
            <a:noFill/>
          </c:spPr>
          <c:invertIfNegative val="0"/>
          <c:cat>
            <c:strRef>
              <c:f>NSW.!$N$76:$S$76</c:f>
              <c:strCache>
                <c:ptCount val="6"/>
                <c:pt idx="0">
                  <c:v>Mega-tonnes</c:v>
                </c:pt>
                <c:pt idx="1">
                  <c:v>Kg per capita</c:v>
                </c:pt>
                <c:pt idx="2">
                  <c:v>Mega-tonnes</c:v>
                </c:pt>
                <c:pt idx="3">
                  <c:v>Kg per capita</c:v>
                </c:pt>
                <c:pt idx="4">
                  <c:v>Mega-tonnes</c:v>
                </c:pt>
                <c:pt idx="5">
                  <c:v>Kg per capita</c:v>
                </c:pt>
              </c:strCache>
            </c:strRef>
          </c:cat>
          <c:val>
            <c:numRef>
              <c:f>(NSW.!$O$72,NSW.!$K$72,NSW.!$P$72,NSW.!$L$72,NSW.!$Q$72,NSW.!$M$72)</c:f>
              <c:numCache>
                <c:formatCode>#,##0</c:formatCode>
                <c:ptCount val="6"/>
                <c:pt idx="0" formatCode="0.00">
                  <c:v>0.82076066229394617</c:v>
                </c:pt>
                <c:pt idx="1">
                  <c:v>108.49983360630735</c:v>
                </c:pt>
                <c:pt idx="2" formatCode="0.00">
                  <c:v>0.82076066229394617</c:v>
                </c:pt>
                <c:pt idx="3">
                  <c:v>108.49983360630745</c:v>
                </c:pt>
                <c:pt idx="4" formatCode="0.00">
                  <c:v>0.82076066229393718</c:v>
                </c:pt>
                <c:pt idx="5">
                  <c:v>108.49983360630614</c:v>
                </c:pt>
              </c:numCache>
            </c:numRef>
          </c:val>
          <c:extLst>
            <c:ext xmlns:c16="http://schemas.microsoft.com/office/drawing/2014/chart" uri="{C3380CC4-5D6E-409C-BE32-E72D297353CC}">
              <c16:uniqueId val="{00000002-4935-4E10-98D6-B1959A3EB8CD}"/>
            </c:ext>
          </c:extLst>
        </c:ser>
        <c:ser>
          <c:idx val="4"/>
          <c:order val="3"/>
          <c:tx>
            <c:strRef>
              <c:f>NSW.!$C$74</c:f>
              <c:strCache>
                <c:ptCount val="1"/>
                <c:pt idx="0">
                  <c:v>Generation</c:v>
                </c:pt>
              </c:strCache>
            </c:strRef>
          </c:tx>
          <c:spPr>
            <a:noFill/>
            <a:ln>
              <a:noFill/>
            </a:ln>
          </c:spPr>
          <c:invertIfNegative val="0"/>
          <c:cat>
            <c:strRef>
              <c:f>NSW.!$N$76:$S$76</c:f>
              <c:strCache>
                <c:ptCount val="6"/>
                <c:pt idx="0">
                  <c:v>Mega-tonnes</c:v>
                </c:pt>
                <c:pt idx="1">
                  <c:v>Kg per capita</c:v>
                </c:pt>
                <c:pt idx="2">
                  <c:v>Mega-tonnes</c:v>
                </c:pt>
                <c:pt idx="3">
                  <c:v>Kg per capita</c:v>
                </c:pt>
                <c:pt idx="4">
                  <c:v>Mega-tonnes</c:v>
                </c:pt>
                <c:pt idx="5">
                  <c:v>Kg per capita</c:v>
                </c:pt>
              </c:strCache>
            </c:strRef>
          </c:cat>
          <c:val>
            <c:numRef>
              <c:f>(NSW.!$O$74,NSW.!$K$74,NSW.!$P$74,NSW.!$L$74,NSW.!$Q$74,NSW.!$M$74)</c:f>
              <c:numCache>
                <c:formatCode>#,##0</c:formatCode>
                <c:ptCount val="6"/>
                <c:pt idx="0" formatCode="0.00">
                  <c:v>18.96118157064058</c:v>
                </c:pt>
                <c:pt idx="1">
                  <c:v>2506.5590249459233</c:v>
                </c:pt>
                <c:pt idx="2" formatCode="0.00">
                  <c:v>16.221156981583242</c:v>
                </c:pt>
                <c:pt idx="3">
                  <c:v>2144.343551364369</c:v>
                </c:pt>
                <c:pt idx="4" formatCode="0.00">
                  <c:v>14.419235348972533</c:v>
                </c:pt>
                <c:pt idx="5">
                  <c:v>1906.1398870178825</c:v>
                </c:pt>
              </c:numCache>
            </c:numRef>
          </c:val>
          <c:extLst>
            <c:ext xmlns:c16="http://schemas.microsoft.com/office/drawing/2014/chart" uri="{C3380CC4-5D6E-409C-BE32-E72D297353CC}">
              <c16:uniqueId val="{00000003-4935-4E10-98D6-B1959A3EB8CD}"/>
            </c:ext>
          </c:extLst>
        </c:ser>
        <c:dLbls>
          <c:showLegendKey val="0"/>
          <c:showVal val="0"/>
          <c:showCatName val="0"/>
          <c:showSerName val="0"/>
          <c:showPercent val="0"/>
          <c:showBubbleSize val="0"/>
        </c:dLbls>
        <c:gapWidth val="150"/>
        <c:overlap val="100"/>
        <c:axId val="219727360"/>
        <c:axId val="219728896"/>
      </c:barChart>
      <c:catAx>
        <c:axId val="219727360"/>
        <c:scaling>
          <c:orientation val="minMax"/>
        </c:scaling>
        <c:delete val="1"/>
        <c:axPos val="b"/>
        <c:numFmt formatCode="General" sourceLinked="0"/>
        <c:majorTickMark val="none"/>
        <c:minorTickMark val="none"/>
        <c:tickLblPos val="nextTo"/>
        <c:crossAx val="219728896"/>
        <c:crosses val="autoZero"/>
        <c:auto val="1"/>
        <c:lblAlgn val="ctr"/>
        <c:lblOffset val="100"/>
        <c:noMultiLvlLbl val="0"/>
      </c:catAx>
      <c:valAx>
        <c:axId val="219728896"/>
        <c:scaling>
          <c:orientation val="minMax"/>
        </c:scaling>
        <c:delete val="1"/>
        <c:axPos val="l"/>
        <c:numFmt formatCode="#,##0" sourceLinked="0"/>
        <c:majorTickMark val="out"/>
        <c:minorTickMark val="none"/>
        <c:tickLblPos val="nextTo"/>
        <c:crossAx val="219727360"/>
        <c:crosses val="autoZero"/>
        <c:crossBetween val="between"/>
      </c:valAx>
      <c:dTable>
        <c:showHorzBorder val="1"/>
        <c:showVertBorder val="1"/>
        <c:showOutline val="1"/>
        <c:showKeys val="0"/>
        <c:spPr>
          <a:ln w="2540"/>
        </c:spPr>
        <c:txPr>
          <a:bodyPr/>
          <a:lstStyle/>
          <a:p>
            <a:pPr rtl="0">
              <a:defRPr sz="900"/>
            </a:pPr>
            <a:endParaRPr lang="en-US"/>
          </a:p>
        </c:txPr>
      </c:dTable>
      <c:spPr>
        <a:noFill/>
        <a:ln>
          <a:noFill/>
        </a:ln>
      </c:spPr>
    </c:plotArea>
    <c:plotVisOnly val="1"/>
    <c:dispBlanksAs val="gap"/>
    <c:showDLblsOverMax val="0"/>
  </c:chart>
  <c:spPr>
    <a:noFill/>
    <a:ln>
      <a:noFill/>
    </a:ln>
  </c:spPr>
  <c:printSettings>
    <c:headerFooter/>
    <c:pageMargins b="0.75000000000000799" l="0.70000000000000062" r="0.70000000000000062" t="0.7500000000000079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85306839686398"/>
          <c:y val="0.10541783625730994"/>
          <c:w val="0.70338935238062361"/>
          <c:h val="0.49211666666666665"/>
        </c:manualLayout>
      </c:layout>
      <c:barChart>
        <c:barDir val="col"/>
        <c:grouping val="stacked"/>
        <c:varyColors val="0"/>
        <c:ser>
          <c:idx val="0"/>
          <c:order val="0"/>
          <c:tx>
            <c:strRef>
              <c:f>NT.!$D$78</c:f>
              <c:strCache>
                <c:ptCount val="1"/>
                <c:pt idx="0">
                  <c:v>Disposal</c:v>
                </c:pt>
              </c:strCache>
            </c:strRef>
          </c:tx>
          <c:spPr>
            <a:solidFill>
              <a:schemeClr val="accent3">
                <a:lumMod val="50000"/>
              </a:schemeClr>
            </a:solidFill>
          </c:spPr>
          <c:invertIfNegative val="0"/>
          <c:cat>
            <c:strRef>
              <c:f>NT.!$C$79:$C$86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NT.!$D$79:$D$86</c:f>
              <c:numCache>
                <c:formatCode>#,##0</c:formatCode>
                <c:ptCount val="8"/>
                <c:pt idx="0">
                  <c:v>138.50785696977445</c:v>
                </c:pt>
                <c:pt idx="1">
                  <c:v>14.243655120670786</c:v>
                </c:pt>
                <c:pt idx="2">
                  <c:v>111.38471721997063</c:v>
                </c:pt>
                <c:pt idx="3">
                  <c:v>29.368364519637055</c:v>
                </c:pt>
                <c:pt idx="4">
                  <c:v>40.359080528966146</c:v>
                </c:pt>
                <c:pt idx="5">
                  <c:v>9.9828875097371075</c:v>
                </c:pt>
                <c:pt idx="6">
                  <c:v>7.1233614155104892</c:v>
                </c:pt>
                <c:pt idx="7">
                  <c:v>6.8374290125740478E-2</c:v>
                </c:pt>
              </c:numCache>
            </c:numRef>
          </c:val>
          <c:extLst>
            <c:ext xmlns:c16="http://schemas.microsoft.com/office/drawing/2014/chart" uri="{C3380CC4-5D6E-409C-BE32-E72D297353CC}">
              <c16:uniqueId val="{00000000-07A0-464C-A0D8-7F2C8292C039}"/>
            </c:ext>
          </c:extLst>
        </c:ser>
        <c:ser>
          <c:idx val="1"/>
          <c:order val="1"/>
          <c:tx>
            <c:strRef>
              <c:f>NT.!$E$78</c:f>
              <c:strCache>
                <c:ptCount val="1"/>
                <c:pt idx="0">
                  <c:v>Recycling</c:v>
                </c:pt>
              </c:strCache>
            </c:strRef>
          </c:tx>
          <c:spPr>
            <a:solidFill>
              <a:srgbClr val="FFFF00"/>
            </a:solidFill>
          </c:spPr>
          <c:invertIfNegative val="0"/>
          <c:cat>
            <c:strRef>
              <c:f>NT.!$C$79:$C$86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NT.!$E$79:$E$86</c:f>
              <c:numCache>
                <c:formatCode>#,##0</c:formatCode>
                <c:ptCount val="8"/>
                <c:pt idx="0">
                  <c:v>3.282</c:v>
                </c:pt>
                <c:pt idx="1">
                  <c:v>38.41583</c:v>
                </c:pt>
                <c:pt idx="2">
                  <c:v>35.542000000000002</c:v>
                </c:pt>
                <c:pt idx="3">
                  <c:v>5.4604200000000001</c:v>
                </c:pt>
                <c:pt idx="4">
                  <c:v>12.448</c:v>
                </c:pt>
                <c:pt idx="5">
                  <c:v>3.1009709999999999</c:v>
                </c:pt>
                <c:pt idx="6">
                  <c:v>5.7905500000000005</c:v>
                </c:pt>
                <c:pt idx="7">
                  <c:v>24.83661260961269</c:v>
                </c:pt>
              </c:numCache>
            </c:numRef>
          </c:val>
          <c:extLst>
            <c:ext xmlns:c16="http://schemas.microsoft.com/office/drawing/2014/chart" uri="{C3380CC4-5D6E-409C-BE32-E72D297353CC}">
              <c16:uniqueId val="{00000001-07A0-464C-A0D8-7F2C8292C039}"/>
            </c:ext>
          </c:extLst>
        </c:ser>
        <c:ser>
          <c:idx val="2"/>
          <c:order val="2"/>
          <c:tx>
            <c:strRef>
              <c:f>NT.!$F$78</c:f>
              <c:strCache>
                <c:ptCount val="1"/>
                <c:pt idx="0">
                  <c:v>Energy recovery</c:v>
                </c:pt>
              </c:strCache>
            </c:strRef>
          </c:tx>
          <c:spPr>
            <a:solidFill>
              <a:schemeClr val="accent6">
                <a:lumMod val="75000"/>
              </a:schemeClr>
            </a:solidFill>
          </c:spPr>
          <c:invertIfNegative val="0"/>
          <c:cat>
            <c:strRef>
              <c:f>NT.!$C$79:$C$86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NT.!$F$79:$F$86</c:f>
              <c:numCache>
                <c:formatCode>#,##0</c:formatCode>
                <c:ptCount val="8"/>
                <c:pt idx="0">
                  <c:v>0</c:v>
                </c:pt>
                <c:pt idx="1">
                  <c:v>0</c:v>
                </c:pt>
                <c:pt idx="2">
                  <c:v>9.566303448600463</c:v>
                </c:pt>
                <c:pt idx="3">
                  <c:v>3.7860035852918532</c:v>
                </c:pt>
                <c:pt idx="4">
                  <c:v>0</c:v>
                </c:pt>
                <c:pt idx="5">
                  <c:v>0</c:v>
                </c:pt>
                <c:pt idx="6">
                  <c:v>0.69154648868787938</c:v>
                </c:pt>
                <c:pt idx="7">
                  <c:v>3.0098296591551462E-13</c:v>
                </c:pt>
              </c:numCache>
            </c:numRef>
          </c:val>
          <c:extLst>
            <c:ext xmlns:c16="http://schemas.microsoft.com/office/drawing/2014/chart" uri="{C3380CC4-5D6E-409C-BE32-E72D297353CC}">
              <c16:uniqueId val="{00000002-07A0-464C-A0D8-7F2C8292C039}"/>
            </c:ext>
          </c:extLst>
        </c:ser>
        <c:ser>
          <c:idx val="3"/>
          <c:order val="3"/>
          <c:tx>
            <c:strRef>
              <c:f>NT.!$H$78</c:f>
              <c:strCache>
                <c:ptCount val="1"/>
                <c:pt idx="0">
                  <c:v>Recovery rate</c:v>
                </c:pt>
              </c:strCache>
            </c:strRef>
          </c:tx>
          <c:spPr>
            <a:noFill/>
          </c:spPr>
          <c:invertIfNegative val="0"/>
          <c:dLbls>
            <c:dLbl>
              <c:idx val="0"/>
              <c:layout>
                <c:manualLayout>
                  <c:x val="0"/>
                  <c:y val="-4.67672514619883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0F-4D52-A229-1AB2A0E26429}"/>
                </c:ext>
              </c:extLst>
            </c:dLbl>
            <c:dLbl>
              <c:idx val="2"/>
              <c:layout>
                <c:manualLayout>
                  <c:x val="0"/>
                  <c:y val="-2.78374269005848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A0-464C-A0D8-7F2C8292C039}"/>
                </c:ext>
              </c:extLst>
            </c:dLbl>
            <c:dLbl>
              <c:idx val="3"/>
              <c:layout>
                <c:manualLayout>
                  <c:x val="0"/>
                  <c:y val="-3.161754385964912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0F-4D52-A229-1AB2A0E26429}"/>
                </c:ext>
              </c:extLst>
            </c:dLbl>
            <c:dLbl>
              <c:idx val="5"/>
              <c:layout>
                <c:manualLayout>
                  <c:x val="0"/>
                  <c:y val="-6.5042105263157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A0-464C-A0D8-7F2C8292C039}"/>
                </c:ext>
              </c:extLst>
            </c:dLbl>
            <c:dLbl>
              <c:idx val="6"/>
              <c:layout>
                <c:manualLayout>
                  <c:x val="-1.573605323424369E-16"/>
                  <c:y val="-6.10011695906432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A0-464C-A0D8-7F2C8292C039}"/>
                </c:ext>
              </c:extLst>
            </c:dLbl>
            <c:dLbl>
              <c:idx val="7"/>
              <c:layout>
                <c:manualLayout>
                  <c:x val="0"/>
                  <c:y val="-5.6578070175438595E-2"/>
                </c:manualLayout>
              </c:layout>
              <c:spPr>
                <a:noFill/>
                <a:ln>
                  <a:noFill/>
                </a:ln>
                <a:effectLst/>
              </c:spPr>
              <c:txPr>
                <a:bodyPr wrap="square" lIns="38100" tIns="19050" rIns="38100" bIns="19050" anchor="ctr">
                  <a:noAutofit/>
                </a:bodyPr>
                <a:lstStyle/>
                <a:p>
                  <a:pPr>
                    <a:defRPr sz="1000"/>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6.0856312516896459E-2"/>
                      <c:h val="7.1316959064327487E-2"/>
                    </c:manualLayout>
                  </c15:layout>
                </c:ext>
                <c:ext xmlns:c16="http://schemas.microsoft.com/office/drawing/2014/chart" uri="{C3380CC4-5D6E-409C-BE32-E72D297353CC}">
                  <c16:uniqueId val="{0000000A-07A0-464C-A0D8-7F2C8292C039}"/>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NT.!$C$79:$C$86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NT.!$H$79:$H$86</c:f>
              <c:numCache>
                <c:formatCode>0%</c:formatCode>
                <c:ptCount val="8"/>
                <c:pt idx="0">
                  <c:v>2.31469307476601E-2</c:v>
                </c:pt>
                <c:pt idx="1">
                  <c:v>0.72951396907829569</c:v>
                </c:pt>
                <c:pt idx="2">
                  <c:v>0.28824482558959064</c:v>
                </c:pt>
                <c:pt idx="3">
                  <c:v>0.23945291529675941</c:v>
                </c:pt>
                <c:pt idx="4">
                  <c:v>0.23572596468710152</c:v>
                </c:pt>
                <c:pt idx="5">
                  <c:v>0.23700737803700903</c:v>
                </c:pt>
                <c:pt idx="6">
                  <c:v>0.4764335411811193</c:v>
                </c:pt>
                <c:pt idx="7">
                  <c:v>0.99725459441512676</c:v>
                </c:pt>
              </c:numCache>
            </c:numRef>
          </c:val>
          <c:extLst>
            <c:ext xmlns:c16="http://schemas.microsoft.com/office/drawing/2014/chart" uri="{C3380CC4-5D6E-409C-BE32-E72D297353CC}">
              <c16:uniqueId val="{0000000C-07A0-464C-A0D8-7F2C8292C039}"/>
            </c:ext>
          </c:extLst>
        </c:ser>
        <c:dLbls>
          <c:showLegendKey val="0"/>
          <c:showVal val="0"/>
          <c:showCatName val="0"/>
          <c:showSerName val="0"/>
          <c:showPercent val="0"/>
          <c:showBubbleSize val="0"/>
        </c:dLbls>
        <c:gapWidth val="100"/>
        <c:overlap val="100"/>
        <c:axId val="219463040"/>
        <c:axId val="219477120"/>
      </c:barChart>
      <c:lineChart>
        <c:grouping val="stacked"/>
        <c:varyColors val="0"/>
        <c:ser>
          <c:idx val="6"/>
          <c:order val="4"/>
          <c:tx>
            <c:v>Generation per cap</c:v>
          </c:tx>
          <c:spPr>
            <a:ln>
              <a:noFill/>
            </a:ln>
          </c:spPr>
          <c:marker>
            <c:symbol val="none"/>
          </c:marker>
          <c:val>
            <c:numRef>
              <c:f>NT.!$L$79:$L$86</c:f>
              <c:numCache>
                <c:formatCode>#,##0</c:formatCode>
                <c:ptCount val="8"/>
                <c:pt idx="0">
                  <c:v>583.03908026931276</c:v>
                </c:pt>
                <c:pt idx="1">
                  <c:v>216.5355013987803</c:v>
                </c:pt>
                <c:pt idx="2">
                  <c:v>643.49840523938417</c:v>
                </c:pt>
                <c:pt idx="3">
                  <c:v>158.78378766043525</c:v>
                </c:pt>
                <c:pt idx="4">
                  <c:v>217.14241287287007</c:v>
                </c:pt>
                <c:pt idx="5">
                  <c:v>53.800751301393177</c:v>
                </c:pt>
                <c:pt idx="6">
                  <c:v>55.945565025837176</c:v>
                </c:pt>
                <c:pt idx="7">
                  <c:v>170.50229901428077</c:v>
                </c:pt>
              </c:numCache>
            </c:numRef>
          </c:val>
          <c:smooth val="0"/>
          <c:extLst>
            <c:ext xmlns:c16="http://schemas.microsoft.com/office/drawing/2014/chart" uri="{C3380CC4-5D6E-409C-BE32-E72D297353CC}">
              <c16:uniqueId val="{0000000D-07A0-464C-A0D8-7F2C8292C039}"/>
            </c:ext>
          </c:extLst>
        </c:ser>
        <c:dLbls>
          <c:showLegendKey val="0"/>
          <c:showVal val="0"/>
          <c:showCatName val="0"/>
          <c:showSerName val="0"/>
          <c:showPercent val="0"/>
          <c:showBubbleSize val="0"/>
        </c:dLbls>
        <c:marker val="1"/>
        <c:smooth val="0"/>
        <c:axId val="680694648"/>
        <c:axId val="680693336"/>
      </c:lineChart>
      <c:catAx>
        <c:axId val="219463040"/>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477120"/>
        <c:crosses val="autoZero"/>
        <c:auto val="1"/>
        <c:lblAlgn val="ctr"/>
        <c:lblOffset val="50"/>
        <c:noMultiLvlLbl val="0"/>
      </c:catAx>
      <c:valAx>
        <c:axId val="219477120"/>
        <c:scaling>
          <c:orientation val="minMax"/>
          <c:max val="180"/>
        </c:scaling>
        <c:delete val="0"/>
        <c:axPos val="l"/>
        <c:majorGridlines>
          <c:spPr>
            <a:ln w="2540"/>
          </c:spPr>
        </c:majorGridlines>
        <c:title>
          <c:tx>
            <c:rich>
              <a:bodyPr/>
              <a:lstStyle/>
              <a:p>
                <a:pPr>
                  <a:defRPr/>
                </a:pPr>
                <a:r>
                  <a:rPr lang="en-AU"/>
                  <a:t>Kilotonnes (kt)</a:t>
                </a:r>
              </a:p>
            </c:rich>
          </c:tx>
          <c:layout>
            <c:manualLayout>
              <c:xMode val="edge"/>
              <c:yMode val="edge"/>
              <c:x val="9.9933934847256017E-2"/>
              <c:y val="0.23713538011695906"/>
            </c:manualLayout>
          </c:layout>
          <c:overlay val="0"/>
        </c:title>
        <c:numFmt formatCode="#,##0" sourceLinked="0"/>
        <c:majorTickMark val="out"/>
        <c:minorTickMark val="none"/>
        <c:tickLblPos val="nextTo"/>
        <c:spPr>
          <a:ln>
            <a:noFill/>
          </a:ln>
        </c:spPr>
        <c:crossAx val="219463040"/>
        <c:crosses val="autoZero"/>
        <c:crossBetween val="between"/>
        <c:majorUnit val="30"/>
      </c:valAx>
      <c:valAx>
        <c:axId val="680693336"/>
        <c:scaling>
          <c:orientation val="minMax"/>
        </c:scaling>
        <c:delete val="0"/>
        <c:axPos val="r"/>
        <c:title>
          <c:tx>
            <c:rich>
              <a:bodyPr/>
              <a:lstStyle/>
              <a:p>
                <a:pPr>
                  <a:defRPr/>
                </a:pPr>
                <a:r>
                  <a:rPr lang="en-AU"/>
                  <a:t>Kg per capita</a:t>
                </a:r>
              </a:p>
            </c:rich>
          </c:tx>
          <c:layout>
            <c:manualLayout>
              <c:xMode val="edge"/>
              <c:yMode val="edge"/>
              <c:x val="0.96041514598540145"/>
              <c:y val="0.22204853801169591"/>
            </c:manualLayout>
          </c:layout>
          <c:overlay val="0"/>
        </c:title>
        <c:numFmt formatCode="#,##0;\-#,##0;;" sourceLinked="0"/>
        <c:majorTickMark val="out"/>
        <c:minorTickMark val="none"/>
        <c:tickLblPos val="nextTo"/>
        <c:spPr>
          <a:ln>
            <a:noFill/>
          </a:ln>
        </c:spPr>
        <c:crossAx val="680694648"/>
        <c:crosses val="max"/>
        <c:crossBetween val="between"/>
        <c:majorUnit val="124"/>
      </c:valAx>
      <c:catAx>
        <c:axId val="680694648"/>
        <c:scaling>
          <c:orientation val="minMax"/>
        </c:scaling>
        <c:delete val="1"/>
        <c:axPos val="b"/>
        <c:majorTickMark val="out"/>
        <c:minorTickMark val="none"/>
        <c:tickLblPos val="nextTo"/>
        <c:crossAx val="680693336"/>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3216105704244392"/>
          <c:y val="2.3100584795321639E-2"/>
          <c:w val="0.43700656565656565"/>
          <c:h val="7.0880555555555558E-2"/>
        </c:manualLayout>
      </c:layout>
      <c:overlay val="0"/>
    </c:legend>
    <c:plotVisOnly val="1"/>
    <c:dispBlanksAs val="gap"/>
    <c:showDLblsOverMax val="0"/>
  </c:chart>
  <c:spPr>
    <a:ln>
      <a:noFill/>
    </a:ln>
  </c:spPr>
  <c:printSettings>
    <c:headerFooter/>
    <c:pageMargins b="0.75000000000000844" l="0.70000000000000062" r="0.70000000000000062" t="0.750000000000008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1535152724705"/>
          <c:y val="8.0557449704387885E-2"/>
          <c:w val="0.72450620821394462"/>
          <c:h val="0.23359453286202525"/>
        </c:manualLayout>
      </c:layout>
      <c:barChart>
        <c:barDir val="col"/>
        <c:grouping val="stacked"/>
        <c:varyColors val="0"/>
        <c:ser>
          <c:idx val="0"/>
          <c:order val="0"/>
          <c:tx>
            <c:strRef>
              <c:f>NT.!$N$75</c:f>
              <c:strCache>
                <c:ptCount val="1"/>
                <c:pt idx="0">
                  <c:v>Disposal (kt)</c:v>
                </c:pt>
              </c:strCache>
            </c:strRef>
          </c:tx>
          <c:spPr>
            <a:noFill/>
          </c:spPr>
          <c:invertIfNegative val="0"/>
          <c:cat>
            <c:strRef>
              <c:f>NT.!$B$79:$B$86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NT.!$D$79:$D$86</c:f>
              <c:numCache>
                <c:formatCode>#,##0</c:formatCode>
                <c:ptCount val="8"/>
                <c:pt idx="0">
                  <c:v>138.50785696977445</c:v>
                </c:pt>
                <c:pt idx="1">
                  <c:v>14.243655120670786</c:v>
                </c:pt>
                <c:pt idx="2">
                  <c:v>111.38471721997063</c:v>
                </c:pt>
                <c:pt idx="3">
                  <c:v>29.368364519637055</c:v>
                </c:pt>
                <c:pt idx="4">
                  <c:v>40.359080528966146</c:v>
                </c:pt>
                <c:pt idx="5">
                  <c:v>9.9828875097371075</c:v>
                </c:pt>
                <c:pt idx="6">
                  <c:v>7.1233614155104892</c:v>
                </c:pt>
                <c:pt idx="7">
                  <c:v>6.8374290125740478E-2</c:v>
                </c:pt>
              </c:numCache>
            </c:numRef>
          </c:val>
          <c:extLst>
            <c:ext xmlns:c16="http://schemas.microsoft.com/office/drawing/2014/chart" uri="{C3380CC4-5D6E-409C-BE32-E72D297353CC}">
              <c16:uniqueId val="{00000000-5A4F-4CF5-A3AD-F2DCCC7CB05E}"/>
            </c:ext>
          </c:extLst>
        </c:ser>
        <c:ser>
          <c:idx val="1"/>
          <c:order val="1"/>
          <c:tx>
            <c:strRef>
              <c:f>NT.!$O$75</c:f>
              <c:strCache>
                <c:ptCount val="1"/>
                <c:pt idx="0">
                  <c:v>Recycling (kt)</c:v>
                </c:pt>
              </c:strCache>
            </c:strRef>
          </c:tx>
          <c:spPr>
            <a:noFill/>
          </c:spPr>
          <c:invertIfNegative val="0"/>
          <c:cat>
            <c:strRef>
              <c:f>NT.!$B$79:$B$86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NT.!$E$79:$E$86</c:f>
              <c:numCache>
                <c:formatCode>#,##0</c:formatCode>
                <c:ptCount val="8"/>
                <c:pt idx="0">
                  <c:v>3.282</c:v>
                </c:pt>
                <c:pt idx="1">
                  <c:v>38.41583</c:v>
                </c:pt>
                <c:pt idx="2">
                  <c:v>35.542000000000002</c:v>
                </c:pt>
                <c:pt idx="3">
                  <c:v>5.4604200000000001</c:v>
                </c:pt>
                <c:pt idx="4">
                  <c:v>12.448</c:v>
                </c:pt>
                <c:pt idx="5">
                  <c:v>3.1009709999999999</c:v>
                </c:pt>
                <c:pt idx="6">
                  <c:v>5.7905500000000005</c:v>
                </c:pt>
                <c:pt idx="7">
                  <c:v>24.83661260961269</c:v>
                </c:pt>
              </c:numCache>
            </c:numRef>
          </c:val>
          <c:extLst>
            <c:ext xmlns:c16="http://schemas.microsoft.com/office/drawing/2014/chart" uri="{C3380CC4-5D6E-409C-BE32-E72D297353CC}">
              <c16:uniqueId val="{00000001-5A4F-4CF5-A3AD-F2DCCC7CB05E}"/>
            </c:ext>
          </c:extLst>
        </c:ser>
        <c:ser>
          <c:idx val="2"/>
          <c:order val="2"/>
          <c:tx>
            <c:strRef>
              <c:f>NT.!$P$75</c:f>
              <c:strCache>
                <c:ptCount val="1"/>
                <c:pt idx="0">
                  <c:v>En recovery (kt)</c:v>
                </c:pt>
              </c:strCache>
            </c:strRef>
          </c:tx>
          <c:spPr>
            <a:noFill/>
          </c:spPr>
          <c:invertIfNegative val="0"/>
          <c:cat>
            <c:strRef>
              <c:f>NT.!$B$79:$B$86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NT.!$F$79:$F$86</c:f>
              <c:numCache>
                <c:formatCode>#,##0</c:formatCode>
                <c:ptCount val="8"/>
                <c:pt idx="0">
                  <c:v>0</c:v>
                </c:pt>
                <c:pt idx="1">
                  <c:v>0</c:v>
                </c:pt>
                <c:pt idx="2">
                  <c:v>9.566303448600463</c:v>
                </c:pt>
                <c:pt idx="3">
                  <c:v>3.7860035852918532</c:v>
                </c:pt>
                <c:pt idx="4">
                  <c:v>0</c:v>
                </c:pt>
                <c:pt idx="5">
                  <c:v>0</c:v>
                </c:pt>
                <c:pt idx="6">
                  <c:v>0.69154648868787938</c:v>
                </c:pt>
                <c:pt idx="7">
                  <c:v>3.0098296591551462E-13</c:v>
                </c:pt>
              </c:numCache>
            </c:numRef>
          </c:val>
          <c:extLst>
            <c:ext xmlns:c16="http://schemas.microsoft.com/office/drawing/2014/chart" uri="{C3380CC4-5D6E-409C-BE32-E72D297353CC}">
              <c16:uniqueId val="{00000002-5A4F-4CF5-A3AD-F2DCCC7CB05E}"/>
            </c:ext>
          </c:extLst>
        </c:ser>
        <c:ser>
          <c:idx val="4"/>
          <c:order val="3"/>
          <c:tx>
            <c:strRef>
              <c:f>NT.!$Q$75</c:f>
              <c:strCache>
                <c:ptCount val="1"/>
                <c:pt idx="0">
                  <c:v>Generation (kt)</c:v>
                </c:pt>
              </c:strCache>
            </c:strRef>
          </c:tx>
          <c:spPr>
            <a:noFill/>
            <a:ln>
              <a:noFill/>
            </a:ln>
          </c:spPr>
          <c:invertIfNegative val="0"/>
          <c:cat>
            <c:strRef>
              <c:f>NT.!$B$79:$B$86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NT.!$G$79:$G$86</c:f>
              <c:numCache>
                <c:formatCode>#,##0</c:formatCode>
                <c:ptCount val="8"/>
                <c:pt idx="0">
                  <c:v>141.78985696977446</c:v>
                </c:pt>
                <c:pt idx="1">
                  <c:v>52.659485120670787</c:v>
                </c:pt>
                <c:pt idx="2">
                  <c:v>156.49302066857106</c:v>
                </c:pt>
                <c:pt idx="3">
                  <c:v>38.614788104928905</c:v>
                </c:pt>
                <c:pt idx="4">
                  <c:v>52.807080528966146</c:v>
                </c:pt>
                <c:pt idx="5">
                  <c:v>13.083858509737107</c:v>
                </c:pt>
                <c:pt idx="6">
                  <c:v>13.605457904198371</c:v>
                </c:pt>
                <c:pt idx="7">
                  <c:v>24.904986899738731</c:v>
                </c:pt>
              </c:numCache>
            </c:numRef>
          </c:val>
          <c:extLst>
            <c:ext xmlns:c16="http://schemas.microsoft.com/office/drawing/2014/chart" uri="{C3380CC4-5D6E-409C-BE32-E72D297353CC}">
              <c16:uniqueId val="{00000003-5A4F-4CF5-A3AD-F2DCCC7CB05E}"/>
            </c:ext>
          </c:extLst>
        </c:ser>
        <c:ser>
          <c:idx val="3"/>
          <c:order val="4"/>
          <c:tx>
            <c:strRef>
              <c:f>NT.!$R$75</c:f>
              <c:strCache>
                <c:ptCount val="1"/>
                <c:pt idx="0">
                  <c:v>Generation (kg/cap)</c:v>
                </c:pt>
              </c:strCache>
            </c:strRef>
          </c:tx>
          <c:spPr>
            <a:noFill/>
          </c:spPr>
          <c:invertIfNegative val="0"/>
          <c:cat>
            <c:strRef>
              <c:f>NT.!$B$79:$B$86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NT.!$L$79:$L$86</c:f>
              <c:numCache>
                <c:formatCode>#,##0</c:formatCode>
                <c:ptCount val="8"/>
                <c:pt idx="0">
                  <c:v>583.03908026931276</c:v>
                </c:pt>
                <c:pt idx="1">
                  <c:v>216.5355013987803</c:v>
                </c:pt>
                <c:pt idx="2">
                  <c:v>643.49840523938417</c:v>
                </c:pt>
                <c:pt idx="3">
                  <c:v>158.78378766043525</c:v>
                </c:pt>
                <c:pt idx="4">
                  <c:v>217.14241287287007</c:v>
                </c:pt>
                <c:pt idx="5">
                  <c:v>53.800751301393177</c:v>
                </c:pt>
                <c:pt idx="6">
                  <c:v>55.945565025837176</c:v>
                </c:pt>
                <c:pt idx="7">
                  <c:v>170.50229901428077</c:v>
                </c:pt>
              </c:numCache>
            </c:numRef>
          </c:val>
          <c:extLst>
            <c:ext xmlns:c16="http://schemas.microsoft.com/office/drawing/2014/chart" uri="{C3380CC4-5D6E-409C-BE32-E72D297353CC}">
              <c16:uniqueId val="{00000004-5A4F-4CF5-A3AD-F2DCCC7CB05E}"/>
            </c:ext>
          </c:extLst>
        </c:ser>
        <c:dLbls>
          <c:showLegendKey val="0"/>
          <c:showVal val="0"/>
          <c:showCatName val="0"/>
          <c:showSerName val="0"/>
          <c:showPercent val="0"/>
          <c:showBubbleSize val="0"/>
        </c:dLbls>
        <c:gapWidth val="150"/>
        <c:overlap val="100"/>
        <c:axId val="220093056"/>
        <c:axId val="220111232"/>
      </c:barChart>
      <c:catAx>
        <c:axId val="220093056"/>
        <c:scaling>
          <c:orientation val="minMax"/>
        </c:scaling>
        <c:delete val="1"/>
        <c:axPos val="b"/>
        <c:numFmt formatCode="General" sourceLinked="0"/>
        <c:majorTickMark val="none"/>
        <c:minorTickMark val="none"/>
        <c:tickLblPos val="nextTo"/>
        <c:crossAx val="220111232"/>
        <c:crosses val="autoZero"/>
        <c:auto val="1"/>
        <c:lblAlgn val="ctr"/>
        <c:lblOffset val="100"/>
        <c:noMultiLvlLbl val="0"/>
      </c:catAx>
      <c:valAx>
        <c:axId val="220111232"/>
        <c:scaling>
          <c:orientation val="minMax"/>
        </c:scaling>
        <c:delete val="1"/>
        <c:axPos val="l"/>
        <c:numFmt formatCode="#,##0" sourceLinked="0"/>
        <c:majorTickMark val="out"/>
        <c:minorTickMark val="none"/>
        <c:tickLblPos val="nextTo"/>
        <c:crossAx val="220093056"/>
        <c:crosses val="autoZero"/>
        <c:crossBetween val="between"/>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844" l="0.70000000000000062" r="0.70000000000000062" t="0.750000000000008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9785077047851"/>
          <c:y val="0.10985614035087721"/>
          <c:w val="0.62359730639730637"/>
          <c:h val="0.52939678362573095"/>
        </c:manualLayout>
      </c:layout>
      <c:barChart>
        <c:barDir val="col"/>
        <c:grouping val="stacked"/>
        <c:varyColors val="0"/>
        <c:ser>
          <c:idx val="0"/>
          <c:order val="0"/>
          <c:tx>
            <c:strRef>
              <c:f>NT.!$C$70</c:f>
              <c:strCache>
                <c:ptCount val="1"/>
                <c:pt idx="0">
                  <c:v>Disposal</c:v>
                </c:pt>
              </c:strCache>
            </c:strRef>
          </c:tx>
          <c:spPr>
            <a:solidFill>
              <a:schemeClr val="accent3">
                <a:lumMod val="50000"/>
              </a:schemeClr>
            </a:solidFill>
          </c:spPr>
          <c:invertIfNegative val="0"/>
          <c:cat>
            <c:strRef>
              <c:f>(NT.!$D$69,NT.!$F$69:$G$69)</c:f>
              <c:strCache>
                <c:ptCount val="3"/>
                <c:pt idx="0">
                  <c:v>MSW</c:v>
                </c:pt>
                <c:pt idx="1">
                  <c:v>C&amp;I</c:v>
                </c:pt>
                <c:pt idx="2">
                  <c:v>C&amp;D</c:v>
                </c:pt>
              </c:strCache>
            </c:strRef>
          </c:cat>
          <c:val>
            <c:numRef>
              <c:f>(NT.!$D$70,NT.!$F$70:$G$70)</c:f>
              <c:numCache>
                <c:formatCode>#,##0</c:formatCode>
                <c:ptCount val="3"/>
                <c:pt idx="0">
                  <c:v>146.67289128951614</c:v>
                </c:pt>
                <c:pt idx="1">
                  <c:v>55.935833152869016</c:v>
                </c:pt>
                <c:pt idx="2">
                  <c:v>164.98921083185047</c:v>
                </c:pt>
              </c:numCache>
            </c:numRef>
          </c:val>
          <c:extLst>
            <c:ext xmlns:c16="http://schemas.microsoft.com/office/drawing/2014/chart" uri="{C3380CC4-5D6E-409C-BE32-E72D297353CC}">
              <c16:uniqueId val="{00000000-3CDB-42D7-A0E8-A6BC695674DB}"/>
            </c:ext>
          </c:extLst>
        </c:ser>
        <c:ser>
          <c:idx val="1"/>
          <c:order val="1"/>
          <c:tx>
            <c:strRef>
              <c:f>NT.!$C$71</c:f>
              <c:strCache>
                <c:ptCount val="1"/>
                <c:pt idx="0">
                  <c:v>Recycling</c:v>
                </c:pt>
              </c:strCache>
            </c:strRef>
          </c:tx>
          <c:spPr>
            <a:solidFill>
              <a:srgbClr val="FFFF00"/>
            </a:solidFill>
          </c:spPr>
          <c:invertIfNegative val="0"/>
          <c:cat>
            <c:strRef>
              <c:f>(NT.!$D$69,NT.!$F$69:$G$69)</c:f>
              <c:strCache>
                <c:ptCount val="3"/>
                <c:pt idx="0">
                  <c:v>MSW</c:v>
                </c:pt>
                <c:pt idx="1">
                  <c:v>C&amp;I</c:v>
                </c:pt>
                <c:pt idx="2">
                  <c:v>C&amp;D</c:v>
                </c:pt>
              </c:strCache>
            </c:strRef>
          </c:cat>
          <c:val>
            <c:numRef>
              <c:f>(NT.!$D$71,NT.!$F$71:$G$71)</c:f>
              <c:numCache>
                <c:formatCode>#,##0</c:formatCode>
                <c:ptCount val="3"/>
                <c:pt idx="0">
                  <c:v>103.709641</c:v>
                </c:pt>
                <c:pt idx="1">
                  <c:v>25.036550783008703</c:v>
                </c:pt>
                <c:pt idx="2">
                  <c:v>0.13019182660398781</c:v>
                </c:pt>
              </c:numCache>
            </c:numRef>
          </c:val>
          <c:extLst>
            <c:ext xmlns:c16="http://schemas.microsoft.com/office/drawing/2014/chart" uri="{C3380CC4-5D6E-409C-BE32-E72D297353CC}">
              <c16:uniqueId val="{00000001-3CDB-42D7-A0E8-A6BC695674DB}"/>
            </c:ext>
          </c:extLst>
        </c:ser>
        <c:ser>
          <c:idx val="2"/>
          <c:order val="2"/>
          <c:tx>
            <c:strRef>
              <c:f>NT.!$C$72</c:f>
              <c:strCache>
                <c:ptCount val="1"/>
                <c:pt idx="0">
                  <c:v>Energy recovery</c:v>
                </c:pt>
              </c:strCache>
            </c:strRef>
          </c:tx>
          <c:spPr>
            <a:solidFill>
              <a:schemeClr val="accent6">
                <a:lumMod val="75000"/>
              </a:schemeClr>
            </a:solidFill>
          </c:spPr>
          <c:invertIfNegative val="0"/>
          <c:cat>
            <c:strRef>
              <c:f>(NT.!$D$69,NT.!$F$69:$G$69)</c:f>
              <c:strCache>
                <c:ptCount val="3"/>
                <c:pt idx="0">
                  <c:v>MSW</c:v>
                </c:pt>
                <c:pt idx="1">
                  <c:v>C&amp;I</c:v>
                </c:pt>
                <c:pt idx="2">
                  <c:v>C&amp;D</c:v>
                </c:pt>
              </c:strCache>
            </c:strRef>
          </c:cat>
          <c:val>
            <c:numRef>
              <c:f>(NT.!$D$72,NT.!$F$72:$G$72)</c:f>
              <c:numCache>
                <c:formatCode>#,##0</c:formatCode>
                <c:ptCount val="3"/>
                <c:pt idx="0">
                  <c:v>10.283032737428012</c:v>
                </c:pt>
                <c:pt idx="1">
                  <c:v>2.8371315244626101</c:v>
                </c:pt>
                <c:pt idx="2">
                  <c:v>0.92368926068987334</c:v>
                </c:pt>
              </c:numCache>
            </c:numRef>
          </c:val>
          <c:extLst>
            <c:ext xmlns:c16="http://schemas.microsoft.com/office/drawing/2014/chart" uri="{C3380CC4-5D6E-409C-BE32-E72D297353CC}">
              <c16:uniqueId val="{00000002-3CDB-42D7-A0E8-A6BC695674DB}"/>
            </c:ext>
          </c:extLst>
        </c:ser>
        <c:ser>
          <c:idx val="3"/>
          <c:order val="3"/>
          <c:tx>
            <c:strRef>
              <c:f>NT.!$C$73</c:f>
              <c:strCache>
                <c:ptCount val="1"/>
                <c:pt idx="0">
                  <c:v>Recovery rate</c:v>
                </c:pt>
              </c:strCache>
            </c:strRef>
          </c:tx>
          <c:spPr>
            <a:noFill/>
            <a:ln>
              <a:noFill/>
            </a:ln>
          </c:spPr>
          <c:invertIfNegative val="0"/>
          <c:dLbls>
            <c:dLbl>
              <c:idx val="0"/>
              <c:layout>
                <c:manualLayout>
                  <c:x val="3.9340133085609225E-17"/>
                  <c:y val="-2.78456140350877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E-4630-B568-859C0C3F28C1}"/>
                </c:ext>
              </c:extLst>
            </c:dLbl>
            <c:dLbl>
              <c:idx val="1"/>
              <c:layout>
                <c:manualLayout>
                  <c:x val="-2.1458502297918357E-3"/>
                  <c:y val="-2.05812865497076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DB-42D7-A0E8-A6BC695674DB}"/>
                </c:ext>
              </c:extLst>
            </c:dLbl>
            <c:dLbl>
              <c:idx val="2"/>
              <c:layout>
                <c:manualLayout>
                  <c:x val="0"/>
                  <c:y val="-3.19394736842105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9E-4630-B568-859C0C3F28C1}"/>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(NT.!$D$69,NT.!$F$69:$G$69)</c:f>
              <c:strCache>
                <c:ptCount val="3"/>
                <c:pt idx="0">
                  <c:v>MSW</c:v>
                </c:pt>
                <c:pt idx="1">
                  <c:v>C&amp;I</c:v>
                </c:pt>
                <c:pt idx="2">
                  <c:v>C&amp;D</c:v>
                </c:pt>
              </c:strCache>
            </c:strRef>
          </c:cat>
          <c:val>
            <c:numRef>
              <c:f>(NT.!$D$73,NT.!$F$73:$G$73)</c:f>
              <c:numCache>
                <c:formatCode>0%</c:formatCode>
                <c:ptCount val="3"/>
                <c:pt idx="0">
                  <c:v>0.43731389577923335</c:v>
                </c:pt>
                <c:pt idx="1">
                  <c:v>0.3325837424828148</c:v>
                </c:pt>
                <c:pt idx="2">
                  <c:v>6.3470336230973994E-3</c:v>
                </c:pt>
              </c:numCache>
            </c:numRef>
          </c:val>
          <c:extLst>
            <c:ext xmlns:c16="http://schemas.microsoft.com/office/drawing/2014/chart" uri="{C3380CC4-5D6E-409C-BE32-E72D297353CC}">
              <c16:uniqueId val="{00000006-3CDB-42D7-A0E8-A6BC695674DB}"/>
            </c:ext>
          </c:extLst>
        </c:ser>
        <c:dLbls>
          <c:showLegendKey val="0"/>
          <c:showVal val="0"/>
          <c:showCatName val="0"/>
          <c:showSerName val="0"/>
          <c:showPercent val="0"/>
          <c:showBubbleSize val="0"/>
        </c:dLbls>
        <c:gapWidth val="150"/>
        <c:overlap val="100"/>
        <c:axId val="219379584"/>
        <c:axId val="219381120"/>
      </c:barChart>
      <c:lineChart>
        <c:grouping val="standard"/>
        <c:varyColors val="0"/>
        <c:ser>
          <c:idx val="4"/>
          <c:order val="4"/>
          <c:tx>
            <c:strRef>
              <c:f>NT.!$C$75</c:f>
              <c:strCache>
                <c:ptCount val="1"/>
                <c:pt idx="0">
                  <c:v>Generation (kg per capita)</c:v>
                </c:pt>
              </c:strCache>
            </c:strRef>
          </c:tx>
          <c:spPr>
            <a:ln>
              <a:noFill/>
            </a:ln>
          </c:spPr>
          <c:marker>
            <c:symbol val="none"/>
          </c:marker>
          <c:val>
            <c:numRef>
              <c:f>(NT.!$D$75,NT.!$F$75:$G$75)</c:f>
              <c:numCache>
                <c:formatCode>#,##0</c:formatCode>
                <c:ptCount val="3"/>
                <c:pt idx="0">
                  <c:v>1071.8553113682008</c:v>
                </c:pt>
                <c:pt idx="1">
                  <c:v>344.62424785596642</c:v>
                </c:pt>
                <c:pt idx="2">
                  <c:v>682.76824355812641</c:v>
                </c:pt>
              </c:numCache>
            </c:numRef>
          </c:val>
          <c:smooth val="0"/>
          <c:extLst>
            <c:ext xmlns:c16="http://schemas.microsoft.com/office/drawing/2014/chart" uri="{C3380CC4-5D6E-409C-BE32-E72D297353CC}">
              <c16:uniqueId val="{00000007-3CDB-42D7-A0E8-A6BC695674DB}"/>
            </c:ext>
          </c:extLst>
        </c:ser>
        <c:dLbls>
          <c:showLegendKey val="0"/>
          <c:showVal val="0"/>
          <c:showCatName val="0"/>
          <c:showSerName val="0"/>
          <c:showPercent val="0"/>
          <c:showBubbleSize val="0"/>
        </c:dLbls>
        <c:marker val="1"/>
        <c:smooth val="0"/>
        <c:axId val="997660824"/>
        <c:axId val="997657872"/>
      </c:lineChart>
      <c:catAx>
        <c:axId val="21937958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381120"/>
        <c:crosses val="autoZero"/>
        <c:auto val="1"/>
        <c:lblAlgn val="ctr"/>
        <c:lblOffset val="100"/>
        <c:noMultiLvlLbl val="0"/>
      </c:catAx>
      <c:valAx>
        <c:axId val="219381120"/>
        <c:scaling>
          <c:orientation val="minMax"/>
          <c:min val="0"/>
        </c:scaling>
        <c:delete val="0"/>
        <c:axPos val="l"/>
        <c:majorGridlines>
          <c:spPr>
            <a:ln w="2540"/>
          </c:spPr>
        </c:majorGridlines>
        <c:title>
          <c:tx>
            <c:rich>
              <a:bodyPr/>
              <a:lstStyle/>
              <a:p>
                <a:pPr>
                  <a:defRPr/>
                </a:pPr>
                <a:r>
                  <a:rPr lang="en-AU"/>
                  <a:t>Kilotonnes</a:t>
                </a:r>
                <a:r>
                  <a:rPr lang="en-AU" baseline="0"/>
                  <a:t> (kt)</a:t>
                </a:r>
                <a:endParaRPr lang="en-AU"/>
              </a:p>
            </c:rich>
          </c:tx>
          <c:layout>
            <c:manualLayout>
              <c:xMode val="edge"/>
              <c:yMode val="edge"/>
              <c:x val="0.16885982698026492"/>
              <c:y val="0.23881871345029237"/>
            </c:manualLayout>
          </c:layout>
          <c:overlay val="0"/>
        </c:title>
        <c:numFmt formatCode="#,##0" sourceLinked="0"/>
        <c:majorTickMark val="out"/>
        <c:minorTickMark val="none"/>
        <c:tickLblPos val="nextTo"/>
        <c:spPr>
          <a:ln>
            <a:noFill/>
          </a:ln>
        </c:spPr>
        <c:crossAx val="219379584"/>
        <c:crosses val="autoZero"/>
        <c:crossBetween val="between"/>
      </c:valAx>
      <c:valAx>
        <c:axId val="997657872"/>
        <c:scaling>
          <c:orientation val="minMax"/>
        </c:scaling>
        <c:delete val="0"/>
        <c:axPos val="r"/>
        <c:title>
          <c:tx>
            <c:rich>
              <a:bodyPr/>
              <a:lstStyle/>
              <a:p>
                <a:pPr>
                  <a:defRPr/>
                </a:pPr>
                <a:r>
                  <a:rPr lang="en-AU" baseline="0"/>
                  <a:t>Kg per capita</a:t>
                </a:r>
                <a:endParaRPr lang="en-AU"/>
              </a:p>
            </c:rich>
          </c:tx>
          <c:layout>
            <c:manualLayout>
              <c:xMode val="edge"/>
              <c:yMode val="edge"/>
              <c:x val="0.95498749662070825"/>
              <c:y val="0.25939122807017545"/>
            </c:manualLayout>
          </c:layout>
          <c:overlay val="0"/>
        </c:title>
        <c:numFmt formatCode="#,##0" sourceLinked="1"/>
        <c:majorTickMark val="out"/>
        <c:minorTickMark val="none"/>
        <c:tickLblPos val="nextTo"/>
        <c:spPr>
          <a:ln>
            <a:noFill/>
          </a:ln>
        </c:spPr>
        <c:crossAx val="997660824"/>
        <c:crosses val="max"/>
        <c:crossBetween val="between"/>
        <c:majorUnit val="205"/>
      </c:valAx>
      <c:catAx>
        <c:axId val="997660824"/>
        <c:scaling>
          <c:orientation val="minMax"/>
        </c:scaling>
        <c:delete val="1"/>
        <c:axPos val="b"/>
        <c:majorTickMark val="out"/>
        <c:minorTickMark val="none"/>
        <c:tickLblPos val="nextTo"/>
        <c:crossAx val="997657872"/>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6260627872397944"/>
          <c:y val="2.5067543859649117E-2"/>
          <c:w val="0.4386014801297648"/>
          <c:h val="6.7150000000000001E-2"/>
        </c:manualLayout>
      </c:layout>
      <c:overlay val="0"/>
    </c:legend>
    <c:plotVisOnly val="1"/>
    <c:dispBlanksAs val="gap"/>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130077318187"/>
          <c:y val="0.25430761272649116"/>
          <c:w val="0.718525531651663"/>
          <c:h val="0.13428840426060865"/>
        </c:manualLayout>
      </c:layout>
      <c:barChart>
        <c:barDir val="col"/>
        <c:grouping val="stacked"/>
        <c:varyColors val="0"/>
        <c:ser>
          <c:idx val="0"/>
          <c:order val="0"/>
          <c:tx>
            <c:strRef>
              <c:f>NT.!$N$75</c:f>
              <c:strCache>
                <c:ptCount val="1"/>
                <c:pt idx="0">
                  <c:v>Disposal (kt)</c:v>
                </c:pt>
              </c:strCache>
            </c:strRef>
          </c:tx>
          <c:spPr>
            <a:noFill/>
          </c:spPr>
          <c:invertIfNegative val="0"/>
          <c:cat>
            <c:strRef>
              <c:f>(NT.!$D$69,NT.!$F$69:$G$69)</c:f>
              <c:strCache>
                <c:ptCount val="3"/>
                <c:pt idx="0">
                  <c:v>MSW</c:v>
                </c:pt>
                <c:pt idx="1">
                  <c:v>C&amp;I</c:v>
                </c:pt>
                <c:pt idx="2">
                  <c:v>C&amp;D</c:v>
                </c:pt>
              </c:strCache>
            </c:strRef>
          </c:cat>
          <c:val>
            <c:numRef>
              <c:f>(NT.!$D$70,NT.!$F$70:$G$70)</c:f>
              <c:numCache>
                <c:formatCode>#,##0</c:formatCode>
                <c:ptCount val="3"/>
                <c:pt idx="0">
                  <c:v>146.67289128951614</c:v>
                </c:pt>
                <c:pt idx="1">
                  <c:v>55.935833152869016</c:v>
                </c:pt>
                <c:pt idx="2">
                  <c:v>164.98921083185047</c:v>
                </c:pt>
              </c:numCache>
            </c:numRef>
          </c:val>
          <c:extLst>
            <c:ext xmlns:c16="http://schemas.microsoft.com/office/drawing/2014/chart" uri="{C3380CC4-5D6E-409C-BE32-E72D297353CC}">
              <c16:uniqueId val="{00000000-4676-4099-BED8-5F368B7B4546}"/>
            </c:ext>
          </c:extLst>
        </c:ser>
        <c:ser>
          <c:idx val="1"/>
          <c:order val="1"/>
          <c:tx>
            <c:strRef>
              <c:f>NT.!$O$75</c:f>
              <c:strCache>
                <c:ptCount val="1"/>
                <c:pt idx="0">
                  <c:v>Recycling (kt)</c:v>
                </c:pt>
              </c:strCache>
            </c:strRef>
          </c:tx>
          <c:spPr>
            <a:noFill/>
            <a:ln>
              <a:noFill/>
            </a:ln>
          </c:spPr>
          <c:invertIfNegative val="0"/>
          <c:cat>
            <c:strRef>
              <c:f>(NT.!$D$69,NT.!$F$69:$G$69)</c:f>
              <c:strCache>
                <c:ptCount val="3"/>
                <c:pt idx="0">
                  <c:v>MSW</c:v>
                </c:pt>
                <c:pt idx="1">
                  <c:v>C&amp;I</c:v>
                </c:pt>
                <c:pt idx="2">
                  <c:v>C&amp;D</c:v>
                </c:pt>
              </c:strCache>
            </c:strRef>
          </c:cat>
          <c:val>
            <c:numRef>
              <c:f>(NT.!$D$71,NT.!$F$71:$G$71)</c:f>
              <c:numCache>
                <c:formatCode>#,##0</c:formatCode>
                <c:ptCount val="3"/>
                <c:pt idx="0">
                  <c:v>103.709641</c:v>
                </c:pt>
                <c:pt idx="1">
                  <c:v>25.036550783008703</c:v>
                </c:pt>
                <c:pt idx="2">
                  <c:v>0.13019182660398781</c:v>
                </c:pt>
              </c:numCache>
            </c:numRef>
          </c:val>
          <c:extLst>
            <c:ext xmlns:c16="http://schemas.microsoft.com/office/drawing/2014/chart" uri="{C3380CC4-5D6E-409C-BE32-E72D297353CC}">
              <c16:uniqueId val="{00000001-4676-4099-BED8-5F368B7B4546}"/>
            </c:ext>
          </c:extLst>
        </c:ser>
        <c:ser>
          <c:idx val="2"/>
          <c:order val="2"/>
          <c:tx>
            <c:strRef>
              <c:f>NT.!$P$75</c:f>
              <c:strCache>
                <c:ptCount val="1"/>
                <c:pt idx="0">
                  <c:v>En recovery (kt)</c:v>
                </c:pt>
              </c:strCache>
            </c:strRef>
          </c:tx>
          <c:spPr>
            <a:noFill/>
          </c:spPr>
          <c:invertIfNegative val="0"/>
          <c:cat>
            <c:strRef>
              <c:f>(NT.!$D$69,NT.!$F$69:$G$69)</c:f>
              <c:strCache>
                <c:ptCount val="3"/>
                <c:pt idx="0">
                  <c:v>MSW</c:v>
                </c:pt>
                <c:pt idx="1">
                  <c:v>C&amp;I</c:v>
                </c:pt>
                <c:pt idx="2">
                  <c:v>C&amp;D</c:v>
                </c:pt>
              </c:strCache>
            </c:strRef>
          </c:cat>
          <c:val>
            <c:numRef>
              <c:f>(NT.!$D$72,NT.!$F$72:$G$72)</c:f>
              <c:numCache>
                <c:formatCode>#,##0</c:formatCode>
                <c:ptCount val="3"/>
                <c:pt idx="0">
                  <c:v>10.283032737428012</c:v>
                </c:pt>
                <c:pt idx="1">
                  <c:v>2.8371315244626101</c:v>
                </c:pt>
                <c:pt idx="2">
                  <c:v>0.92368926068987334</c:v>
                </c:pt>
              </c:numCache>
            </c:numRef>
          </c:val>
          <c:extLst>
            <c:ext xmlns:c16="http://schemas.microsoft.com/office/drawing/2014/chart" uri="{C3380CC4-5D6E-409C-BE32-E72D297353CC}">
              <c16:uniqueId val="{00000002-4676-4099-BED8-5F368B7B4546}"/>
            </c:ext>
          </c:extLst>
        </c:ser>
        <c:ser>
          <c:idx val="4"/>
          <c:order val="3"/>
          <c:tx>
            <c:strRef>
              <c:f>NT.!$Q$75</c:f>
              <c:strCache>
                <c:ptCount val="1"/>
                <c:pt idx="0">
                  <c:v>Generation (kt)</c:v>
                </c:pt>
              </c:strCache>
            </c:strRef>
          </c:tx>
          <c:spPr>
            <a:noFill/>
          </c:spPr>
          <c:invertIfNegative val="0"/>
          <c:cat>
            <c:strRef>
              <c:f>(NT.!$D$69,NT.!$F$69:$G$69)</c:f>
              <c:strCache>
                <c:ptCount val="3"/>
                <c:pt idx="0">
                  <c:v>MSW</c:v>
                </c:pt>
                <c:pt idx="1">
                  <c:v>C&amp;I</c:v>
                </c:pt>
                <c:pt idx="2">
                  <c:v>C&amp;D</c:v>
                </c:pt>
              </c:strCache>
            </c:strRef>
          </c:cat>
          <c:val>
            <c:numRef>
              <c:f>(NT.!$D$74,NT.!$F$74:$G$74)</c:f>
              <c:numCache>
                <c:formatCode>#,##0</c:formatCode>
                <c:ptCount val="3"/>
                <c:pt idx="0">
                  <c:v>260.66556502694414</c:v>
                </c:pt>
                <c:pt idx="1">
                  <c:v>83.809515460340322</c:v>
                </c:pt>
                <c:pt idx="2">
                  <c:v>166.04309191914433</c:v>
                </c:pt>
              </c:numCache>
            </c:numRef>
          </c:val>
          <c:extLst>
            <c:ext xmlns:c16="http://schemas.microsoft.com/office/drawing/2014/chart" uri="{C3380CC4-5D6E-409C-BE32-E72D297353CC}">
              <c16:uniqueId val="{00000003-4676-4099-BED8-5F368B7B4546}"/>
            </c:ext>
          </c:extLst>
        </c:ser>
        <c:ser>
          <c:idx val="3"/>
          <c:order val="4"/>
          <c:tx>
            <c:strRef>
              <c:f>NT.!$R$75</c:f>
              <c:strCache>
                <c:ptCount val="1"/>
                <c:pt idx="0">
                  <c:v>Generation (kg/cap)</c:v>
                </c:pt>
              </c:strCache>
            </c:strRef>
          </c:tx>
          <c:spPr>
            <a:noFill/>
            <a:ln>
              <a:noFill/>
            </a:ln>
          </c:spPr>
          <c:invertIfNegative val="0"/>
          <c:cat>
            <c:strRef>
              <c:f>(NT.!$D$69,NT.!$F$69:$G$69)</c:f>
              <c:strCache>
                <c:ptCount val="3"/>
                <c:pt idx="0">
                  <c:v>MSW</c:v>
                </c:pt>
                <c:pt idx="1">
                  <c:v>C&amp;I</c:v>
                </c:pt>
                <c:pt idx="2">
                  <c:v>C&amp;D</c:v>
                </c:pt>
              </c:strCache>
            </c:strRef>
          </c:cat>
          <c:val>
            <c:numRef>
              <c:f>(NT.!$D$75,NT.!$F$75:$G$75)</c:f>
              <c:numCache>
                <c:formatCode>#,##0</c:formatCode>
                <c:ptCount val="3"/>
                <c:pt idx="0">
                  <c:v>1071.8553113682008</c:v>
                </c:pt>
                <c:pt idx="1">
                  <c:v>344.62424785596642</c:v>
                </c:pt>
                <c:pt idx="2">
                  <c:v>682.76824355812641</c:v>
                </c:pt>
              </c:numCache>
            </c:numRef>
          </c:val>
          <c:extLst>
            <c:ext xmlns:c16="http://schemas.microsoft.com/office/drawing/2014/chart" uri="{C3380CC4-5D6E-409C-BE32-E72D297353CC}">
              <c16:uniqueId val="{00000004-4676-4099-BED8-5F368B7B4546}"/>
            </c:ext>
          </c:extLst>
        </c:ser>
        <c:dLbls>
          <c:showLegendKey val="0"/>
          <c:showVal val="0"/>
          <c:showCatName val="0"/>
          <c:showSerName val="0"/>
          <c:showPercent val="0"/>
          <c:showBubbleSize val="0"/>
        </c:dLbls>
        <c:gapWidth val="150"/>
        <c:overlap val="100"/>
        <c:axId val="219432064"/>
        <c:axId val="219433600"/>
      </c:barChart>
      <c:catAx>
        <c:axId val="219432064"/>
        <c:scaling>
          <c:orientation val="minMax"/>
        </c:scaling>
        <c:delete val="1"/>
        <c:axPos val="b"/>
        <c:numFmt formatCode="General" sourceLinked="0"/>
        <c:majorTickMark val="none"/>
        <c:minorTickMark val="none"/>
        <c:tickLblPos val="nextTo"/>
        <c:crossAx val="219433600"/>
        <c:crosses val="autoZero"/>
        <c:auto val="1"/>
        <c:lblAlgn val="ctr"/>
        <c:lblOffset val="100"/>
        <c:noMultiLvlLbl val="0"/>
      </c:catAx>
      <c:valAx>
        <c:axId val="219433600"/>
        <c:scaling>
          <c:orientation val="minMax"/>
        </c:scaling>
        <c:delete val="1"/>
        <c:axPos val="l"/>
        <c:numFmt formatCode="#,##0" sourceLinked="0"/>
        <c:majorTickMark val="out"/>
        <c:minorTickMark val="none"/>
        <c:tickLblPos val="nextTo"/>
        <c:crossAx val="219432064"/>
        <c:crosses val="autoZero"/>
        <c:crossBetween val="between"/>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printSettings>
    <c:headerFooter/>
    <c:pageMargins b="0.75000000000000822" l="0.70000000000000062" r="0.70000000000000062" t="0.750000000000008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69535685320356"/>
          <c:y val="0.10180526315789473"/>
          <c:w val="0.61104966329966326"/>
          <c:h val="0.49764093567251461"/>
        </c:manualLayout>
      </c:layout>
      <c:barChart>
        <c:barDir val="col"/>
        <c:grouping val="stacked"/>
        <c:varyColors val="0"/>
        <c:ser>
          <c:idx val="0"/>
          <c:order val="0"/>
          <c:tx>
            <c:strRef>
              <c:f>NT.!$C$70</c:f>
              <c:strCache>
                <c:ptCount val="1"/>
                <c:pt idx="0">
                  <c:v>Disposal</c:v>
                </c:pt>
              </c:strCache>
            </c:strRef>
          </c:tx>
          <c:spPr>
            <a:solidFill>
              <a:schemeClr val="accent3">
                <a:lumMod val="50000"/>
              </a:schemeClr>
            </a:solidFill>
          </c:spPr>
          <c:invertIfNegative val="0"/>
          <c:cat>
            <c:strRef>
              <c:f>(NT.!$H$67,NT.!$J$67)</c:f>
              <c:strCache>
                <c:ptCount val="2"/>
                <c:pt idx="0">
                  <c:v>Total</c:v>
                </c:pt>
                <c:pt idx="1">
                  <c:v>Total excl. hazwaste</c:v>
                </c:pt>
              </c:strCache>
            </c:strRef>
          </c:cat>
          <c:val>
            <c:numRef>
              <c:f>(NT.!$H$70,NT.!$J$70)</c:f>
              <c:numCache>
                <c:formatCode>#,##0</c:formatCode>
                <c:ptCount val="2"/>
                <c:pt idx="0">
                  <c:v>367.59793527423562</c:v>
                </c:pt>
                <c:pt idx="1">
                  <c:v>350.96992328426666</c:v>
                </c:pt>
              </c:numCache>
            </c:numRef>
          </c:val>
          <c:extLst>
            <c:ext xmlns:c16="http://schemas.microsoft.com/office/drawing/2014/chart" uri="{C3380CC4-5D6E-409C-BE32-E72D297353CC}">
              <c16:uniqueId val="{00000000-CCCF-44E6-8EE9-F89877BAA5F8}"/>
            </c:ext>
          </c:extLst>
        </c:ser>
        <c:ser>
          <c:idx val="1"/>
          <c:order val="1"/>
          <c:tx>
            <c:strRef>
              <c:f>NT.!$C$71</c:f>
              <c:strCache>
                <c:ptCount val="1"/>
                <c:pt idx="0">
                  <c:v>Recycling</c:v>
                </c:pt>
              </c:strCache>
            </c:strRef>
          </c:tx>
          <c:spPr>
            <a:solidFill>
              <a:srgbClr val="FFFF00"/>
            </a:solidFill>
          </c:spPr>
          <c:invertIfNegative val="0"/>
          <c:cat>
            <c:strRef>
              <c:f>(NT.!$H$67,NT.!$J$67)</c:f>
              <c:strCache>
                <c:ptCount val="2"/>
                <c:pt idx="0">
                  <c:v>Total</c:v>
                </c:pt>
                <c:pt idx="1">
                  <c:v>Total excl. hazwaste</c:v>
                </c:pt>
              </c:strCache>
            </c:strRef>
          </c:cat>
          <c:val>
            <c:numRef>
              <c:f>(NT.!$H$71,NT.!$J$71)</c:f>
              <c:numCache>
                <c:formatCode>#,##0</c:formatCode>
                <c:ptCount val="2"/>
                <c:pt idx="0">
                  <c:v>128.8763836096127</c:v>
                </c:pt>
                <c:pt idx="1">
                  <c:v>104.039771</c:v>
                </c:pt>
              </c:numCache>
            </c:numRef>
          </c:val>
          <c:extLst>
            <c:ext xmlns:c16="http://schemas.microsoft.com/office/drawing/2014/chart" uri="{C3380CC4-5D6E-409C-BE32-E72D297353CC}">
              <c16:uniqueId val="{00000001-CCCF-44E6-8EE9-F89877BAA5F8}"/>
            </c:ext>
          </c:extLst>
        </c:ser>
        <c:ser>
          <c:idx val="2"/>
          <c:order val="2"/>
          <c:tx>
            <c:strRef>
              <c:f>NT.!$C$72</c:f>
              <c:strCache>
                <c:ptCount val="1"/>
                <c:pt idx="0">
                  <c:v>Energy recovery</c:v>
                </c:pt>
              </c:strCache>
            </c:strRef>
          </c:tx>
          <c:spPr>
            <a:solidFill>
              <a:schemeClr val="accent6">
                <a:lumMod val="75000"/>
              </a:schemeClr>
            </a:solidFill>
          </c:spPr>
          <c:invertIfNegative val="0"/>
          <c:cat>
            <c:strRef>
              <c:f>(NT.!$H$67,NT.!$J$67)</c:f>
              <c:strCache>
                <c:ptCount val="2"/>
                <c:pt idx="0">
                  <c:v>Total</c:v>
                </c:pt>
                <c:pt idx="1">
                  <c:v>Total excl. hazwaste</c:v>
                </c:pt>
              </c:strCache>
            </c:strRef>
          </c:cat>
          <c:val>
            <c:numRef>
              <c:f>(NT.!$H$72,NT.!$J$72)</c:f>
              <c:numCache>
                <c:formatCode>#,##0</c:formatCode>
                <c:ptCount val="2"/>
                <c:pt idx="0">
                  <c:v>14.043853522580497</c:v>
                </c:pt>
                <c:pt idx="1">
                  <c:v>14.043853522580196</c:v>
                </c:pt>
              </c:numCache>
            </c:numRef>
          </c:val>
          <c:extLst>
            <c:ext xmlns:c16="http://schemas.microsoft.com/office/drawing/2014/chart" uri="{C3380CC4-5D6E-409C-BE32-E72D297353CC}">
              <c16:uniqueId val="{00000002-CCCF-44E6-8EE9-F89877BAA5F8}"/>
            </c:ext>
          </c:extLst>
        </c:ser>
        <c:ser>
          <c:idx val="3"/>
          <c:order val="3"/>
          <c:tx>
            <c:strRef>
              <c:f>NT.!$C$73</c:f>
              <c:strCache>
                <c:ptCount val="1"/>
                <c:pt idx="0">
                  <c:v>Recovery rate</c:v>
                </c:pt>
              </c:strCache>
            </c:strRef>
          </c:tx>
          <c:spPr>
            <a:noFill/>
          </c:spPr>
          <c:invertIfNegative val="0"/>
          <c:dLbls>
            <c:dLbl>
              <c:idx val="0"/>
              <c:layout>
                <c:manualLayout>
                  <c:x val="0"/>
                  <c:y val="6.79064327485380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CF-44E6-8EE9-F89877BAA5F8}"/>
                </c:ext>
              </c:extLst>
            </c:dLbl>
            <c:dLbl>
              <c:idx val="1"/>
              <c:layout>
                <c:manualLayout>
                  <c:x val="-7.6169234928359013E-4"/>
                  <c:y val="5.33763157894736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CF-44E6-8EE9-F89877BAA5F8}"/>
                </c:ext>
              </c:extLst>
            </c:dLbl>
            <c:numFmt formatCode="0%" sourceLinked="0"/>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(NT.!$H$67,NT.!$J$67)</c:f>
              <c:strCache>
                <c:ptCount val="2"/>
                <c:pt idx="0">
                  <c:v>Total</c:v>
                </c:pt>
                <c:pt idx="1">
                  <c:v>Total excl. hazwaste</c:v>
                </c:pt>
              </c:strCache>
            </c:strRef>
          </c:cat>
          <c:val>
            <c:numRef>
              <c:f>(NT.!$O$73,NT.!$Q$73)</c:f>
              <c:numCache>
                <c:formatCode>0%</c:formatCode>
                <c:ptCount val="2"/>
                <c:pt idx="0">
                  <c:v>279.95132172966584</c:v>
                </c:pt>
                <c:pt idx="1">
                  <c:v>251.74870774286572</c:v>
                </c:pt>
              </c:numCache>
            </c:numRef>
          </c:val>
          <c:extLst>
            <c:ext xmlns:c16="http://schemas.microsoft.com/office/drawing/2014/chart" uri="{C3380CC4-5D6E-409C-BE32-E72D297353CC}">
              <c16:uniqueId val="{00000004-CCCF-44E6-8EE9-F89877BAA5F8}"/>
            </c:ext>
          </c:extLst>
        </c:ser>
        <c:dLbls>
          <c:showLegendKey val="0"/>
          <c:showVal val="0"/>
          <c:showCatName val="0"/>
          <c:showSerName val="0"/>
          <c:showPercent val="0"/>
          <c:showBubbleSize val="0"/>
        </c:dLbls>
        <c:gapWidth val="270"/>
        <c:overlap val="100"/>
        <c:axId val="219543040"/>
        <c:axId val="219544576"/>
      </c:barChart>
      <c:lineChart>
        <c:grouping val="stacked"/>
        <c:varyColors val="0"/>
        <c:ser>
          <c:idx val="4"/>
          <c:order val="4"/>
          <c:tx>
            <c:v>disposal per cap</c:v>
          </c:tx>
          <c:spPr>
            <a:ln>
              <a:noFill/>
            </a:ln>
          </c:spPr>
          <c:marker>
            <c:symbol val="none"/>
          </c:marker>
          <c:val>
            <c:numRef>
              <c:f>(NT.!$K$70,NT.!$M$70)</c:f>
              <c:numCache>
                <c:formatCode>#,##0</c:formatCode>
                <c:ptCount val="2"/>
                <c:pt idx="0">
                  <c:v>1511.5606057552936</c:v>
                </c:pt>
                <c:pt idx="1">
                  <c:v>1443.1863156295533</c:v>
                </c:pt>
              </c:numCache>
            </c:numRef>
          </c:val>
          <c:smooth val="0"/>
          <c:extLst>
            <c:ext xmlns:c16="http://schemas.microsoft.com/office/drawing/2014/chart" uri="{C3380CC4-5D6E-409C-BE32-E72D297353CC}">
              <c16:uniqueId val="{00000005-CCCF-44E6-8EE9-F89877BAA5F8}"/>
            </c:ext>
          </c:extLst>
        </c:ser>
        <c:ser>
          <c:idx val="5"/>
          <c:order val="5"/>
          <c:tx>
            <c:v>recycling per cap</c:v>
          </c:tx>
          <c:spPr>
            <a:ln>
              <a:noFill/>
            </a:ln>
          </c:spPr>
          <c:marker>
            <c:symbol val="none"/>
          </c:marker>
          <c:val>
            <c:numRef>
              <c:f>(NT.!$K$71,NT.!$M$71)</c:f>
              <c:numCache>
                <c:formatCode>#,##0</c:formatCode>
                <c:ptCount val="2"/>
                <c:pt idx="0">
                  <c:v>529.93895172770658</c:v>
                </c:pt>
                <c:pt idx="1">
                  <c:v>427.81094283916758</c:v>
                </c:pt>
              </c:numCache>
            </c:numRef>
          </c:val>
          <c:smooth val="0"/>
          <c:extLst>
            <c:ext xmlns:c16="http://schemas.microsoft.com/office/drawing/2014/chart" uri="{C3380CC4-5D6E-409C-BE32-E72D297353CC}">
              <c16:uniqueId val="{00000006-CCCF-44E6-8EE9-F89877BAA5F8}"/>
            </c:ext>
          </c:extLst>
        </c:ser>
        <c:ser>
          <c:idx val="6"/>
          <c:order val="6"/>
          <c:tx>
            <c:v>en recov per cap</c:v>
          </c:tx>
          <c:spPr>
            <a:ln>
              <a:noFill/>
            </a:ln>
          </c:spPr>
          <c:marker>
            <c:symbol val="none"/>
          </c:marker>
          <c:val>
            <c:numRef>
              <c:f>(NT.!$K$72,NT.!$M$72)</c:f>
              <c:numCache>
                <c:formatCode>#,##0</c:formatCode>
                <c:ptCount val="2"/>
                <c:pt idx="0">
                  <c:v>57.748245299293544</c:v>
                </c:pt>
                <c:pt idx="1">
                  <c:v>57.748245299292314</c:v>
                </c:pt>
              </c:numCache>
            </c:numRef>
          </c:val>
          <c:smooth val="0"/>
          <c:extLst>
            <c:ext xmlns:c16="http://schemas.microsoft.com/office/drawing/2014/chart" uri="{C3380CC4-5D6E-409C-BE32-E72D297353CC}">
              <c16:uniqueId val="{00000007-CCCF-44E6-8EE9-F89877BAA5F8}"/>
            </c:ext>
          </c:extLst>
        </c:ser>
        <c:dLbls>
          <c:showLegendKey val="0"/>
          <c:showVal val="0"/>
          <c:showCatName val="0"/>
          <c:showSerName val="0"/>
          <c:showPercent val="0"/>
          <c:showBubbleSize val="0"/>
        </c:dLbls>
        <c:marker val="1"/>
        <c:smooth val="0"/>
        <c:axId val="219687936"/>
        <c:axId val="219686016"/>
      </c:lineChart>
      <c:catAx>
        <c:axId val="219543040"/>
        <c:scaling>
          <c:orientation val="minMax"/>
        </c:scaling>
        <c:delete val="0"/>
        <c:axPos val="b"/>
        <c:numFmt formatCode="General" sourceLinked="0"/>
        <c:majorTickMark val="none"/>
        <c:minorTickMark val="none"/>
        <c:tickLblPos val="nextTo"/>
        <c:spPr>
          <a:ln w="2540"/>
        </c:spPr>
        <c:crossAx val="219544576"/>
        <c:crosses val="autoZero"/>
        <c:auto val="1"/>
        <c:lblAlgn val="ctr"/>
        <c:lblOffset val="50"/>
        <c:noMultiLvlLbl val="0"/>
      </c:catAx>
      <c:valAx>
        <c:axId val="219544576"/>
        <c:scaling>
          <c:orientation val="minMax"/>
          <c:max val="600"/>
        </c:scaling>
        <c:delete val="0"/>
        <c:axPos val="l"/>
        <c:majorGridlines>
          <c:spPr>
            <a:ln w="2540"/>
          </c:spPr>
        </c:majorGridlines>
        <c:title>
          <c:tx>
            <c:rich>
              <a:bodyPr/>
              <a:lstStyle/>
              <a:p>
                <a:pPr>
                  <a:defRPr/>
                </a:pPr>
                <a:r>
                  <a:rPr lang="en-US"/>
                  <a:t>Megatonnes</a:t>
                </a:r>
              </a:p>
            </c:rich>
          </c:tx>
          <c:layout>
            <c:manualLayout>
              <c:xMode val="edge"/>
              <c:yMode val="edge"/>
              <c:x val="0.14021289537712894"/>
              <c:y val="0.21867309941520469"/>
            </c:manualLayout>
          </c:layout>
          <c:overlay val="0"/>
        </c:title>
        <c:numFmt formatCode="#,##0.0" sourceLinked="0"/>
        <c:majorTickMark val="out"/>
        <c:minorTickMark val="none"/>
        <c:tickLblPos val="nextTo"/>
        <c:spPr>
          <a:ln>
            <a:noFill/>
          </a:ln>
        </c:spPr>
        <c:crossAx val="219543040"/>
        <c:crosses val="autoZero"/>
        <c:crossBetween val="between"/>
        <c:dispUnits>
          <c:builtInUnit val="thousands"/>
        </c:dispUnits>
      </c:valAx>
      <c:valAx>
        <c:axId val="219686016"/>
        <c:scaling>
          <c:orientation val="minMax"/>
          <c:min val="0"/>
        </c:scaling>
        <c:delete val="0"/>
        <c:axPos val="r"/>
        <c:title>
          <c:tx>
            <c:rich>
              <a:bodyPr/>
              <a:lstStyle/>
              <a:p>
                <a:pPr>
                  <a:defRPr/>
                </a:pPr>
                <a:r>
                  <a:rPr lang="en-US"/>
                  <a:t>Kg per capita</a:t>
                </a:r>
              </a:p>
            </c:rich>
          </c:tx>
          <c:layout>
            <c:manualLayout>
              <c:xMode val="edge"/>
              <c:yMode val="edge"/>
              <c:x val="0.92793187347931871"/>
              <c:y val="0.21544853801169592"/>
            </c:manualLayout>
          </c:layout>
          <c:overlay val="0"/>
        </c:title>
        <c:numFmt formatCode="#,##0" sourceLinked="0"/>
        <c:majorTickMark val="out"/>
        <c:minorTickMark val="none"/>
        <c:tickLblPos val="nextTo"/>
        <c:spPr>
          <a:ln>
            <a:noFill/>
          </a:ln>
        </c:spPr>
        <c:crossAx val="219687936"/>
        <c:crosses val="max"/>
        <c:crossBetween val="between"/>
        <c:majorUnit val="410"/>
      </c:valAx>
      <c:catAx>
        <c:axId val="219687936"/>
        <c:scaling>
          <c:orientation val="minMax"/>
        </c:scaling>
        <c:delete val="1"/>
        <c:axPos val="b"/>
        <c:majorTickMark val="out"/>
        <c:minorTickMark val="none"/>
        <c:tickLblPos val="nextTo"/>
        <c:crossAx val="219686016"/>
        <c:crosses val="autoZero"/>
        <c:auto val="1"/>
        <c:lblAlgn val="ctr"/>
        <c:lblOffset val="100"/>
        <c:noMultiLvlLbl val="0"/>
      </c:catAx>
    </c:plotArea>
    <c:legend>
      <c:legendPos val="t"/>
      <c:legendEntry>
        <c:idx val="3"/>
        <c:delete val="1"/>
      </c:legendEntry>
      <c:legendEntry>
        <c:idx val="4"/>
        <c:delete val="1"/>
      </c:legendEntry>
      <c:legendEntry>
        <c:idx val="5"/>
        <c:delete val="1"/>
      </c:legendEntry>
      <c:legendEntry>
        <c:idx val="6"/>
        <c:delete val="1"/>
      </c:legendEntry>
      <c:layout>
        <c:manualLayout>
          <c:xMode val="edge"/>
          <c:yMode val="edge"/>
          <c:x val="0.30164706677480402"/>
          <c:y val="2.035029239766082E-2"/>
          <c:w val="0.50702679538284368"/>
          <c:h val="6.0088620727098134E-2"/>
        </c:manualLayout>
      </c:layout>
      <c:overlay val="1"/>
    </c:legend>
    <c:plotVisOnly val="1"/>
    <c:dispBlanksAs val="gap"/>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06837529896368"/>
          <c:y val="0.1583221800304383"/>
          <c:w val="0.7231087309899521"/>
          <c:h val="0.10514317465139436"/>
        </c:manualLayout>
      </c:layout>
      <c:barChart>
        <c:barDir val="col"/>
        <c:grouping val="stacked"/>
        <c:varyColors val="0"/>
        <c:ser>
          <c:idx val="0"/>
          <c:order val="0"/>
          <c:tx>
            <c:strRef>
              <c:f>NT.!$C$70</c:f>
              <c:strCache>
                <c:ptCount val="1"/>
                <c:pt idx="0">
                  <c:v>Disposal</c:v>
                </c:pt>
              </c:strCache>
            </c:strRef>
          </c:tx>
          <c:spPr>
            <a:noFill/>
          </c:spPr>
          <c:invertIfNegative val="0"/>
          <c:cat>
            <c:strRef>
              <c:f>NT.!$N$76:$Q$76</c:f>
              <c:strCache>
                <c:ptCount val="4"/>
                <c:pt idx="0">
                  <c:v>Megatonnes</c:v>
                </c:pt>
                <c:pt idx="1">
                  <c:v>Kg per capita</c:v>
                </c:pt>
                <c:pt idx="2">
                  <c:v>Megatonnes</c:v>
                </c:pt>
                <c:pt idx="3">
                  <c:v>Kg per capita</c:v>
                </c:pt>
              </c:strCache>
            </c:strRef>
          </c:cat>
          <c:val>
            <c:numRef>
              <c:f>(NT.!$O$70,NT.!$K$70,NT.!$Q$70,NT.!$M$70)</c:f>
              <c:numCache>
                <c:formatCode>#,##0</c:formatCode>
                <c:ptCount val="4"/>
                <c:pt idx="0" formatCode="0.00">
                  <c:v>0.36759793527423562</c:v>
                </c:pt>
                <c:pt idx="1">
                  <c:v>1511.5606057552936</c:v>
                </c:pt>
                <c:pt idx="2" formatCode="0.00">
                  <c:v>0.35096992328426668</c:v>
                </c:pt>
                <c:pt idx="3">
                  <c:v>1443.1863156295533</c:v>
                </c:pt>
              </c:numCache>
            </c:numRef>
          </c:val>
          <c:extLst>
            <c:ext xmlns:c16="http://schemas.microsoft.com/office/drawing/2014/chart" uri="{C3380CC4-5D6E-409C-BE32-E72D297353CC}">
              <c16:uniqueId val="{00000000-70D3-4787-805A-68BE21DB9DAF}"/>
            </c:ext>
          </c:extLst>
        </c:ser>
        <c:ser>
          <c:idx val="1"/>
          <c:order val="1"/>
          <c:tx>
            <c:strRef>
              <c:f>NT.!$C$71</c:f>
              <c:strCache>
                <c:ptCount val="1"/>
                <c:pt idx="0">
                  <c:v>Recycling</c:v>
                </c:pt>
              </c:strCache>
            </c:strRef>
          </c:tx>
          <c:spPr>
            <a:noFill/>
          </c:spPr>
          <c:invertIfNegative val="0"/>
          <c:cat>
            <c:strRef>
              <c:f>NT.!$N$76:$Q$76</c:f>
              <c:strCache>
                <c:ptCount val="4"/>
                <c:pt idx="0">
                  <c:v>Megatonnes</c:v>
                </c:pt>
                <c:pt idx="1">
                  <c:v>Kg per capita</c:v>
                </c:pt>
                <c:pt idx="2">
                  <c:v>Megatonnes</c:v>
                </c:pt>
                <c:pt idx="3">
                  <c:v>Kg per capita</c:v>
                </c:pt>
              </c:strCache>
            </c:strRef>
          </c:cat>
          <c:val>
            <c:numRef>
              <c:f>(NT.!$O$71,NT.!$K$71,NT.!$Q$71,NT.!$M$71)</c:f>
              <c:numCache>
                <c:formatCode>#,##0</c:formatCode>
                <c:ptCount val="4"/>
                <c:pt idx="0" formatCode="0.00">
                  <c:v>0.1288763836096127</c:v>
                </c:pt>
                <c:pt idx="1">
                  <c:v>529.93895172770658</c:v>
                </c:pt>
                <c:pt idx="2" formatCode="0.00">
                  <c:v>0.104039771</c:v>
                </c:pt>
                <c:pt idx="3">
                  <c:v>427.81094283916758</c:v>
                </c:pt>
              </c:numCache>
            </c:numRef>
          </c:val>
          <c:extLst>
            <c:ext xmlns:c16="http://schemas.microsoft.com/office/drawing/2014/chart" uri="{C3380CC4-5D6E-409C-BE32-E72D297353CC}">
              <c16:uniqueId val="{00000001-70D3-4787-805A-68BE21DB9DAF}"/>
            </c:ext>
          </c:extLst>
        </c:ser>
        <c:ser>
          <c:idx val="2"/>
          <c:order val="2"/>
          <c:tx>
            <c:strRef>
              <c:f>NT.!$C$72</c:f>
              <c:strCache>
                <c:ptCount val="1"/>
                <c:pt idx="0">
                  <c:v>Energy recovery</c:v>
                </c:pt>
              </c:strCache>
            </c:strRef>
          </c:tx>
          <c:spPr>
            <a:noFill/>
          </c:spPr>
          <c:invertIfNegative val="0"/>
          <c:cat>
            <c:strRef>
              <c:f>NT.!$N$76:$Q$76</c:f>
              <c:strCache>
                <c:ptCount val="4"/>
                <c:pt idx="0">
                  <c:v>Megatonnes</c:v>
                </c:pt>
                <c:pt idx="1">
                  <c:v>Kg per capita</c:v>
                </c:pt>
                <c:pt idx="2">
                  <c:v>Megatonnes</c:v>
                </c:pt>
                <c:pt idx="3">
                  <c:v>Kg per capita</c:v>
                </c:pt>
              </c:strCache>
            </c:strRef>
          </c:cat>
          <c:val>
            <c:numRef>
              <c:f>(NT.!$O$72,NT.!$K$72,NT.!$Q$72,NT.!$M$72)</c:f>
              <c:numCache>
                <c:formatCode>#,##0</c:formatCode>
                <c:ptCount val="4"/>
                <c:pt idx="0" formatCode="0.00">
                  <c:v>1.4043853522580496E-2</c:v>
                </c:pt>
                <c:pt idx="1">
                  <c:v>57.748245299293544</c:v>
                </c:pt>
                <c:pt idx="2" formatCode="0.00">
                  <c:v>1.4043853522580196E-2</c:v>
                </c:pt>
                <c:pt idx="3">
                  <c:v>57.748245299292314</c:v>
                </c:pt>
              </c:numCache>
            </c:numRef>
          </c:val>
          <c:extLst>
            <c:ext xmlns:c16="http://schemas.microsoft.com/office/drawing/2014/chart" uri="{C3380CC4-5D6E-409C-BE32-E72D297353CC}">
              <c16:uniqueId val="{00000002-70D3-4787-805A-68BE21DB9DAF}"/>
            </c:ext>
          </c:extLst>
        </c:ser>
        <c:ser>
          <c:idx val="4"/>
          <c:order val="3"/>
          <c:tx>
            <c:strRef>
              <c:f>NT.!$C$74</c:f>
              <c:strCache>
                <c:ptCount val="1"/>
                <c:pt idx="0">
                  <c:v>Generation</c:v>
                </c:pt>
              </c:strCache>
            </c:strRef>
          </c:tx>
          <c:spPr>
            <a:noFill/>
            <a:ln>
              <a:noFill/>
            </a:ln>
          </c:spPr>
          <c:invertIfNegative val="0"/>
          <c:cat>
            <c:strRef>
              <c:f>NT.!$N$76:$Q$76</c:f>
              <c:strCache>
                <c:ptCount val="4"/>
                <c:pt idx="0">
                  <c:v>Megatonnes</c:v>
                </c:pt>
                <c:pt idx="1">
                  <c:v>Kg per capita</c:v>
                </c:pt>
                <c:pt idx="2">
                  <c:v>Megatonnes</c:v>
                </c:pt>
                <c:pt idx="3">
                  <c:v>Kg per capita</c:v>
                </c:pt>
              </c:strCache>
            </c:strRef>
          </c:cat>
          <c:val>
            <c:numRef>
              <c:f>(NT.!$O$74,NT.!$K$74,NT.!$Q$74,NT.!$M$74)</c:f>
              <c:numCache>
                <c:formatCode>#,##0</c:formatCode>
                <c:ptCount val="4"/>
                <c:pt idx="0" formatCode="0.00">
                  <c:v>0.51051817240642883</c:v>
                </c:pt>
                <c:pt idx="1">
                  <c:v>2099.2478027822935</c:v>
                </c:pt>
                <c:pt idx="2" formatCode="0.00">
                  <c:v>0.46905354780684683</c:v>
                </c:pt>
                <c:pt idx="3">
                  <c:v>1928.7455037680134</c:v>
                </c:pt>
              </c:numCache>
            </c:numRef>
          </c:val>
          <c:extLst>
            <c:ext xmlns:c16="http://schemas.microsoft.com/office/drawing/2014/chart" uri="{C3380CC4-5D6E-409C-BE32-E72D297353CC}">
              <c16:uniqueId val="{00000003-70D3-4787-805A-68BE21DB9DAF}"/>
            </c:ext>
          </c:extLst>
        </c:ser>
        <c:dLbls>
          <c:showLegendKey val="0"/>
          <c:showVal val="0"/>
          <c:showCatName val="0"/>
          <c:showSerName val="0"/>
          <c:showPercent val="0"/>
          <c:showBubbleSize val="0"/>
        </c:dLbls>
        <c:gapWidth val="150"/>
        <c:overlap val="100"/>
        <c:axId val="219727360"/>
        <c:axId val="219728896"/>
      </c:barChart>
      <c:catAx>
        <c:axId val="219727360"/>
        <c:scaling>
          <c:orientation val="minMax"/>
        </c:scaling>
        <c:delete val="1"/>
        <c:axPos val="b"/>
        <c:numFmt formatCode="General" sourceLinked="0"/>
        <c:majorTickMark val="none"/>
        <c:minorTickMark val="none"/>
        <c:tickLblPos val="nextTo"/>
        <c:crossAx val="219728896"/>
        <c:crosses val="autoZero"/>
        <c:auto val="1"/>
        <c:lblAlgn val="ctr"/>
        <c:lblOffset val="100"/>
        <c:noMultiLvlLbl val="0"/>
      </c:catAx>
      <c:valAx>
        <c:axId val="219728896"/>
        <c:scaling>
          <c:orientation val="minMax"/>
        </c:scaling>
        <c:delete val="1"/>
        <c:axPos val="l"/>
        <c:numFmt formatCode="#,##0" sourceLinked="0"/>
        <c:majorTickMark val="out"/>
        <c:minorTickMark val="none"/>
        <c:tickLblPos val="nextTo"/>
        <c:crossAx val="219727360"/>
        <c:crosses val="autoZero"/>
        <c:crossBetween val="between"/>
      </c:valAx>
      <c:dTable>
        <c:showHorzBorder val="1"/>
        <c:showVertBorder val="1"/>
        <c:showOutline val="1"/>
        <c:showKeys val="0"/>
        <c:spPr>
          <a:ln w="2540"/>
        </c:spPr>
        <c:txPr>
          <a:bodyPr/>
          <a:lstStyle/>
          <a:p>
            <a:pPr rtl="0">
              <a:defRPr sz="900"/>
            </a:pPr>
            <a:endParaRPr lang="en-US"/>
          </a:p>
        </c:txPr>
      </c:dTable>
      <c:spPr>
        <a:noFill/>
        <a:ln>
          <a:noFill/>
        </a:ln>
      </c:spPr>
    </c:plotArea>
    <c:plotVisOnly val="1"/>
    <c:dispBlanksAs val="gap"/>
    <c:showDLblsOverMax val="0"/>
  </c:chart>
  <c:spPr>
    <a:noFill/>
    <a:ln>
      <a:noFill/>
    </a:ln>
  </c:spPr>
  <c:printSettings>
    <c:headerFooter/>
    <c:pageMargins b="0.75000000000000799" l="0.70000000000000062" r="0.70000000000000062" t="0.75000000000000799"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9785077047851"/>
          <c:y val="0.10985614035087721"/>
          <c:w val="0.62359730639730637"/>
          <c:h val="0.48483538011695909"/>
        </c:manualLayout>
      </c:layout>
      <c:barChart>
        <c:barDir val="col"/>
        <c:grouping val="stacked"/>
        <c:varyColors val="0"/>
        <c:ser>
          <c:idx val="0"/>
          <c:order val="0"/>
          <c:tx>
            <c:strRef>
              <c:f>Qld.!$C$70</c:f>
              <c:strCache>
                <c:ptCount val="1"/>
                <c:pt idx="0">
                  <c:v>Disposal</c:v>
                </c:pt>
              </c:strCache>
            </c:strRef>
          </c:tx>
          <c:spPr>
            <a:solidFill>
              <a:schemeClr val="accent3">
                <a:lumMod val="50000"/>
              </a:schemeClr>
            </a:solidFill>
          </c:spPr>
          <c:invertIfNegative val="0"/>
          <c:cat>
            <c:strRef>
              <c:f>Qld.!$D$67:$G$67</c:f>
              <c:strCache>
                <c:ptCount val="4"/>
                <c:pt idx="0">
                  <c:v>MSW</c:v>
                </c:pt>
                <c:pt idx="1">
                  <c:v>C&amp;I</c:v>
                </c:pt>
                <c:pt idx="2">
                  <c:v>C&amp;I excl. fly ash</c:v>
                </c:pt>
                <c:pt idx="3">
                  <c:v>C&amp;D</c:v>
                </c:pt>
              </c:strCache>
            </c:strRef>
          </c:cat>
          <c:val>
            <c:numRef>
              <c:f>Qld.!$D$70:$G$70</c:f>
              <c:numCache>
                <c:formatCode>#,##0</c:formatCode>
                <c:ptCount val="4"/>
                <c:pt idx="0">
                  <c:v>1622.3648134456564</c:v>
                </c:pt>
                <c:pt idx="1">
                  <c:v>6309.6868665585007</c:v>
                </c:pt>
                <c:pt idx="2">
                  <c:v>1977.6678665585005</c:v>
                </c:pt>
                <c:pt idx="3">
                  <c:v>1865.8197123721604</c:v>
                </c:pt>
              </c:numCache>
            </c:numRef>
          </c:val>
          <c:extLst>
            <c:ext xmlns:c16="http://schemas.microsoft.com/office/drawing/2014/chart" uri="{C3380CC4-5D6E-409C-BE32-E72D297353CC}">
              <c16:uniqueId val="{00000000-D18E-4926-AE77-4A6BE515AE82}"/>
            </c:ext>
          </c:extLst>
        </c:ser>
        <c:ser>
          <c:idx val="1"/>
          <c:order val="1"/>
          <c:tx>
            <c:strRef>
              <c:f>Qld.!$C$71</c:f>
              <c:strCache>
                <c:ptCount val="1"/>
                <c:pt idx="0">
                  <c:v>Recycling</c:v>
                </c:pt>
              </c:strCache>
            </c:strRef>
          </c:tx>
          <c:spPr>
            <a:solidFill>
              <a:srgbClr val="FFFF00"/>
            </a:solidFill>
          </c:spPr>
          <c:invertIfNegative val="0"/>
          <c:cat>
            <c:strRef>
              <c:f>Qld.!$D$67:$G$67</c:f>
              <c:strCache>
                <c:ptCount val="4"/>
                <c:pt idx="0">
                  <c:v>MSW</c:v>
                </c:pt>
                <c:pt idx="1">
                  <c:v>C&amp;I</c:v>
                </c:pt>
                <c:pt idx="2">
                  <c:v>C&amp;I excl. fly ash</c:v>
                </c:pt>
                <c:pt idx="3">
                  <c:v>C&amp;D</c:v>
                </c:pt>
              </c:strCache>
            </c:strRef>
          </c:cat>
          <c:val>
            <c:numRef>
              <c:f>Qld.!$D$71:$G$71</c:f>
              <c:numCache>
                <c:formatCode>#,##0</c:formatCode>
                <c:ptCount val="4"/>
                <c:pt idx="0">
                  <c:v>749.60978106284165</c:v>
                </c:pt>
                <c:pt idx="1">
                  <c:v>3169.2781339922763</c:v>
                </c:pt>
                <c:pt idx="2">
                  <c:v>2285.656133992276</c:v>
                </c:pt>
                <c:pt idx="3">
                  <c:v>1606.132426156151</c:v>
                </c:pt>
              </c:numCache>
            </c:numRef>
          </c:val>
          <c:extLst>
            <c:ext xmlns:c16="http://schemas.microsoft.com/office/drawing/2014/chart" uri="{C3380CC4-5D6E-409C-BE32-E72D297353CC}">
              <c16:uniqueId val="{00000001-D18E-4926-AE77-4A6BE515AE82}"/>
            </c:ext>
          </c:extLst>
        </c:ser>
        <c:ser>
          <c:idx val="2"/>
          <c:order val="2"/>
          <c:tx>
            <c:strRef>
              <c:f>Qld.!$C$72</c:f>
              <c:strCache>
                <c:ptCount val="1"/>
                <c:pt idx="0">
                  <c:v>Energy recovery</c:v>
                </c:pt>
              </c:strCache>
            </c:strRef>
          </c:tx>
          <c:spPr>
            <a:solidFill>
              <a:schemeClr val="accent6">
                <a:lumMod val="75000"/>
              </a:schemeClr>
            </a:solidFill>
          </c:spPr>
          <c:invertIfNegative val="0"/>
          <c:cat>
            <c:strRef>
              <c:f>Qld.!$D$67:$G$67</c:f>
              <c:strCache>
                <c:ptCount val="4"/>
                <c:pt idx="0">
                  <c:v>MSW</c:v>
                </c:pt>
                <c:pt idx="1">
                  <c:v>C&amp;I</c:v>
                </c:pt>
                <c:pt idx="2">
                  <c:v>C&amp;I excl. fly ash</c:v>
                </c:pt>
                <c:pt idx="3">
                  <c:v>C&amp;D</c:v>
                </c:pt>
              </c:strCache>
            </c:strRef>
          </c:cat>
          <c:val>
            <c:numRef>
              <c:f>Qld.!$D$72:$G$72</c:f>
              <c:numCache>
                <c:formatCode>#,##0</c:formatCode>
                <c:ptCount val="4"/>
                <c:pt idx="0">
                  <c:v>246.55708655434373</c:v>
                </c:pt>
                <c:pt idx="1">
                  <c:v>133.20616346764379</c:v>
                </c:pt>
                <c:pt idx="2">
                  <c:v>133.20616346764379</c:v>
                </c:pt>
                <c:pt idx="3">
                  <c:v>10.096274728666907</c:v>
                </c:pt>
              </c:numCache>
            </c:numRef>
          </c:val>
          <c:extLst>
            <c:ext xmlns:c16="http://schemas.microsoft.com/office/drawing/2014/chart" uri="{C3380CC4-5D6E-409C-BE32-E72D297353CC}">
              <c16:uniqueId val="{00000002-D18E-4926-AE77-4A6BE515AE82}"/>
            </c:ext>
          </c:extLst>
        </c:ser>
        <c:ser>
          <c:idx val="3"/>
          <c:order val="3"/>
          <c:tx>
            <c:strRef>
              <c:f>Qld.!$C$73</c:f>
              <c:strCache>
                <c:ptCount val="1"/>
                <c:pt idx="0">
                  <c:v>Recovery rate</c:v>
                </c:pt>
              </c:strCache>
            </c:strRef>
          </c:tx>
          <c:spPr>
            <a:noFill/>
            <a:ln>
              <a:noFill/>
            </a:ln>
          </c:spPr>
          <c:invertIfNegative val="0"/>
          <c:dLbls>
            <c:dLbl>
              <c:idx val="0"/>
              <c:layout>
                <c:manualLayout>
                  <c:x val="0"/>
                  <c:y val="-2.82239766081871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0D-456B-8A57-03BDCEBF31B5}"/>
                </c:ext>
              </c:extLst>
            </c:dLbl>
            <c:dLbl>
              <c:idx val="1"/>
              <c:layout>
                <c:manualLayout>
                  <c:x val="-7.8680266171218451E-17"/>
                  <c:y val="-3.19292397660818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8E-4926-AE77-4A6BE515AE82}"/>
                </c:ext>
              </c:extLst>
            </c:dLbl>
            <c:dLbl>
              <c:idx val="2"/>
              <c:layout>
                <c:manualLayout>
                  <c:x val="0"/>
                  <c:y val="-2.45070175438597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0D-456B-8A57-03BDCEBF31B5}"/>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Qld.!$D$67:$G$67</c:f>
              <c:strCache>
                <c:ptCount val="4"/>
                <c:pt idx="0">
                  <c:v>MSW</c:v>
                </c:pt>
                <c:pt idx="1">
                  <c:v>C&amp;I</c:v>
                </c:pt>
                <c:pt idx="2">
                  <c:v>C&amp;I excl. fly ash</c:v>
                </c:pt>
                <c:pt idx="3">
                  <c:v>C&amp;D</c:v>
                </c:pt>
              </c:strCache>
            </c:strRef>
          </c:cat>
          <c:val>
            <c:numRef>
              <c:f>Qld.!$D$73:$G$73</c:f>
              <c:numCache>
                <c:formatCode>0%</c:formatCode>
                <c:ptCount val="4"/>
                <c:pt idx="0">
                  <c:v>0.38042956471424055</c:v>
                </c:pt>
                <c:pt idx="1">
                  <c:v>0.34357318873203446</c:v>
                </c:pt>
                <c:pt idx="2">
                  <c:v>0.55017529897920325</c:v>
                </c:pt>
                <c:pt idx="3">
                  <c:v>0.46416031860196277</c:v>
                </c:pt>
              </c:numCache>
            </c:numRef>
          </c:val>
          <c:extLst>
            <c:ext xmlns:c16="http://schemas.microsoft.com/office/drawing/2014/chart" uri="{C3380CC4-5D6E-409C-BE32-E72D297353CC}">
              <c16:uniqueId val="{00000004-D18E-4926-AE77-4A6BE515AE82}"/>
            </c:ext>
          </c:extLst>
        </c:ser>
        <c:dLbls>
          <c:showLegendKey val="0"/>
          <c:showVal val="0"/>
          <c:showCatName val="0"/>
          <c:showSerName val="0"/>
          <c:showPercent val="0"/>
          <c:showBubbleSize val="0"/>
        </c:dLbls>
        <c:gapWidth val="150"/>
        <c:overlap val="100"/>
        <c:axId val="219379584"/>
        <c:axId val="219381120"/>
      </c:barChart>
      <c:lineChart>
        <c:grouping val="standard"/>
        <c:varyColors val="0"/>
        <c:ser>
          <c:idx val="4"/>
          <c:order val="4"/>
          <c:tx>
            <c:strRef>
              <c:f>Qld.!$C$75</c:f>
              <c:strCache>
                <c:ptCount val="1"/>
                <c:pt idx="0">
                  <c:v>Generation (kg per capita)</c:v>
                </c:pt>
              </c:strCache>
            </c:strRef>
          </c:tx>
          <c:spPr>
            <a:ln>
              <a:noFill/>
            </a:ln>
          </c:spPr>
          <c:marker>
            <c:symbol val="none"/>
          </c:marker>
          <c:val>
            <c:numRef>
              <c:f>Qld.!$D$75:$G$75</c:f>
              <c:numCache>
                <c:formatCode>#,##0</c:formatCode>
                <c:ptCount val="4"/>
                <c:pt idx="0">
                  <c:v>551.37929089140039</c:v>
                </c:pt>
                <c:pt idx="1">
                  <c:v>2024.0168024975108</c:v>
                </c:pt>
                <c:pt idx="2">
                  <c:v>925.76908721424479</c:v>
                </c:pt>
                <c:pt idx="3">
                  <c:v>733.20838500295497</c:v>
                </c:pt>
              </c:numCache>
            </c:numRef>
          </c:val>
          <c:smooth val="0"/>
          <c:extLst>
            <c:ext xmlns:c16="http://schemas.microsoft.com/office/drawing/2014/chart" uri="{C3380CC4-5D6E-409C-BE32-E72D297353CC}">
              <c16:uniqueId val="{00000005-D18E-4926-AE77-4A6BE515AE82}"/>
            </c:ext>
          </c:extLst>
        </c:ser>
        <c:dLbls>
          <c:showLegendKey val="0"/>
          <c:showVal val="0"/>
          <c:showCatName val="0"/>
          <c:showSerName val="0"/>
          <c:showPercent val="0"/>
          <c:showBubbleSize val="0"/>
        </c:dLbls>
        <c:marker val="1"/>
        <c:smooth val="0"/>
        <c:axId val="997660824"/>
        <c:axId val="997657872"/>
      </c:lineChart>
      <c:catAx>
        <c:axId val="21937958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381120"/>
        <c:crosses val="autoZero"/>
        <c:auto val="1"/>
        <c:lblAlgn val="ctr"/>
        <c:lblOffset val="100"/>
        <c:noMultiLvlLbl val="0"/>
      </c:catAx>
      <c:valAx>
        <c:axId val="219381120"/>
        <c:scaling>
          <c:orientation val="minMax"/>
          <c:min val="0"/>
        </c:scaling>
        <c:delete val="0"/>
        <c:axPos val="l"/>
        <c:majorGridlines>
          <c:spPr>
            <a:ln w="2540"/>
          </c:spPr>
        </c:majorGridlines>
        <c:title>
          <c:tx>
            <c:rich>
              <a:bodyPr/>
              <a:lstStyle/>
              <a:p>
                <a:pPr>
                  <a:defRPr/>
                </a:pPr>
                <a:r>
                  <a:rPr lang="en-AU"/>
                  <a:t>Kilotonnes</a:t>
                </a:r>
                <a:r>
                  <a:rPr lang="en-AU" baseline="0"/>
                  <a:t> (kt)</a:t>
                </a:r>
                <a:endParaRPr lang="en-AU"/>
              </a:p>
            </c:rich>
          </c:tx>
          <c:layout>
            <c:manualLayout>
              <c:xMode val="edge"/>
              <c:yMode val="edge"/>
              <c:x val="0.14954717491213843"/>
              <c:y val="0.18311695906432748"/>
            </c:manualLayout>
          </c:layout>
          <c:overlay val="0"/>
        </c:title>
        <c:numFmt formatCode="#,##0" sourceLinked="0"/>
        <c:majorTickMark val="out"/>
        <c:minorTickMark val="none"/>
        <c:tickLblPos val="nextTo"/>
        <c:spPr>
          <a:ln>
            <a:noFill/>
          </a:ln>
        </c:spPr>
        <c:crossAx val="219379584"/>
        <c:crosses val="autoZero"/>
        <c:crossBetween val="between"/>
      </c:valAx>
      <c:valAx>
        <c:axId val="997657872"/>
        <c:scaling>
          <c:orientation val="minMax"/>
        </c:scaling>
        <c:delete val="0"/>
        <c:axPos val="r"/>
        <c:title>
          <c:tx>
            <c:rich>
              <a:bodyPr/>
              <a:lstStyle/>
              <a:p>
                <a:pPr>
                  <a:defRPr/>
                </a:pPr>
                <a:r>
                  <a:rPr lang="en-AU" baseline="0"/>
                  <a:t>Kg per capita</a:t>
                </a:r>
                <a:endParaRPr lang="en-AU"/>
              </a:p>
            </c:rich>
          </c:tx>
          <c:layout>
            <c:manualLayout>
              <c:xMode val="edge"/>
              <c:yMode val="edge"/>
              <c:x val="0.96142504731008382"/>
              <c:y val="0.19997602339181286"/>
            </c:manualLayout>
          </c:layout>
          <c:overlay val="0"/>
        </c:title>
        <c:numFmt formatCode="#,##0;\-#,##0;;" sourceLinked="0"/>
        <c:majorTickMark val="out"/>
        <c:minorTickMark val="none"/>
        <c:tickLblPos val="nextTo"/>
        <c:spPr>
          <a:ln>
            <a:noFill/>
          </a:ln>
        </c:spPr>
        <c:crossAx val="997660824"/>
        <c:crosses val="max"/>
        <c:crossBetween val="between"/>
        <c:majorUnit val="421"/>
      </c:valAx>
      <c:catAx>
        <c:axId val="997660824"/>
        <c:scaling>
          <c:orientation val="minMax"/>
        </c:scaling>
        <c:delete val="1"/>
        <c:axPos val="b"/>
        <c:majorTickMark val="out"/>
        <c:minorTickMark val="none"/>
        <c:tickLblPos val="nextTo"/>
        <c:crossAx val="997657872"/>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5831457826439578"/>
          <c:y val="2.5067543859649117E-2"/>
          <c:w val="0.4386014801297648"/>
          <c:h val="6.7150000000000001E-2"/>
        </c:manualLayout>
      </c:layout>
      <c:overlay val="0"/>
    </c:legend>
    <c:plotVisOnly val="1"/>
    <c:dispBlanksAs val="gap"/>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10480614301798"/>
          <c:y val="0.1765306788114008"/>
          <c:w val="0.71807230014589774"/>
          <c:h val="0.10514317465139436"/>
        </c:manualLayout>
      </c:layout>
      <c:barChart>
        <c:barDir val="col"/>
        <c:grouping val="stacked"/>
        <c:varyColors val="0"/>
        <c:ser>
          <c:idx val="0"/>
          <c:order val="0"/>
          <c:tx>
            <c:strRef>
              <c:f>ACT.!$C$70</c:f>
              <c:strCache>
                <c:ptCount val="1"/>
                <c:pt idx="0">
                  <c:v>Disposal</c:v>
                </c:pt>
              </c:strCache>
            </c:strRef>
          </c:tx>
          <c:spPr>
            <a:noFill/>
          </c:spPr>
          <c:invertIfNegative val="0"/>
          <c:cat>
            <c:strRef>
              <c:f>ACT.!$N$76:$Q$76</c:f>
              <c:strCache>
                <c:ptCount val="4"/>
                <c:pt idx="0">
                  <c:v>Megatonnes</c:v>
                </c:pt>
                <c:pt idx="1">
                  <c:v>Kg per capita</c:v>
                </c:pt>
                <c:pt idx="2">
                  <c:v>Megatonnes</c:v>
                </c:pt>
                <c:pt idx="3">
                  <c:v>Kg per capita</c:v>
                </c:pt>
              </c:strCache>
            </c:strRef>
          </c:cat>
          <c:val>
            <c:numRef>
              <c:f>(ACT.!$O$70,ACT.!$K$70,ACT.!$Q$70,ACT.!$M$70)</c:f>
              <c:numCache>
                <c:formatCode>#,##0</c:formatCode>
                <c:ptCount val="4"/>
                <c:pt idx="0" formatCode="0.00">
                  <c:v>0.19052274053777465</c:v>
                </c:pt>
                <c:pt idx="1">
                  <c:v>491.36472328964794</c:v>
                </c:pt>
                <c:pt idx="2" formatCode="0.00">
                  <c:v>0.18117215529139336</c:v>
                </c:pt>
                <c:pt idx="3">
                  <c:v>467.24924122584946</c:v>
                </c:pt>
              </c:numCache>
            </c:numRef>
          </c:val>
          <c:extLst>
            <c:ext xmlns:c16="http://schemas.microsoft.com/office/drawing/2014/chart" uri="{C3380CC4-5D6E-409C-BE32-E72D297353CC}">
              <c16:uniqueId val="{00000000-1F19-4977-8658-3D9116C6F8CF}"/>
            </c:ext>
          </c:extLst>
        </c:ser>
        <c:ser>
          <c:idx val="1"/>
          <c:order val="1"/>
          <c:tx>
            <c:strRef>
              <c:f>ACT.!$C$71</c:f>
              <c:strCache>
                <c:ptCount val="1"/>
                <c:pt idx="0">
                  <c:v>Recycling</c:v>
                </c:pt>
              </c:strCache>
            </c:strRef>
          </c:tx>
          <c:spPr>
            <a:noFill/>
          </c:spPr>
          <c:invertIfNegative val="0"/>
          <c:cat>
            <c:strRef>
              <c:f>ACT.!$N$76:$Q$76</c:f>
              <c:strCache>
                <c:ptCount val="4"/>
                <c:pt idx="0">
                  <c:v>Megatonnes</c:v>
                </c:pt>
                <c:pt idx="1">
                  <c:v>Kg per capita</c:v>
                </c:pt>
                <c:pt idx="2">
                  <c:v>Megatonnes</c:v>
                </c:pt>
                <c:pt idx="3">
                  <c:v>Kg per capita</c:v>
                </c:pt>
              </c:strCache>
            </c:strRef>
          </c:cat>
          <c:val>
            <c:numRef>
              <c:f>(ACT.!$O$71,ACT.!$K$71,ACT.!$Q$71,ACT.!$M$71)</c:f>
              <c:numCache>
                <c:formatCode>#,##0</c:formatCode>
                <c:ptCount val="4"/>
                <c:pt idx="0" formatCode="0.00">
                  <c:v>0.54713059214797033</c:v>
                </c:pt>
                <c:pt idx="1">
                  <c:v>1411.0686800706922</c:v>
                </c:pt>
                <c:pt idx="2" formatCode="0.00">
                  <c:v>0.47689603803424707</c:v>
                </c:pt>
                <c:pt idx="3">
                  <c:v>1229.931341031529</c:v>
                </c:pt>
              </c:numCache>
            </c:numRef>
          </c:val>
          <c:extLst>
            <c:ext xmlns:c16="http://schemas.microsoft.com/office/drawing/2014/chart" uri="{C3380CC4-5D6E-409C-BE32-E72D297353CC}">
              <c16:uniqueId val="{00000001-1F19-4977-8658-3D9116C6F8CF}"/>
            </c:ext>
          </c:extLst>
        </c:ser>
        <c:ser>
          <c:idx val="2"/>
          <c:order val="2"/>
          <c:tx>
            <c:strRef>
              <c:f>ACT.!$C$72</c:f>
              <c:strCache>
                <c:ptCount val="1"/>
                <c:pt idx="0">
                  <c:v>Energy recovery</c:v>
                </c:pt>
              </c:strCache>
            </c:strRef>
          </c:tx>
          <c:spPr>
            <a:noFill/>
          </c:spPr>
          <c:invertIfNegative val="0"/>
          <c:cat>
            <c:strRef>
              <c:f>ACT.!$N$76:$Q$76</c:f>
              <c:strCache>
                <c:ptCount val="4"/>
                <c:pt idx="0">
                  <c:v>Megatonnes</c:v>
                </c:pt>
                <c:pt idx="1">
                  <c:v>Kg per capita</c:v>
                </c:pt>
                <c:pt idx="2">
                  <c:v>Megatonnes</c:v>
                </c:pt>
                <c:pt idx="3">
                  <c:v>Kg per capita</c:v>
                </c:pt>
              </c:strCache>
            </c:strRef>
          </c:cat>
          <c:val>
            <c:numRef>
              <c:f>(ACT.!$O$72,ACT.!$K$72,ACT.!$Q$72,ACT.!$M$72)</c:f>
              <c:numCache>
                <c:formatCode>#,##0</c:formatCode>
                <c:ptCount val="4"/>
                <c:pt idx="0" formatCode="0.00">
                  <c:v>3.7002985953945175E-2</c:v>
                </c:pt>
                <c:pt idx="1">
                  <c:v>95.431977845952161</c:v>
                </c:pt>
                <c:pt idx="2" formatCode="0.00">
                  <c:v>3.7002985953945057E-2</c:v>
                </c:pt>
                <c:pt idx="3">
                  <c:v>95.431977845951835</c:v>
                </c:pt>
              </c:numCache>
            </c:numRef>
          </c:val>
          <c:extLst>
            <c:ext xmlns:c16="http://schemas.microsoft.com/office/drawing/2014/chart" uri="{C3380CC4-5D6E-409C-BE32-E72D297353CC}">
              <c16:uniqueId val="{00000002-1F19-4977-8658-3D9116C6F8CF}"/>
            </c:ext>
          </c:extLst>
        </c:ser>
        <c:ser>
          <c:idx val="4"/>
          <c:order val="3"/>
          <c:tx>
            <c:strRef>
              <c:f>ACT.!$C$74</c:f>
              <c:strCache>
                <c:ptCount val="1"/>
                <c:pt idx="0">
                  <c:v>Generation</c:v>
                </c:pt>
              </c:strCache>
            </c:strRef>
          </c:tx>
          <c:spPr>
            <a:noFill/>
            <a:ln>
              <a:noFill/>
            </a:ln>
          </c:spPr>
          <c:invertIfNegative val="0"/>
          <c:cat>
            <c:strRef>
              <c:f>ACT.!$N$76:$Q$76</c:f>
              <c:strCache>
                <c:ptCount val="4"/>
                <c:pt idx="0">
                  <c:v>Megatonnes</c:v>
                </c:pt>
                <c:pt idx="1">
                  <c:v>Kg per capita</c:v>
                </c:pt>
                <c:pt idx="2">
                  <c:v>Megatonnes</c:v>
                </c:pt>
                <c:pt idx="3">
                  <c:v>Kg per capita</c:v>
                </c:pt>
              </c:strCache>
            </c:strRef>
          </c:cat>
          <c:val>
            <c:numRef>
              <c:f>(ACT.!$O$74,ACT.!$K$74,ACT.!$Q$74,ACT.!$M$74)</c:f>
              <c:numCache>
                <c:formatCode>#,##0</c:formatCode>
                <c:ptCount val="4"/>
                <c:pt idx="0" formatCode="0.00">
                  <c:v>0.7746563186396902</c:v>
                </c:pt>
                <c:pt idx="1">
                  <c:v>1997.8653812062921</c:v>
                </c:pt>
                <c:pt idx="2" formatCode="0.00">
                  <c:v>0.6950711792795855</c:v>
                </c:pt>
                <c:pt idx="3">
                  <c:v>1792.6125601033302</c:v>
                </c:pt>
              </c:numCache>
            </c:numRef>
          </c:val>
          <c:extLst>
            <c:ext xmlns:c16="http://schemas.microsoft.com/office/drawing/2014/chart" uri="{C3380CC4-5D6E-409C-BE32-E72D297353CC}">
              <c16:uniqueId val="{00000001-D20E-407D-A3F3-EF25BC9C3B62}"/>
            </c:ext>
          </c:extLst>
        </c:ser>
        <c:dLbls>
          <c:showLegendKey val="0"/>
          <c:showVal val="0"/>
          <c:showCatName val="0"/>
          <c:showSerName val="0"/>
          <c:showPercent val="0"/>
          <c:showBubbleSize val="0"/>
        </c:dLbls>
        <c:gapWidth val="150"/>
        <c:overlap val="100"/>
        <c:axId val="219727360"/>
        <c:axId val="219728896"/>
      </c:barChart>
      <c:catAx>
        <c:axId val="219727360"/>
        <c:scaling>
          <c:orientation val="minMax"/>
        </c:scaling>
        <c:delete val="1"/>
        <c:axPos val="b"/>
        <c:numFmt formatCode="General" sourceLinked="0"/>
        <c:majorTickMark val="none"/>
        <c:minorTickMark val="none"/>
        <c:tickLblPos val="nextTo"/>
        <c:crossAx val="219728896"/>
        <c:crosses val="autoZero"/>
        <c:auto val="1"/>
        <c:lblAlgn val="ctr"/>
        <c:lblOffset val="100"/>
        <c:noMultiLvlLbl val="0"/>
      </c:catAx>
      <c:valAx>
        <c:axId val="219728896"/>
        <c:scaling>
          <c:orientation val="minMax"/>
        </c:scaling>
        <c:delete val="1"/>
        <c:axPos val="l"/>
        <c:numFmt formatCode="#,##0" sourceLinked="0"/>
        <c:majorTickMark val="out"/>
        <c:minorTickMark val="none"/>
        <c:tickLblPos val="nextTo"/>
        <c:crossAx val="219727360"/>
        <c:crosses val="autoZero"/>
        <c:crossBetween val="between"/>
      </c:valAx>
      <c:dTable>
        <c:showHorzBorder val="1"/>
        <c:showVertBorder val="1"/>
        <c:showOutline val="1"/>
        <c:showKeys val="0"/>
        <c:spPr>
          <a:ln w="2540"/>
        </c:spPr>
        <c:txPr>
          <a:bodyPr/>
          <a:lstStyle/>
          <a:p>
            <a:pPr rtl="0">
              <a:defRPr sz="900"/>
            </a:pPr>
            <a:endParaRPr lang="en-US"/>
          </a:p>
        </c:txPr>
      </c:dTable>
      <c:spPr>
        <a:noFill/>
        <a:ln>
          <a:noFill/>
        </a:ln>
      </c:spPr>
    </c:plotArea>
    <c:plotVisOnly val="1"/>
    <c:dispBlanksAs val="gap"/>
    <c:showDLblsOverMax val="0"/>
  </c:chart>
  <c:spPr>
    <a:noFill/>
    <a:ln>
      <a:noFill/>
    </a:ln>
  </c:spPr>
  <c:printSettings>
    <c:headerFooter/>
    <c:pageMargins b="0.75000000000000799" l="0.70000000000000062" r="0.70000000000000062" t="0.75000000000000799"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94266403745416"/>
          <c:y val="0.18821678623728794"/>
          <c:w val="0.71272974917535803"/>
          <c:h val="0.13428840426060865"/>
        </c:manualLayout>
      </c:layout>
      <c:barChart>
        <c:barDir val="col"/>
        <c:grouping val="stacked"/>
        <c:varyColors val="0"/>
        <c:ser>
          <c:idx val="0"/>
          <c:order val="0"/>
          <c:tx>
            <c:strRef>
              <c:f>Qld.!$N$75</c:f>
              <c:strCache>
                <c:ptCount val="1"/>
                <c:pt idx="0">
                  <c:v>Disposal (kt)</c:v>
                </c:pt>
              </c:strCache>
            </c:strRef>
          </c:tx>
          <c:spPr>
            <a:noFill/>
          </c:spPr>
          <c:invertIfNegative val="0"/>
          <c:cat>
            <c:strRef>
              <c:f>Qld.!$D$67:$G$67</c:f>
              <c:strCache>
                <c:ptCount val="4"/>
                <c:pt idx="0">
                  <c:v>MSW</c:v>
                </c:pt>
                <c:pt idx="1">
                  <c:v>C&amp;I</c:v>
                </c:pt>
                <c:pt idx="2">
                  <c:v>C&amp;I excl. fly ash</c:v>
                </c:pt>
                <c:pt idx="3">
                  <c:v>C&amp;D</c:v>
                </c:pt>
              </c:strCache>
            </c:strRef>
          </c:cat>
          <c:val>
            <c:numRef>
              <c:f>Qld.!$D$70:$G$70</c:f>
              <c:numCache>
                <c:formatCode>#,##0</c:formatCode>
                <c:ptCount val="4"/>
                <c:pt idx="0">
                  <c:v>1622.3648134456564</c:v>
                </c:pt>
                <c:pt idx="1">
                  <c:v>6309.6868665585007</c:v>
                </c:pt>
                <c:pt idx="2">
                  <c:v>1977.6678665585005</c:v>
                </c:pt>
                <c:pt idx="3">
                  <c:v>1865.8197123721604</c:v>
                </c:pt>
              </c:numCache>
            </c:numRef>
          </c:val>
          <c:extLst>
            <c:ext xmlns:c16="http://schemas.microsoft.com/office/drawing/2014/chart" uri="{C3380CC4-5D6E-409C-BE32-E72D297353CC}">
              <c16:uniqueId val="{00000000-8F10-45F0-BA30-0DC743083EFF}"/>
            </c:ext>
          </c:extLst>
        </c:ser>
        <c:ser>
          <c:idx val="1"/>
          <c:order val="1"/>
          <c:tx>
            <c:strRef>
              <c:f>Qld.!$O$75</c:f>
              <c:strCache>
                <c:ptCount val="1"/>
                <c:pt idx="0">
                  <c:v>Recycling (kt)</c:v>
                </c:pt>
              </c:strCache>
            </c:strRef>
          </c:tx>
          <c:spPr>
            <a:noFill/>
            <a:ln>
              <a:noFill/>
            </a:ln>
          </c:spPr>
          <c:invertIfNegative val="0"/>
          <c:cat>
            <c:strRef>
              <c:f>Qld.!$D$67:$G$67</c:f>
              <c:strCache>
                <c:ptCount val="4"/>
                <c:pt idx="0">
                  <c:v>MSW</c:v>
                </c:pt>
                <c:pt idx="1">
                  <c:v>C&amp;I</c:v>
                </c:pt>
                <c:pt idx="2">
                  <c:v>C&amp;I excl. fly ash</c:v>
                </c:pt>
                <c:pt idx="3">
                  <c:v>C&amp;D</c:v>
                </c:pt>
              </c:strCache>
            </c:strRef>
          </c:cat>
          <c:val>
            <c:numRef>
              <c:f>Qld.!$D$71:$G$71</c:f>
              <c:numCache>
                <c:formatCode>#,##0</c:formatCode>
                <c:ptCount val="4"/>
                <c:pt idx="0">
                  <c:v>749.60978106284165</c:v>
                </c:pt>
                <c:pt idx="1">
                  <c:v>3169.2781339922763</c:v>
                </c:pt>
                <c:pt idx="2">
                  <c:v>2285.656133992276</c:v>
                </c:pt>
                <c:pt idx="3">
                  <c:v>1606.132426156151</c:v>
                </c:pt>
              </c:numCache>
            </c:numRef>
          </c:val>
          <c:extLst>
            <c:ext xmlns:c16="http://schemas.microsoft.com/office/drawing/2014/chart" uri="{C3380CC4-5D6E-409C-BE32-E72D297353CC}">
              <c16:uniqueId val="{00000001-8F10-45F0-BA30-0DC743083EFF}"/>
            </c:ext>
          </c:extLst>
        </c:ser>
        <c:ser>
          <c:idx val="2"/>
          <c:order val="2"/>
          <c:tx>
            <c:strRef>
              <c:f>Qld.!$P$75</c:f>
              <c:strCache>
                <c:ptCount val="1"/>
                <c:pt idx="0">
                  <c:v>En recovery (kt)</c:v>
                </c:pt>
              </c:strCache>
            </c:strRef>
          </c:tx>
          <c:spPr>
            <a:noFill/>
          </c:spPr>
          <c:invertIfNegative val="0"/>
          <c:cat>
            <c:strRef>
              <c:f>Qld.!$D$67:$G$67</c:f>
              <c:strCache>
                <c:ptCount val="4"/>
                <c:pt idx="0">
                  <c:v>MSW</c:v>
                </c:pt>
                <c:pt idx="1">
                  <c:v>C&amp;I</c:v>
                </c:pt>
                <c:pt idx="2">
                  <c:v>C&amp;I excl. fly ash</c:v>
                </c:pt>
                <c:pt idx="3">
                  <c:v>C&amp;D</c:v>
                </c:pt>
              </c:strCache>
            </c:strRef>
          </c:cat>
          <c:val>
            <c:numRef>
              <c:f>Qld.!$D$72:$G$72</c:f>
              <c:numCache>
                <c:formatCode>#,##0</c:formatCode>
                <c:ptCount val="4"/>
                <c:pt idx="0">
                  <c:v>246.55708655434373</c:v>
                </c:pt>
                <c:pt idx="1">
                  <c:v>133.20616346764379</c:v>
                </c:pt>
                <c:pt idx="2">
                  <c:v>133.20616346764379</c:v>
                </c:pt>
                <c:pt idx="3">
                  <c:v>10.096274728666907</c:v>
                </c:pt>
              </c:numCache>
            </c:numRef>
          </c:val>
          <c:extLst>
            <c:ext xmlns:c16="http://schemas.microsoft.com/office/drawing/2014/chart" uri="{C3380CC4-5D6E-409C-BE32-E72D297353CC}">
              <c16:uniqueId val="{00000002-8F10-45F0-BA30-0DC743083EFF}"/>
            </c:ext>
          </c:extLst>
        </c:ser>
        <c:ser>
          <c:idx val="4"/>
          <c:order val="3"/>
          <c:tx>
            <c:strRef>
              <c:f>Qld.!$Q$75</c:f>
              <c:strCache>
                <c:ptCount val="1"/>
                <c:pt idx="0">
                  <c:v>Generation (kt)</c:v>
                </c:pt>
              </c:strCache>
            </c:strRef>
          </c:tx>
          <c:spPr>
            <a:noFill/>
          </c:spPr>
          <c:invertIfNegative val="0"/>
          <c:cat>
            <c:strRef>
              <c:f>Qld.!$D$67:$G$67</c:f>
              <c:strCache>
                <c:ptCount val="4"/>
                <c:pt idx="0">
                  <c:v>MSW</c:v>
                </c:pt>
                <c:pt idx="1">
                  <c:v>C&amp;I</c:v>
                </c:pt>
                <c:pt idx="2">
                  <c:v>C&amp;I excl. fly ash</c:v>
                </c:pt>
                <c:pt idx="3">
                  <c:v>C&amp;D</c:v>
                </c:pt>
              </c:strCache>
            </c:strRef>
          </c:cat>
          <c:val>
            <c:numRef>
              <c:f>Qld.!$D$74:$G$74</c:f>
              <c:numCache>
                <c:formatCode>#,##0</c:formatCode>
                <c:ptCount val="4"/>
                <c:pt idx="0">
                  <c:v>2618.5316810628415</c:v>
                </c:pt>
                <c:pt idx="1">
                  <c:v>9612.1711640184203</c:v>
                </c:pt>
                <c:pt idx="2">
                  <c:v>4396.5301640184198</c:v>
                </c:pt>
                <c:pt idx="3">
                  <c:v>3482.0484132569782</c:v>
                </c:pt>
              </c:numCache>
            </c:numRef>
          </c:val>
          <c:extLst>
            <c:ext xmlns:c16="http://schemas.microsoft.com/office/drawing/2014/chart" uri="{C3380CC4-5D6E-409C-BE32-E72D297353CC}">
              <c16:uniqueId val="{00000003-8F10-45F0-BA30-0DC743083EFF}"/>
            </c:ext>
          </c:extLst>
        </c:ser>
        <c:ser>
          <c:idx val="3"/>
          <c:order val="4"/>
          <c:tx>
            <c:strRef>
              <c:f>Qld.!$R$75</c:f>
              <c:strCache>
                <c:ptCount val="1"/>
                <c:pt idx="0">
                  <c:v>Generation (kg/cap)</c:v>
                </c:pt>
              </c:strCache>
            </c:strRef>
          </c:tx>
          <c:spPr>
            <a:noFill/>
            <a:ln>
              <a:noFill/>
            </a:ln>
          </c:spPr>
          <c:invertIfNegative val="0"/>
          <c:cat>
            <c:strRef>
              <c:f>Qld.!$D$67:$G$67</c:f>
              <c:strCache>
                <c:ptCount val="4"/>
                <c:pt idx="0">
                  <c:v>MSW</c:v>
                </c:pt>
                <c:pt idx="1">
                  <c:v>C&amp;I</c:v>
                </c:pt>
                <c:pt idx="2">
                  <c:v>C&amp;I excl. fly ash</c:v>
                </c:pt>
                <c:pt idx="3">
                  <c:v>C&amp;D</c:v>
                </c:pt>
              </c:strCache>
            </c:strRef>
          </c:cat>
          <c:val>
            <c:numRef>
              <c:f>Qld.!$D$75:$G$75</c:f>
              <c:numCache>
                <c:formatCode>#,##0</c:formatCode>
                <c:ptCount val="4"/>
                <c:pt idx="0">
                  <c:v>551.37929089140039</c:v>
                </c:pt>
                <c:pt idx="1">
                  <c:v>2024.0168024975108</c:v>
                </c:pt>
                <c:pt idx="2">
                  <c:v>925.76908721424479</c:v>
                </c:pt>
                <c:pt idx="3">
                  <c:v>733.20838500295497</c:v>
                </c:pt>
              </c:numCache>
            </c:numRef>
          </c:val>
          <c:extLst>
            <c:ext xmlns:c16="http://schemas.microsoft.com/office/drawing/2014/chart" uri="{C3380CC4-5D6E-409C-BE32-E72D297353CC}">
              <c16:uniqueId val="{00000004-8F10-45F0-BA30-0DC743083EFF}"/>
            </c:ext>
          </c:extLst>
        </c:ser>
        <c:dLbls>
          <c:showLegendKey val="0"/>
          <c:showVal val="0"/>
          <c:showCatName val="0"/>
          <c:showSerName val="0"/>
          <c:showPercent val="0"/>
          <c:showBubbleSize val="0"/>
        </c:dLbls>
        <c:gapWidth val="150"/>
        <c:overlap val="100"/>
        <c:axId val="219432064"/>
        <c:axId val="219433600"/>
      </c:barChart>
      <c:catAx>
        <c:axId val="219432064"/>
        <c:scaling>
          <c:orientation val="minMax"/>
        </c:scaling>
        <c:delete val="1"/>
        <c:axPos val="b"/>
        <c:numFmt formatCode="General" sourceLinked="0"/>
        <c:majorTickMark val="none"/>
        <c:minorTickMark val="none"/>
        <c:tickLblPos val="nextTo"/>
        <c:crossAx val="219433600"/>
        <c:crosses val="autoZero"/>
        <c:auto val="1"/>
        <c:lblAlgn val="ctr"/>
        <c:lblOffset val="100"/>
        <c:noMultiLvlLbl val="0"/>
      </c:catAx>
      <c:valAx>
        <c:axId val="219433600"/>
        <c:scaling>
          <c:orientation val="minMax"/>
        </c:scaling>
        <c:delete val="1"/>
        <c:axPos val="l"/>
        <c:numFmt formatCode="#,##0" sourceLinked="0"/>
        <c:majorTickMark val="out"/>
        <c:minorTickMark val="none"/>
        <c:tickLblPos val="nextTo"/>
        <c:crossAx val="219432064"/>
        <c:crosses val="autoZero"/>
        <c:crossBetween val="between"/>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printSettings>
    <c:headerFooter/>
    <c:pageMargins b="0.75000000000000822" l="0.70000000000000062" r="0.70000000000000062" t="0.7500000000000082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85306839686398"/>
          <c:y val="0.10541783625730994"/>
          <c:w val="0.70338935238062361"/>
          <c:h val="0.49211666666666665"/>
        </c:manualLayout>
      </c:layout>
      <c:barChart>
        <c:barDir val="col"/>
        <c:grouping val="stacked"/>
        <c:varyColors val="0"/>
        <c:ser>
          <c:idx val="0"/>
          <c:order val="0"/>
          <c:tx>
            <c:strRef>
              <c:f>Qld.!$D$78</c:f>
              <c:strCache>
                <c:ptCount val="1"/>
                <c:pt idx="0">
                  <c:v>Disposal</c:v>
                </c:pt>
              </c:strCache>
            </c:strRef>
          </c:tx>
          <c:spPr>
            <a:solidFill>
              <a:schemeClr val="accent3">
                <a:lumMod val="50000"/>
              </a:schemeClr>
            </a:solidFill>
          </c:spPr>
          <c:invertIfNegative val="0"/>
          <c:cat>
            <c:strRef>
              <c:f>Qld.!$C$79:$C$87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Qld.!$D$79:$D$87</c:f>
              <c:numCache>
                <c:formatCode>#,##0</c:formatCode>
                <c:ptCount val="9"/>
                <c:pt idx="0">
                  <c:v>1479.6128268841317</c:v>
                </c:pt>
                <c:pt idx="1">
                  <c:v>175.08108697693243</c:v>
                </c:pt>
                <c:pt idx="2">
                  <c:v>1540.8385449528648</c:v>
                </c:pt>
                <c:pt idx="3">
                  <c:v>444.69794756142983</c:v>
                </c:pt>
                <c:pt idx="4">
                  <c:v>611.41043561576316</c:v>
                </c:pt>
                <c:pt idx="5">
                  <c:v>132.71580473637073</c:v>
                </c:pt>
                <c:pt idx="6">
                  <c:v>143.14252852186328</c:v>
                </c:pt>
                <c:pt idx="7">
                  <c:v>938.35321712696214</c:v>
                </c:pt>
                <c:pt idx="8">
                  <c:v>4332.0190000000002</c:v>
                </c:pt>
              </c:numCache>
            </c:numRef>
          </c:val>
          <c:extLst>
            <c:ext xmlns:c16="http://schemas.microsoft.com/office/drawing/2014/chart" uri="{C3380CC4-5D6E-409C-BE32-E72D297353CC}">
              <c16:uniqueId val="{00000000-F7C9-4E51-8D9B-C2D0C4E770AC}"/>
            </c:ext>
          </c:extLst>
        </c:ser>
        <c:ser>
          <c:idx val="1"/>
          <c:order val="1"/>
          <c:tx>
            <c:strRef>
              <c:f>Qld.!$E$78</c:f>
              <c:strCache>
                <c:ptCount val="1"/>
                <c:pt idx="0">
                  <c:v>Recycling</c:v>
                </c:pt>
              </c:strCache>
            </c:strRef>
          </c:tx>
          <c:spPr>
            <a:solidFill>
              <a:srgbClr val="FFFF00"/>
            </a:solidFill>
          </c:spPr>
          <c:invertIfNegative val="0"/>
          <c:cat>
            <c:strRef>
              <c:f>Qld.!$C$79:$C$87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Qld.!$E$79:$E$87</c:f>
              <c:numCache>
                <c:formatCode>#,##0</c:formatCode>
                <c:ptCount val="9"/>
                <c:pt idx="0">
                  <c:v>1318.3409999999999</c:v>
                </c:pt>
                <c:pt idx="1">
                  <c:v>806.19299999999998</c:v>
                </c:pt>
                <c:pt idx="2">
                  <c:v>908.16700000000003</c:v>
                </c:pt>
                <c:pt idx="3">
                  <c:v>495.44200000000001</c:v>
                </c:pt>
                <c:pt idx="4">
                  <c:v>36</c:v>
                </c:pt>
                <c:pt idx="5">
                  <c:v>69.215000000000003</c:v>
                </c:pt>
                <c:pt idx="6">
                  <c:v>0</c:v>
                </c:pt>
                <c:pt idx="7">
                  <c:v>1008.0403412112687</c:v>
                </c:pt>
                <c:pt idx="8">
                  <c:v>883.62199999999996</c:v>
                </c:pt>
              </c:numCache>
            </c:numRef>
          </c:val>
          <c:extLst>
            <c:ext xmlns:c16="http://schemas.microsoft.com/office/drawing/2014/chart" uri="{C3380CC4-5D6E-409C-BE32-E72D297353CC}">
              <c16:uniqueId val="{00000001-F7C9-4E51-8D9B-C2D0C4E770AC}"/>
            </c:ext>
          </c:extLst>
        </c:ser>
        <c:ser>
          <c:idx val="2"/>
          <c:order val="2"/>
          <c:tx>
            <c:strRef>
              <c:f>Qld.!$F$78</c:f>
              <c:strCache>
                <c:ptCount val="1"/>
                <c:pt idx="0">
                  <c:v>Energy recovery</c:v>
                </c:pt>
              </c:strCache>
            </c:strRef>
          </c:tx>
          <c:spPr>
            <a:solidFill>
              <a:schemeClr val="accent6">
                <a:lumMod val="75000"/>
              </a:schemeClr>
            </a:solidFill>
          </c:spPr>
          <c:invertIfNegative val="0"/>
          <c:cat>
            <c:strRef>
              <c:f>Qld.!$C$79:$C$87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Qld.!$F$79:$F$87</c:f>
              <c:numCache>
                <c:formatCode>#,##0</c:formatCode>
                <c:ptCount val="9"/>
                <c:pt idx="0">
                  <c:v>0</c:v>
                </c:pt>
                <c:pt idx="1">
                  <c:v>0</c:v>
                </c:pt>
                <c:pt idx="2">
                  <c:v>306.41160578317567</c:v>
                </c:pt>
                <c:pt idx="3">
                  <c:v>67.12164964669202</c:v>
                </c:pt>
                <c:pt idx="4">
                  <c:v>0</c:v>
                </c:pt>
                <c:pt idx="5">
                  <c:v>0</c:v>
                </c:pt>
                <c:pt idx="6">
                  <c:v>16.326269320776323</c:v>
                </c:pt>
                <c:pt idx="7">
                  <c:v>1.0394988475455234E-11</c:v>
                </c:pt>
                <c:pt idx="8">
                  <c:v>0</c:v>
                </c:pt>
              </c:numCache>
            </c:numRef>
          </c:val>
          <c:extLst>
            <c:ext xmlns:c16="http://schemas.microsoft.com/office/drawing/2014/chart" uri="{C3380CC4-5D6E-409C-BE32-E72D297353CC}">
              <c16:uniqueId val="{00000002-F7C9-4E51-8D9B-C2D0C4E770AC}"/>
            </c:ext>
          </c:extLst>
        </c:ser>
        <c:ser>
          <c:idx val="3"/>
          <c:order val="3"/>
          <c:tx>
            <c:strRef>
              <c:f>Qld.!$H$78</c:f>
              <c:strCache>
                <c:ptCount val="1"/>
                <c:pt idx="0">
                  <c:v>Recovery rate</c:v>
                </c:pt>
              </c:strCache>
            </c:strRef>
          </c:tx>
          <c:spPr>
            <a:noFill/>
          </c:spPr>
          <c:invertIfNegative val="0"/>
          <c:dLbls>
            <c:dLbl>
              <c:idx val="0"/>
              <c:layout>
                <c:manualLayout>
                  <c:x val="0"/>
                  <c:y val="-3.93347953216374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C9-4E51-8D9B-C2D0C4E770AC}"/>
                </c:ext>
              </c:extLst>
            </c:dLbl>
            <c:dLbl>
              <c:idx val="1"/>
              <c:layout>
                <c:manualLayout>
                  <c:x val="0"/>
                  <c:y val="-2.41570175438596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C9-4E51-8D9B-C2D0C4E770AC}"/>
                </c:ext>
              </c:extLst>
            </c:dLbl>
            <c:dLbl>
              <c:idx val="2"/>
              <c:layout>
                <c:manualLayout>
                  <c:x val="0"/>
                  <c:y val="-4.26912280701754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C9-4E51-8D9B-C2D0C4E770AC}"/>
                </c:ext>
              </c:extLst>
            </c:dLbl>
            <c:dLbl>
              <c:idx val="3"/>
              <c:layout>
                <c:manualLayout>
                  <c:x val="2.1458502297917572E-3"/>
                  <c:y val="-3.14850877192982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C9-4E51-8D9B-C2D0C4E770AC}"/>
                </c:ext>
              </c:extLst>
            </c:dLbl>
            <c:dLbl>
              <c:idx val="4"/>
              <c:layout>
                <c:manualLayout>
                  <c:x val="0"/>
                  <c:y val="-5.7892982456140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C9-4E51-8D9B-C2D0C4E770AC}"/>
                </c:ext>
              </c:extLst>
            </c:dLbl>
            <c:dLbl>
              <c:idx val="5"/>
              <c:layout>
                <c:manualLayout>
                  <c:x val="0"/>
                  <c:y val="-3.53345029239766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C9-4E51-8D9B-C2D0C4E770AC}"/>
                </c:ext>
              </c:extLst>
            </c:dLbl>
            <c:dLbl>
              <c:idx val="6"/>
              <c:layout>
                <c:manualLayout>
                  <c:x val="0"/>
                  <c:y val="-3.12935672514619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C9-4E51-8D9B-C2D0C4E770AC}"/>
                </c:ext>
              </c:extLst>
            </c:dLbl>
            <c:dLbl>
              <c:idx val="7"/>
              <c:layout>
                <c:manualLayout>
                  <c:x val="0"/>
                  <c:y val="-3.0583918128654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C9-4E51-8D9B-C2D0C4E770AC}"/>
                </c:ext>
              </c:extLst>
            </c:dLbl>
            <c:dLbl>
              <c:idx val="8"/>
              <c:layout>
                <c:manualLayout>
                  <c:x val="0"/>
                  <c:y val="-3.19178362573099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C9-4E51-8D9B-C2D0C4E770AC}"/>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Qld.!$C$79:$C$87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Qld.!$H$79:$H$87</c:f>
              <c:numCache>
                <c:formatCode>0%</c:formatCode>
                <c:ptCount val="9"/>
                <c:pt idx="0">
                  <c:v>0.47118039880884527</c:v>
                </c:pt>
                <c:pt idx="1">
                  <c:v>0.8215777943180842</c:v>
                </c:pt>
                <c:pt idx="2">
                  <c:v>0.44079663417161041</c:v>
                </c:pt>
                <c:pt idx="3">
                  <c:v>0.55850798958878045</c:v>
                </c:pt>
                <c:pt idx="4">
                  <c:v>5.5606147228318588E-2</c:v>
                </c:pt>
                <c:pt idx="5">
                  <c:v>0.34276592959832519</c:v>
                </c:pt>
                <c:pt idx="6">
                  <c:v>0.10237908319147633</c:v>
                </c:pt>
                <c:pt idx="7">
                  <c:v>0.51790160160204524</c:v>
                </c:pt>
                <c:pt idx="8">
                  <c:v>0.16941771874252845</c:v>
                </c:pt>
              </c:numCache>
            </c:numRef>
          </c:val>
          <c:extLst>
            <c:ext xmlns:c16="http://schemas.microsoft.com/office/drawing/2014/chart" uri="{C3380CC4-5D6E-409C-BE32-E72D297353CC}">
              <c16:uniqueId val="{0000000C-F7C9-4E51-8D9B-C2D0C4E770AC}"/>
            </c:ext>
          </c:extLst>
        </c:ser>
        <c:dLbls>
          <c:showLegendKey val="0"/>
          <c:showVal val="0"/>
          <c:showCatName val="0"/>
          <c:showSerName val="0"/>
          <c:showPercent val="0"/>
          <c:showBubbleSize val="0"/>
        </c:dLbls>
        <c:gapWidth val="100"/>
        <c:overlap val="100"/>
        <c:axId val="219463040"/>
        <c:axId val="219477120"/>
      </c:barChart>
      <c:lineChart>
        <c:grouping val="stacked"/>
        <c:varyColors val="0"/>
        <c:ser>
          <c:idx val="6"/>
          <c:order val="4"/>
          <c:tx>
            <c:strRef>
              <c:f>Qld.!$C$75</c:f>
              <c:strCache>
                <c:ptCount val="1"/>
                <c:pt idx="0">
                  <c:v>Generation (kg per capita)</c:v>
                </c:pt>
              </c:strCache>
            </c:strRef>
          </c:tx>
          <c:spPr>
            <a:ln>
              <a:noFill/>
            </a:ln>
          </c:spPr>
          <c:marker>
            <c:symbol val="none"/>
          </c:marker>
          <c:val>
            <c:numRef>
              <c:f>Qld.!$L$79:$L$87</c:f>
              <c:numCache>
                <c:formatCode>#,##0</c:formatCode>
                <c:ptCount val="9"/>
                <c:pt idx="0">
                  <c:v>589.15987466230274</c:v>
                </c:pt>
                <c:pt idx="1">
                  <c:v>206.62503881863964</c:v>
                </c:pt>
                <c:pt idx="2">
                  <c:v>580.2030067729321</c:v>
                </c:pt>
                <c:pt idx="3">
                  <c:v>212.09717996817511</c:v>
                </c:pt>
                <c:pt idx="4">
                  <c:v>136.3239977148649</c:v>
                </c:pt>
                <c:pt idx="5">
                  <c:v>42.520189742167915</c:v>
                </c:pt>
                <c:pt idx="6">
                  <c:v>33.579044817242583</c:v>
                </c:pt>
                <c:pt idx="7">
                  <c:v>409.84843061227554</c:v>
                </c:pt>
                <c:pt idx="8">
                  <c:v>1098.2477152832657</c:v>
                </c:pt>
              </c:numCache>
            </c:numRef>
          </c:val>
          <c:smooth val="0"/>
          <c:extLst>
            <c:ext xmlns:c16="http://schemas.microsoft.com/office/drawing/2014/chart" uri="{C3380CC4-5D6E-409C-BE32-E72D297353CC}">
              <c16:uniqueId val="{0000000D-F7C9-4E51-8D9B-C2D0C4E770AC}"/>
            </c:ext>
          </c:extLst>
        </c:ser>
        <c:dLbls>
          <c:showLegendKey val="0"/>
          <c:showVal val="0"/>
          <c:showCatName val="0"/>
          <c:showSerName val="0"/>
          <c:showPercent val="0"/>
          <c:showBubbleSize val="0"/>
        </c:dLbls>
        <c:marker val="1"/>
        <c:smooth val="0"/>
        <c:axId val="680694648"/>
        <c:axId val="680693336"/>
      </c:lineChart>
      <c:catAx>
        <c:axId val="219463040"/>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477120"/>
        <c:crosses val="autoZero"/>
        <c:auto val="1"/>
        <c:lblAlgn val="ctr"/>
        <c:lblOffset val="50"/>
        <c:noMultiLvlLbl val="0"/>
      </c:catAx>
      <c:valAx>
        <c:axId val="219477120"/>
        <c:scaling>
          <c:orientation val="minMax"/>
        </c:scaling>
        <c:delete val="0"/>
        <c:axPos val="l"/>
        <c:majorGridlines>
          <c:spPr>
            <a:ln w="2540"/>
          </c:spPr>
        </c:majorGridlines>
        <c:title>
          <c:tx>
            <c:rich>
              <a:bodyPr/>
              <a:lstStyle/>
              <a:p>
                <a:pPr>
                  <a:defRPr/>
                </a:pPr>
                <a:r>
                  <a:rPr lang="en-AU"/>
                  <a:t>Kilotonnes (kt)</a:t>
                </a:r>
              </a:p>
            </c:rich>
          </c:tx>
          <c:layout>
            <c:manualLayout>
              <c:xMode val="edge"/>
              <c:yMode val="edge"/>
              <c:x val="8.4912983238713172E-2"/>
              <c:y val="0.20000087719298246"/>
            </c:manualLayout>
          </c:layout>
          <c:overlay val="0"/>
        </c:title>
        <c:numFmt formatCode="#,##0" sourceLinked="0"/>
        <c:majorTickMark val="out"/>
        <c:minorTickMark val="none"/>
        <c:tickLblPos val="nextTo"/>
        <c:spPr>
          <a:ln>
            <a:noFill/>
          </a:ln>
        </c:spPr>
        <c:crossAx val="219463040"/>
        <c:crosses val="autoZero"/>
        <c:crossBetween val="between"/>
      </c:valAx>
      <c:valAx>
        <c:axId val="680693336"/>
        <c:scaling>
          <c:orientation val="minMax"/>
        </c:scaling>
        <c:delete val="0"/>
        <c:axPos val="r"/>
        <c:title>
          <c:tx>
            <c:rich>
              <a:bodyPr/>
              <a:lstStyle/>
              <a:p>
                <a:pPr>
                  <a:defRPr/>
                </a:pPr>
                <a:r>
                  <a:rPr lang="en-AU"/>
                  <a:t>Kg per capita</a:t>
                </a:r>
              </a:p>
            </c:rich>
          </c:tx>
          <c:layout>
            <c:manualLayout>
              <c:xMode val="edge"/>
              <c:yMode val="edge"/>
              <c:x val="0.96256099621519331"/>
              <c:y val="0.21833508771929824"/>
            </c:manualLayout>
          </c:layout>
          <c:overlay val="0"/>
        </c:title>
        <c:numFmt formatCode="#,##0;\-#,##0;;" sourceLinked="0"/>
        <c:majorTickMark val="out"/>
        <c:minorTickMark val="none"/>
        <c:tickLblPos val="nextTo"/>
        <c:spPr>
          <a:ln>
            <a:noFill/>
          </a:ln>
        </c:spPr>
        <c:crossAx val="680694648"/>
        <c:crosses val="max"/>
        <c:crossBetween val="between"/>
        <c:majorUnit val="210"/>
      </c:valAx>
      <c:catAx>
        <c:axId val="680694648"/>
        <c:scaling>
          <c:orientation val="minMax"/>
        </c:scaling>
        <c:delete val="1"/>
        <c:axPos val="b"/>
        <c:majorTickMark val="out"/>
        <c:minorTickMark val="none"/>
        <c:tickLblPos val="nextTo"/>
        <c:crossAx val="680693336"/>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3216105704244392"/>
          <c:y val="2.3100584795321639E-2"/>
          <c:w val="0.43700656565656565"/>
          <c:h val="7.0880555555555558E-2"/>
        </c:manualLayout>
      </c:layout>
      <c:overlay val="0"/>
    </c:legend>
    <c:plotVisOnly val="1"/>
    <c:dispBlanksAs val="gap"/>
    <c:showDLblsOverMax val="0"/>
  </c:chart>
  <c:spPr>
    <a:ln>
      <a:noFill/>
    </a:ln>
  </c:spPr>
  <c:printSettings>
    <c:headerFooter/>
    <c:pageMargins b="0.75000000000000844" l="0.70000000000000062" r="0.70000000000000062" t="0.75000000000000844"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1535152724705"/>
          <c:y val="8.0557449704387885E-2"/>
          <c:w val="0.72450620821394462"/>
          <c:h val="0.23359453286202525"/>
        </c:manualLayout>
      </c:layout>
      <c:barChart>
        <c:barDir val="col"/>
        <c:grouping val="stacked"/>
        <c:varyColors val="0"/>
        <c:ser>
          <c:idx val="0"/>
          <c:order val="0"/>
          <c:tx>
            <c:strRef>
              <c:f>Qld.!$N$75</c:f>
              <c:strCache>
                <c:ptCount val="1"/>
                <c:pt idx="0">
                  <c:v>Disposal (kt)</c:v>
                </c:pt>
              </c:strCache>
            </c:strRef>
          </c:tx>
          <c:spPr>
            <a:noFill/>
          </c:spPr>
          <c:invertIfNegative val="0"/>
          <c:cat>
            <c:strRef>
              <c:f>Qld.!$B$79:$B$87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Qld.!$D$79:$D$87</c:f>
              <c:numCache>
                <c:formatCode>#,##0</c:formatCode>
                <c:ptCount val="9"/>
                <c:pt idx="0">
                  <c:v>1479.6128268841317</c:v>
                </c:pt>
                <c:pt idx="1">
                  <c:v>175.08108697693243</c:v>
                </c:pt>
                <c:pt idx="2">
                  <c:v>1540.8385449528648</c:v>
                </c:pt>
                <c:pt idx="3">
                  <c:v>444.69794756142983</c:v>
                </c:pt>
                <c:pt idx="4">
                  <c:v>611.41043561576316</c:v>
                </c:pt>
                <c:pt idx="5">
                  <c:v>132.71580473637073</c:v>
                </c:pt>
                <c:pt idx="6">
                  <c:v>143.14252852186328</c:v>
                </c:pt>
                <c:pt idx="7">
                  <c:v>938.35321712696214</c:v>
                </c:pt>
                <c:pt idx="8">
                  <c:v>4332.0190000000002</c:v>
                </c:pt>
              </c:numCache>
            </c:numRef>
          </c:val>
          <c:extLst>
            <c:ext xmlns:c16="http://schemas.microsoft.com/office/drawing/2014/chart" uri="{C3380CC4-5D6E-409C-BE32-E72D297353CC}">
              <c16:uniqueId val="{00000000-7311-4B45-B8AC-B56F0EB1C101}"/>
            </c:ext>
          </c:extLst>
        </c:ser>
        <c:ser>
          <c:idx val="1"/>
          <c:order val="1"/>
          <c:tx>
            <c:strRef>
              <c:f>Qld.!$O$75</c:f>
              <c:strCache>
                <c:ptCount val="1"/>
                <c:pt idx="0">
                  <c:v>Recycling (kt)</c:v>
                </c:pt>
              </c:strCache>
            </c:strRef>
          </c:tx>
          <c:spPr>
            <a:noFill/>
          </c:spPr>
          <c:invertIfNegative val="0"/>
          <c:cat>
            <c:strRef>
              <c:f>Qld.!$B$79:$B$87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Qld.!$E$79:$E$87</c:f>
              <c:numCache>
                <c:formatCode>#,##0</c:formatCode>
                <c:ptCount val="9"/>
                <c:pt idx="0">
                  <c:v>1318.3409999999999</c:v>
                </c:pt>
                <c:pt idx="1">
                  <c:v>806.19299999999998</c:v>
                </c:pt>
                <c:pt idx="2">
                  <c:v>908.16700000000003</c:v>
                </c:pt>
                <c:pt idx="3">
                  <c:v>495.44200000000001</c:v>
                </c:pt>
                <c:pt idx="4">
                  <c:v>36</c:v>
                </c:pt>
                <c:pt idx="5">
                  <c:v>69.215000000000003</c:v>
                </c:pt>
                <c:pt idx="6">
                  <c:v>0</c:v>
                </c:pt>
                <c:pt idx="7">
                  <c:v>1008.0403412112687</c:v>
                </c:pt>
                <c:pt idx="8">
                  <c:v>883.62199999999996</c:v>
                </c:pt>
              </c:numCache>
            </c:numRef>
          </c:val>
          <c:extLst>
            <c:ext xmlns:c16="http://schemas.microsoft.com/office/drawing/2014/chart" uri="{C3380CC4-5D6E-409C-BE32-E72D297353CC}">
              <c16:uniqueId val="{00000001-7311-4B45-B8AC-B56F0EB1C101}"/>
            </c:ext>
          </c:extLst>
        </c:ser>
        <c:ser>
          <c:idx val="2"/>
          <c:order val="2"/>
          <c:tx>
            <c:strRef>
              <c:f>Qld.!$P$75</c:f>
              <c:strCache>
                <c:ptCount val="1"/>
                <c:pt idx="0">
                  <c:v>En recovery (kt)</c:v>
                </c:pt>
              </c:strCache>
            </c:strRef>
          </c:tx>
          <c:spPr>
            <a:noFill/>
          </c:spPr>
          <c:invertIfNegative val="0"/>
          <c:cat>
            <c:strRef>
              <c:f>Qld.!$B$79:$B$87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Qld.!$F$79:$F$87</c:f>
              <c:numCache>
                <c:formatCode>#,##0</c:formatCode>
                <c:ptCount val="9"/>
                <c:pt idx="0">
                  <c:v>0</c:v>
                </c:pt>
                <c:pt idx="1">
                  <c:v>0</c:v>
                </c:pt>
                <c:pt idx="2">
                  <c:v>306.41160578317567</c:v>
                </c:pt>
                <c:pt idx="3">
                  <c:v>67.12164964669202</c:v>
                </c:pt>
                <c:pt idx="4">
                  <c:v>0</c:v>
                </c:pt>
                <c:pt idx="5">
                  <c:v>0</c:v>
                </c:pt>
                <c:pt idx="6">
                  <c:v>16.326269320776323</c:v>
                </c:pt>
                <c:pt idx="7">
                  <c:v>1.0394988475455234E-11</c:v>
                </c:pt>
                <c:pt idx="8">
                  <c:v>0</c:v>
                </c:pt>
              </c:numCache>
            </c:numRef>
          </c:val>
          <c:extLst>
            <c:ext xmlns:c16="http://schemas.microsoft.com/office/drawing/2014/chart" uri="{C3380CC4-5D6E-409C-BE32-E72D297353CC}">
              <c16:uniqueId val="{00000002-7311-4B45-B8AC-B56F0EB1C101}"/>
            </c:ext>
          </c:extLst>
        </c:ser>
        <c:ser>
          <c:idx val="4"/>
          <c:order val="3"/>
          <c:tx>
            <c:strRef>
              <c:f>Qld.!$Q$75</c:f>
              <c:strCache>
                <c:ptCount val="1"/>
                <c:pt idx="0">
                  <c:v>Generation (kt)</c:v>
                </c:pt>
              </c:strCache>
            </c:strRef>
          </c:tx>
          <c:spPr>
            <a:noFill/>
            <a:ln>
              <a:noFill/>
            </a:ln>
          </c:spPr>
          <c:invertIfNegative val="0"/>
          <c:cat>
            <c:strRef>
              <c:f>Qld.!$B$79:$B$87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Qld.!$G$79:$G$87</c:f>
              <c:numCache>
                <c:formatCode>#,##0</c:formatCode>
                <c:ptCount val="9"/>
                <c:pt idx="0">
                  <c:v>2797.9538268841316</c:v>
                </c:pt>
                <c:pt idx="1">
                  <c:v>981.27408697693238</c:v>
                </c:pt>
                <c:pt idx="2">
                  <c:v>2755.4171507360406</c:v>
                </c:pt>
                <c:pt idx="3">
                  <c:v>1007.2615972081219</c:v>
                </c:pt>
                <c:pt idx="4">
                  <c:v>647.41043561576316</c:v>
                </c:pt>
                <c:pt idx="5">
                  <c:v>201.93080473637073</c:v>
                </c:pt>
                <c:pt idx="6">
                  <c:v>159.46879784263962</c:v>
                </c:pt>
                <c:pt idx="7">
                  <c:v>1946.3935583382413</c:v>
                </c:pt>
                <c:pt idx="8">
                  <c:v>5215.6410000000005</c:v>
                </c:pt>
              </c:numCache>
            </c:numRef>
          </c:val>
          <c:extLst>
            <c:ext xmlns:c16="http://schemas.microsoft.com/office/drawing/2014/chart" uri="{C3380CC4-5D6E-409C-BE32-E72D297353CC}">
              <c16:uniqueId val="{00000003-7311-4B45-B8AC-B56F0EB1C101}"/>
            </c:ext>
          </c:extLst>
        </c:ser>
        <c:ser>
          <c:idx val="3"/>
          <c:order val="4"/>
          <c:tx>
            <c:strRef>
              <c:f>Qld.!$R$75</c:f>
              <c:strCache>
                <c:ptCount val="1"/>
                <c:pt idx="0">
                  <c:v>Generation (kg/cap)</c:v>
                </c:pt>
              </c:strCache>
            </c:strRef>
          </c:tx>
          <c:spPr>
            <a:noFill/>
          </c:spPr>
          <c:invertIfNegative val="0"/>
          <c:cat>
            <c:strRef>
              <c:f>Qld.!$B$79:$B$87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Qld.!$L$79:$L$87</c:f>
              <c:numCache>
                <c:formatCode>#,##0</c:formatCode>
                <c:ptCount val="9"/>
                <c:pt idx="0">
                  <c:v>589.15987466230274</c:v>
                </c:pt>
                <c:pt idx="1">
                  <c:v>206.62503881863964</c:v>
                </c:pt>
                <c:pt idx="2">
                  <c:v>580.2030067729321</c:v>
                </c:pt>
                <c:pt idx="3">
                  <c:v>212.09717996817511</c:v>
                </c:pt>
                <c:pt idx="4">
                  <c:v>136.3239977148649</c:v>
                </c:pt>
                <c:pt idx="5">
                  <c:v>42.520189742167915</c:v>
                </c:pt>
                <c:pt idx="6">
                  <c:v>33.579044817242583</c:v>
                </c:pt>
                <c:pt idx="7">
                  <c:v>409.84843061227554</c:v>
                </c:pt>
                <c:pt idx="8">
                  <c:v>1098.2477152832657</c:v>
                </c:pt>
              </c:numCache>
            </c:numRef>
          </c:val>
          <c:extLst>
            <c:ext xmlns:c16="http://schemas.microsoft.com/office/drawing/2014/chart" uri="{C3380CC4-5D6E-409C-BE32-E72D297353CC}">
              <c16:uniqueId val="{00000004-7311-4B45-B8AC-B56F0EB1C101}"/>
            </c:ext>
          </c:extLst>
        </c:ser>
        <c:dLbls>
          <c:showLegendKey val="0"/>
          <c:showVal val="0"/>
          <c:showCatName val="0"/>
          <c:showSerName val="0"/>
          <c:showPercent val="0"/>
          <c:showBubbleSize val="0"/>
        </c:dLbls>
        <c:gapWidth val="150"/>
        <c:overlap val="100"/>
        <c:axId val="220093056"/>
        <c:axId val="220111232"/>
      </c:barChart>
      <c:catAx>
        <c:axId val="220093056"/>
        <c:scaling>
          <c:orientation val="minMax"/>
        </c:scaling>
        <c:delete val="1"/>
        <c:axPos val="b"/>
        <c:numFmt formatCode="General" sourceLinked="0"/>
        <c:majorTickMark val="none"/>
        <c:minorTickMark val="none"/>
        <c:tickLblPos val="nextTo"/>
        <c:crossAx val="220111232"/>
        <c:crosses val="autoZero"/>
        <c:auto val="1"/>
        <c:lblAlgn val="ctr"/>
        <c:lblOffset val="100"/>
        <c:noMultiLvlLbl val="0"/>
      </c:catAx>
      <c:valAx>
        <c:axId val="220111232"/>
        <c:scaling>
          <c:orientation val="minMax"/>
        </c:scaling>
        <c:delete val="1"/>
        <c:axPos val="l"/>
        <c:numFmt formatCode="#,##0" sourceLinked="0"/>
        <c:majorTickMark val="out"/>
        <c:minorTickMark val="none"/>
        <c:tickLblPos val="nextTo"/>
        <c:crossAx val="220093056"/>
        <c:crosses val="autoZero"/>
        <c:crossBetween val="between"/>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844" l="0.70000000000000062" r="0.70000000000000062" t="0.750000000000008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69535685320356"/>
          <c:y val="8.6951461988304099E-2"/>
          <c:w val="0.63679981075966474"/>
          <c:h val="0.45679298245614036"/>
        </c:manualLayout>
      </c:layout>
      <c:barChart>
        <c:barDir val="col"/>
        <c:grouping val="stacked"/>
        <c:varyColors val="0"/>
        <c:ser>
          <c:idx val="0"/>
          <c:order val="0"/>
          <c:tx>
            <c:strRef>
              <c:f>Qld.!$C$70</c:f>
              <c:strCache>
                <c:ptCount val="1"/>
                <c:pt idx="0">
                  <c:v>Disposal</c:v>
                </c:pt>
              </c:strCache>
            </c:strRef>
          </c:tx>
          <c:spPr>
            <a:solidFill>
              <a:schemeClr val="accent3">
                <a:lumMod val="50000"/>
              </a:schemeClr>
            </a:solidFill>
          </c:spPr>
          <c:invertIfNegative val="0"/>
          <c:cat>
            <c:strRef>
              <c:f>Qld.!$H$67:$J$67</c:f>
              <c:strCache>
                <c:ptCount val="3"/>
                <c:pt idx="0">
                  <c:v>Total</c:v>
                </c:pt>
                <c:pt idx="1">
                  <c:v>Total excl. fly ash</c:v>
                </c:pt>
                <c:pt idx="2">
                  <c:v>Total excl. fly ash &amp; hazwaste</c:v>
                </c:pt>
              </c:strCache>
            </c:strRef>
          </c:cat>
          <c:val>
            <c:numRef>
              <c:f>Qld.!$H$70:$J$70</c:f>
              <c:numCache>
                <c:formatCode>#,##0</c:formatCode>
                <c:ptCount val="3"/>
                <c:pt idx="0">
                  <c:v>9797.8713923763189</c:v>
                </c:pt>
                <c:pt idx="1">
                  <c:v>5465.8523923763187</c:v>
                </c:pt>
                <c:pt idx="2">
                  <c:v>4527.499175249357</c:v>
                </c:pt>
              </c:numCache>
            </c:numRef>
          </c:val>
          <c:extLst>
            <c:ext xmlns:c16="http://schemas.microsoft.com/office/drawing/2014/chart" uri="{C3380CC4-5D6E-409C-BE32-E72D297353CC}">
              <c16:uniqueId val="{00000000-1240-47F3-8C76-8AC23C8A75A6}"/>
            </c:ext>
          </c:extLst>
        </c:ser>
        <c:ser>
          <c:idx val="1"/>
          <c:order val="1"/>
          <c:tx>
            <c:strRef>
              <c:f>Qld.!$C$71</c:f>
              <c:strCache>
                <c:ptCount val="1"/>
                <c:pt idx="0">
                  <c:v>Recycling</c:v>
                </c:pt>
              </c:strCache>
            </c:strRef>
          </c:tx>
          <c:spPr>
            <a:solidFill>
              <a:srgbClr val="FFFF00"/>
            </a:solidFill>
          </c:spPr>
          <c:invertIfNegative val="0"/>
          <c:cat>
            <c:strRef>
              <c:f>Qld.!$H$67:$J$67</c:f>
              <c:strCache>
                <c:ptCount val="3"/>
                <c:pt idx="0">
                  <c:v>Total</c:v>
                </c:pt>
                <c:pt idx="1">
                  <c:v>Total excl. fly ash</c:v>
                </c:pt>
                <c:pt idx="2">
                  <c:v>Total excl. fly ash &amp; hazwaste</c:v>
                </c:pt>
              </c:strCache>
            </c:strRef>
          </c:cat>
          <c:val>
            <c:numRef>
              <c:f>Qld.!$H$71:$J$71</c:f>
              <c:numCache>
                <c:formatCode>#,##0</c:formatCode>
                <c:ptCount val="3"/>
                <c:pt idx="0">
                  <c:v>5525.0203412112687</c:v>
                </c:pt>
                <c:pt idx="1">
                  <c:v>4641.3983412112684</c:v>
                </c:pt>
                <c:pt idx="2">
                  <c:v>3633.3580000000002</c:v>
                </c:pt>
              </c:numCache>
            </c:numRef>
          </c:val>
          <c:extLst>
            <c:ext xmlns:c16="http://schemas.microsoft.com/office/drawing/2014/chart" uri="{C3380CC4-5D6E-409C-BE32-E72D297353CC}">
              <c16:uniqueId val="{00000001-1240-47F3-8C76-8AC23C8A75A6}"/>
            </c:ext>
          </c:extLst>
        </c:ser>
        <c:ser>
          <c:idx val="2"/>
          <c:order val="2"/>
          <c:tx>
            <c:strRef>
              <c:f>Qld.!$C$72</c:f>
              <c:strCache>
                <c:ptCount val="1"/>
                <c:pt idx="0">
                  <c:v>Energy recovery</c:v>
                </c:pt>
              </c:strCache>
            </c:strRef>
          </c:tx>
          <c:spPr>
            <a:solidFill>
              <a:schemeClr val="accent6">
                <a:lumMod val="75000"/>
              </a:schemeClr>
            </a:solidFill>
          </c:spPr>
          <c:invertIfNegative val="0"/>
          <c:cat>
            <c:strRef>
              <c:f>Qld.!$H$67:$J$67</c:f>
              <c:strCache>
                <c:ptCount val="3"/>
                <c:pt idx="0">
                  <c:v>Total</c:v>
                </c:pt>
                <c:pt idx="1">
                  <c:v>Total excl. fly ash</c:v>
                </c:pt>
                <c:pt idx="2">
                  <c:v>Total excl. fly ash &amp; hazwaste</c:v>
                </c:pt>
              </c:strCache>
            </c:strRef>
          </c:cat>
          <c:val>
            <c:numRef>
              <c:f>Qld.!$H$72:$J$72</c:f>
              <c:numCache>
                <c:formatCode>#,##0</c:formatCode>
                <c:ptCount val="3"/>
                <c:pt idx="0">
                  <c:v>389.85952475065443</c:v>
                </c:pt>
                <c:pt idx="1">
                  <c:v>389.85952475065443</c:v>
                </c:pt>
                <c:pt idx="2">
                  <c:v>389.85952475064397</c:v>
                </c:pt>
              </c:numCache>
            </c:numRef>
          </c:val>
          <c:extLst>
            <c:ext xmlns:c16="http://schemas.microsoft.com/office/drawing/2014/chart" uri="{C3380CC4-5D6E-409C-BE32-E72D297353CC}">
              <c16:uniqueId val="{00000002-1240-47F3-8C76-8AC23C8A75A6}"/>
            </c:ext>
          </c:extLst>
        </c:ser>
        <c:ser>
          <c:idx val="3"/>
          <c:order val="3"/>
          <c:tx>
            <c:strRef>
              <c:f>Qld.!$C$73</c:f>
              <c:strCache>
                <c:ptCount val="1"/>
                <c:pt idx="0">
                  <c:v>Recovery rate</c:v>
                </c:pt>
              </c:strCache>
            </c:strRef>
          </c:tx>
          <c:spPr>
            <a:noFill/>
          </c:spPr>
          <c:invertIfNegative val="0"/>
          <c:dLbls>
            <c:dLbl>
              <c:idx val="0"/>
              <c:layout>
                <c:manualLayout>
                  <c:x val="0"/>
                  <c:y val="-2.71684210526315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F2-4390-BE05-1E375140A77B}"/>
                </c:ext>
              </c:extLst>
            </c:dLbl>
            <c:dLbl>
              <c:idx val="1"/>
              <c:layout>
                <c:manualLayout>
                  <c:x val="-2.1458502297919142E-3"/>
                  <c:y val="-1.41789473684210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240-47F3-8C76-8AC23C8A75A6}"/>
                </c:ext>
              </c:extLst>
            </c:dLbl>
            <c:numFmt formatCode="0%" sourceLinked="0"/>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Qld.!$H$67:$J$67</c:f>
              <c:strCache>
                <c:ptCount val="3"/>
                <c:pt idx="0">
                  <c:v>Total</c:v>
                </c:pt>
                <c:pt idx="1">
                  <c:v>Total excl. fly ash</c:v>
                </c:pt>
                <c:pt idx="2">
                  <c:v>Total excl. fly ash &amp; hazwaste</c:v>
                </c:pt>
              </c:strCache>
            </c:strRef>
          </c:cat>
          <c:val>
            <c:numRef>
              <c:f>Qld.!$O$73:$Q$73</c:f>
              <c:numCache>
                <c:formatCode>0%</c:formatCode>
                <c:ptCount val="3"/>
                <c:pt idx="0">
                  <c:v>376.43820415110878</c:v>
                </c:pt>
                <c:pt idx="1">
                  <c:v>479.29932544677331</c:v>
                </c:pt>
                <c:pt idx="2">
                  <c:v>470.51231679218705</c:v>
                </c:pt>
              </c:numCache>
            </c:numRef>
          </c:val>
          <c:extLst>
            <c:ext xmlns:c16="http://schemas.microsoft.com/office/drawing/2014/chart" uri="{C3380CC4-5D6E-409C-BE32-E72D297353CC}">
              <c16:uniqueId val="{00000004-1240-47F3-8C76-8AC23C8A75A6}"/>
            </c:ext>
          </c:extLst>
        </c:ser>
        <c:dLbls>
          <c:showLegendKey val="0"/>
          <c:showVal val="0"/>
          <c:showCatName val="0"/>
          <c:showSerName val="0"/>
          <c:showPercent val="0"/>
          <c:showBubbleSize val="0"/>
        </c:dLbls>
        <c:gapWidth val="270"/>
        <c:overlap val="100"/>
        <c:axId val="219543040"/>
        <c:axId val="219544576"/>
      </c:barChart>
      <c:lineChart>
        <c:grouping val="stacked"/>
        <c:varyColors val="0"/>
        <c:ser>
          <c:idx val="4"/>
          <c:order val="4"/>
          <c:tx>
            <c:v>disposal per cap</c:v>
          </c:tx>
          <c:spPr>
            <a:ln>
              <a:noFill/>
            </a:ln>
          </c:spPr>
          <c:marker>
            <c:symbol val="none"/>
          </c:marker>
          <c:val>
            <c:numRef>
              <c:f>Qld.!$K$70:$M$70</c:f>
              <c:numCache>
                <c:formatCode>#,##0</c:formatCode>
                <c:ptCount val="3"/>
                <c:pt idx="0">
                  <c:v>2063.1193502997157</c:v>
                </c:pt>
                <c:pt idx="1">
                  <c:v>1150.9342575539351</c:v>
                </c:pt>
                <c:pt idx="2">
                  <c:v>953.34698556984188</c:v>
                </c:pt>
              </c:numCache>
            </c:numRef>
          </c:val>
          <c:smooth val="0"/>
          <c:extLst>
            <c:ext xmlns:c16="http://schemas.microsoft.com/office/drawing/2014/chart" uri="{C3380CC4-5D6E-409C-BE32-E72D297353CC}">
              <c16:uniqueId val="{00000005-1240-47F3-8C76-8AC23C8A75A6}"/>
            </c:ext>
          </c:extLst>
        </c:ser>
        <c:ser>
          <c:idx val="5"/>
          <c:order val="5"/>
          <c:tx>
            <c:v>recycling per cap</c:v>
          </c:tx>
          <c:spPr>
            <a:ln>
              <a:noFill/>
            </a:ln>
          </c:spPr>
          <c:marker>
            <c:symbol val="none"/>
          </c:marker>
          <c:val>
            <c:numRef>
              <c:f>Qld.!$K$71:$M$71</c:f>
              <c:numCache>
                <c:formatCode>#,##0</c:formatCode>
                <c:ptCount val="3"/>
                <c:pt idx="0">
                  <c:v>1163.3931412512566</c:v>
                </c:pt>
                <c:pt idx="1">
                  <c:v>977.33051871377177</c:v>
                </c:pt>
                <c:pt idx="2">
                  <c:v>765.06936008559171</c:v>
                </c:pt>
              </c:numCache>
            </c:numRef>
          </c:val>
          <c:smooth val="0"/>
          <c:extLst>
            <c:ext xmlns:c16="http://schemas.microsoft.com/office/drawing/2014/chart" uri="{C3380CC4-5D6E-409C-BE32-E72D297353CC}">
              <c16:uniqueId val="{00000006-1240-47F3-8C76-8AC23C8A75A6}"/>
            </c:ext>
          </c:extLst>
        </c:ser>
        <c:ser>
          <c:idx val="6"/>
          <c:order val="6"/>
          <c:tx>
            <c:v>en recov per cap</c:v>
          </c:tx>
          <c:spPr>
            <a:ln>
              <a:noFill/>
            </a:ln>
          </c:spPr>
          <c:marker>
            <c:symbol val="none"/>
          </c:marker>
          <c:val>
            <c:numRef>
              <c:f>Qld.!$K$72:$M$72</c:f>
              <c:numCache>
                <c:formatCode>#,##0</c:formatCode>
                <c:ptCount val="3"/>
                <c:pt idx="0">
                  <c:v>82.091986840893767</c:v>
                </c:pt>
                <c:pt idx="1">
                  <c:v>82.091986840894236</c:v>
                </c:pt>
                <c:pt idx="2">
                  <c:v>82.091986840891565</c:v>
                </c:pt>
              </c:numCache>
            </c:numRef>
          </c:val>
          <c:smooth val="0"/>
          <c:extLst>
            <c:ext xmlns:c16="http://schemas.microsoft.com/office/drawing/2014/chart" uri="{C3380CC4-5D6E-409C-BE32-E72D297353CC}">
              <c16:uniqueId val="{00000007-1240-47F3-8C76-8AC23C8A75A6}"/>
            </c:ext>
          </c:extLst>
        </c:ser>
        <c:dLbls>
          <c:showLegendKey val="0"/>
          <c:showVal val="0"/>
          <c:showCatName val="0"/>
          <c:showSerName val="0"/>
          <c:showPercent val="0"/>
          <c:showBubbleSize val="0"/>
        </c:dLbls>
        <c:marker val="1"/>
        <c:smooth val="0"/>
        <c:axId val="219687936"/>
        <c:axId val="219686016"/>
      </c:lineChart>
      <c:catAx>
        <c:axId val="219543040"/>
        <c:scaling>
          <c:orientation val="minMax"/>
        </c:scaling>
        <c:delete val="0"/>
        <c:axPos val="b"/>
        <c:numFmt formatCode="General" sourceLinked="0"/>
        <c:majorTickMark val="none"/>
        <c:minorTickMark val="none"/>
        <c:tickLblPos val="nextTo"/>
        <c:spPr>
          <a:ln w="2540"/>
        </c:spPr>
        <c:crossAx val="219544576"/>
        <c:crosses val="autoZero"/>
        <c:auto val="1"/>
        <c:lblAlgn val="ctr"/>
        <c:lblOffset val="50"/>
        <c:noMultiLvlLbl val="0"/>
      </c:catAx>
      <c:valAx>
        <c:axId val="219544576"/>
        <c:scaling>
          <c:orientation val="minMax"/>
          <c:max val="18000"/>
        </c:scaling>
        <c:delete val="0"/>
        <c:axPos val="l"/>
        <c:majorGridlines>
          <c:spPr>
            <a:ln w="2540"/>
          </c:spPr>
        </c:majorGridlines>
        <c:title>
          <c:tx>
            <c:rich>
              <a:bodyPr/>
              <a:lstStyle/>
              <a:p>
                <a:pPr>
                  <a:defRPr/>
                </a:pPr>
                <a:r>
                  <a:rPr lang="en-US"/>
                  <a:t>Megatonnes</a:t>
                </a:r>
              </a:p>
            </c:rich>
          </c:tx>
          <c:layout>
            <c:manualLayout>
              <c:xMode val="edge"/>
              <c:yMode val="edge"/>
              <c:x val="0.14665044606650446"/>
              <c:y val="0.18525204678362572"/>
            </c:manualLayout>
          </c:layout>
          <c:overlay val="0"/>
        </c:title>
        <c:numFmt formatCode="#,##0" sourceLinked="0"/>
        <c:majorTickMark val="out"/>
        <c:minorTickMark val="none"/>
        <c:tickLblPos val="nextTo"/>
        <c:spPr>
          <a:ln>
            <a:noFill/>
          </a:ln>
        </c:spPr>
        <c:crossAx val="219543040"/>
        <c:crosses val="autoZero"/>
        <c:crossBetween val="between"/>
        <c:majorUnit val="3000"/>
        <c:dispUnits>
          <c:builtInUnit val="thousands"/>
        </c:dispUnits>
      </c:valAx>
      <c:valAx>
        <c:axId val="219686016"/>
        <c:scaling>
          <c:orientation val="minMax"/>
          <c:min val="0"/>
        </c:scaling>
        <c:delete val="0"/>
        <c:axPos val="r"/>
        <c:title>
          <c:tx>
            <c:rich>
              <a:bodyPr/>
              <a:lstStyle/>
              <a:p>
                <a:pPr>
                  <a:defRPr/>
                </a:pPr>
                <a:r>
                  <a:rPr lang="en-US"/>
                  <a:t>Kg per capita</a:t>
                </a:r>
              </a:p>
            </c:rich>
          </c:tx>
          <c:layout>
            <c:manualLayout>
              <c:xMode val="edge"/>
              <c:yMode val="edge"/>
              <c:x val="0.9472445255474452"/>
              <c:y val="0.17831403508771929"/>
            </c:manualLayout>
          </c:layout>
          <c:overlay val="0"/>
        </c:title>
        <c:numFmt formatCode="#,##0" sourceLinked="0"/>
        <c:majorTickMark val="out"/>
        <c:minorTickMark val="none"/>
        <c:tickLblPos val="nextTo"/>
        <c:spPr>
          <a:ln>
            <a:noFill/>
          </a:ln>
        </c:spPr>
        <c:crossAx val="219687936"/>
        <c:crosses val="max"/>
        <c:crossBetween val="between"/>
        <c:majorUnit val="630"/>
      </c:valAx>
      <c:catAx>
        <c:axId val="219687936"/>
        <c:scaling>
          <c:orientation val="minMax"/>
        </c:scaling>
        <c:delete val="1"/>
        <c:axPos val="b"/>
        <c:majorTickMark val="out"/>
        <c:minorTickMark val="none"/>
        <c:tickLblPos val="nextTo"/>
        <c:crossAx val="219686016"/>
        <c:crosses val="autoZero"/>
        <c:auto val="1"/>
        <c:lblAlgn val="ctr"/>
        <c:lblOffset val="100"/>
        <c:noMultiLvlLbl val="0"/>
      </c:catAx>
    </c:plotArea>
    <c:legend>
      <c:legendPos val="t"/>
      <c:legendEntry>
        <c:idx val="3"/>
        <c:delete val="1"/>
      </c:legendEntry>
      <c:legendEntry>
        <c:idx val="4"/>
        <c:delete val="1"/>
      </c:legendEntry>
      <c:legendEntry>
        <c:idx val="5"/>
        <c:delete val="1"/>
      </c:legendEntry>
      <c:legendEntry>
        <c:idx val="6"/>
        <c:delete val="1"/>
      </c:legendEntry>
      <c:layout>
        <c:manualLayout>
          <c:xMode val="edge"/>
          <c:yMode val="edge"/>
          <c:x val="0.30593876723438768"/>
          <c:y val="1.2923391812865496E-2"/>
          <c:w val="0.50702679538284368"/>
          <c:h val="6.0088620727098134E-2"/>
        </c:manualLayout>
      </c:layout>
      <c:overlay val="1"/>
    </c:legend>
    <c:plotVisOnly val="1"/>
    <c:dispBlanksAs val="gap"/>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1047706429997"/>
          <c:y val="9.4592434297069511E-2"/>
          <c:w val="0.71807230014589774"/>
          <c:h val="0.10514317465139436"/>
        </c:manualLayout>
      </c:layout>
      <c:barChart>
        <c:barDir val="col"/>
        <c:grouping val="stacked"/>
        <c:varyColors val="0"/>
        <c:ser>
          <c:idx val="0"/>
          <c:order val="0"/>
          <c:tx>
            <c:strRef>
              <c:f>Qld.!$C$70</c:f>
              <c:strCache>
                <c:ptCount val="1"/>
                <c:pt idx="0">
                  <c:v>Disposal</c:v>
                </c:pt>
              </c:strCache>
            </c:strRef>
          </c:tx>
          <c:spPr>
            <a:noFill/>
          </c:spPr>
          <c:invertIfNegative val="0"/>
          <c:cat>
            <c:strRef>
              <c:f>Qld.!$N$76:$S$76</c:f>
              <c:strCache>
                <c:ptCount val="6"/>
                <c:pt idx="0">
                  <c:v>Mega-tonnes</c:v>
                </c:pt>
                <c:pt idx="1">
                  <c:v>Kg per capita</c:v>
                </c:pt>
                <c:pt idx="2">
                  <c:v>Mega-tonnes</c:v>
                </c:pt>
                <c:pt idx="3">
                  <c:v>Kg per capita</c:v>
                </c:pt>
                <c:pt idx="4">
                  <c:v>Mega-tonnes</c:v>
                </c:pt>
                <c:pt idx="5">
                  <c:v>Kg per capita</c:v>
                </c:pt>
              </c:strCache>
            </c:strRef>
          </c:cat>
          <c:val>
            <c:numRef>
              <c:f>(Qld.!$O$70,Qld.!$K$70,Qld.!$P$70,Qld.!$L$70,Qld.!$Q$70,Qld.!$M$70)</c:f>
              <c:numCache>
                <c:formatCode>#,##0</c:formatCode>
                <c:ptCount val="6"/>
                <c:pt idx="0" formatCode="0.00">
                  <c:v>9.7978713923763188</c:v>
                </c:pt>
                <c:pt idx="1">
                  <c:v>2063.1193502997157</c:v>
                </c:pt>
                <c:pt idx="2" formatCode="0.00">
                  <c:v>5.4658523923763189</c:v>
                </c:pt>
                <c:pt idx="3">
                  <c:v>1150.9342575539351</c:v>
                </c:pt>
                <c:pt idx="4" formatCode="0.00">
                  <c:v>4.527499175249357</c:v>
                </c:pt>
                <c:pt idx="5">
                  <c:v>953.34698556984188</c:v>
                </c:pt>
              </c:numCache>
            </c:numRef>
          </c:val>
          <c:extLst>
            <c:ext xmlns:c16="http://schemas.microsoft.com/office/drawing/2014/chart" uri="{C3380CC4-5D6E-409C-BE32-E72D297353CC}">
              <c16:uniqueId val="{00000000-4363-44A8-88B1-179F9EAE3B95}"/>
            </c:ext>
          </c:extLst>
        </c:ser>
        <c:ser>
          <c:idx val="1"/>
          <c:order val="1"/>
          <c:tx>
            <c:strRef>
              <c:f>Qld.!$C$71</c:f>
              <c:strCache>
                <c:ptCount val="1"/>
                <c:pt idx="0">
                  <c:v>Recycling</c:v>
                </c:pt>
              </c:strCache>
            </c:strRef>
          </c:tx>
          <c:spPr>
            <a:noFill/>
          </c:spPr>
          <c:invertIfNegative val="0"/>
          <c:cat>
            <c:strRef>
              <c:f>Qld.!$N$76:$S$76</c:f>
              <c:strCache>
                <c:ptCount val="6"/>
                <c:pt idx="0">
                  <c:v>Mega-tonnes</c:v>
                </c:pt>
                <c:pt idx="1">
                  <c:v>Kg per capita</c:v>
                </c:pt>
                <c:pt idx="2">
                  <c:v>Mega-tonnes</c:v>
                </c:pt>
                <c:pt idx="3">
                  <c:v>Kg per capita</c:v>
                </c:pt>
                <c:pt idx="4">
                  <c:v>Mega-tonnes</c:v>
                </c:pt>
                <c:pt idx="5">
                  <c:v>Kg per capita</c:v>
                </c:pt>
              </c:strCache>
            </c:strRef>
          </c:cat>
          <c:val>
            <c:numRef>
              <c:f>(Qld.!$O$71,Qld.!$K$71,Qld.!$P$71,Qld.!$L$71,Qld.!$Q$71,Qld.!$M$71)</c:f>
              <c:numCache>
                <c:formatCode>#,##0</c:formatCode>
                <c:ptCount val="6"/>
                <c:pt idx="0" formatCode="0.00">
                  <c:v>5.5250203412112686</c:v>
                </c:pt>
                <c:pt idx="1">
                  <c:v>1163.3931412512566</c:v>
                </c:pt>
                <c:pt idx="2" formatCode="0.00">
                  <c:v>4.6413983412112687</c:v>
                </c:pt>
                <c:pt idx="3">
                  <c:v>977.33051871377177</c:v>
                </c:pt>
                <c:pt idx="4" formatCode="0.00">
                  <c:v>3.6333580000000003</c:v>
                </c:pt>
                <c:pt idx="5">
                  <c:v>765.06936008559171</c:v>
                </c:pt>
              </c:numCache>
            </c:numRef>
          </c:val>
          <c:extLst>
            <c:ext xmlns:c16="http://schemas.microsoft.com/office/drawing/2014/chart" uri="{C3380CC4-5D6E-409C-BE32-E72D297353CC}">
              <c16:uniqueId val="{00000001-4363-44A8-88B1-179F9EAE3B95}"/>
            </c:ext>
          </c:extLst>
        </c:ser>
        <c:ser>
          <c:idx val="2"/>
          <c:order val="2"/>
          <c:tx>
            <c:strRef>
              <c:f>Qld.!$C$72</c:f>
              <c:strCache>
                <c:ptCount val="1"/>
                <c:pt idx="0">
                  <c:v>Energy recovery</c:v>
                </c:pt>
              </c:strCache>
            </c:strRef>
          </c:tx>
          <c:spPr>
            <a:noFill/>
          </c:spPr>
          <c:invertIfNegative val="0"/>
          <c:cat>
            <c:strRef>
              <c:f>Qld.!$N$76:$S$76</c:f>
              <c:strCache>
                <c:ptCount val="6"/>
                <c:pt idx="0">
                  <c:v>Mega-tonnes</c:v>
                </c:pt>
                <c:pt idx="1">
                  <c:v>Kg per capita</c:v>
                </c:pt>
                <c:pt idx="2">
                  <c:v>Mega-tonnes</c:v>
                </c:pt>
                <c:pt idx="3">
                  <c:v>Kg per capita</c:v>
                </c:pt>
                <c:pt idx="4">
                  <c:v>Mega-tonnes</c:v>
                </c:pt>
                <c:pt idx="5">
                  <c:v>Kg per capita</c:v>
                </c:pt>
              </c:strCache>
            </c:strRef>
          </c:cat>
          <c:val>
            <c:numRef>
              <c:f>(Qld.!$O$72,Qld.!$K$72,Qld.!$P$72,Qld.!$L$72,Qld.!$Q$72,Qld.!$M$72)</c:f>
              <c:numCache>
                <c:formatCode>#,##0</c:formatCode>
                <c:ptCount val="6"/>
                <c:pt idx="0" formatCode="0.00">
                  <c:v>0.38985952475065444</c:v>
                </c:pt>
                <c:pt idx="1">
                  <c:v>82.091986840893767</c:v>
                </c:pt>
                <c:pt idx="2" formatCode="0.00">
                  <c:v>0.38985952475065444</c:v>
                </c:pt>
                <c:pt idx="3">
                  <c:v>82.091986840894236</c:v>
                </c:pt>
                <c:pt idx="4" formatCode="0.00">
                  <c:v>0.38985952475064395</c:v>
                </c:pt>
                <c:pt idx="5">
                  <c:v>82.091986840891565</c:v>
                </c:pt>
              </c:numCache>
            </c:numRef>
          </c:val>
          <c:extLst>
            <c:ext xmlns:c16="http://schemas.microsoft.com/office/drawing/2014/chart" uri="{C3380CC4-5D6E-409C-BE32-E72D297353CC}">
              <c16:uniqueId val="{00000002-4363-44A8-88B1-179F9EAE3B95}"/>
            </c:ext>
          </c:extLst>
        </c:ser>
        <c:ser>
          <c:idx val="4"/>
          <c:order val="3"/>
          <c:tx>
            <c:strRef>
              <c:f>Qld.!$C$74</c:f>
              <c:strCache>
                <c:ptCount val="1"/>
                <c:pt idx="0">
                  <c:v>Generation</c:v>
                </c:pt>
              </c:strCache>
            </c:strRef>
          </c:tx>
          <c:spPr>
            <a:noFill/>
            <a:ln>
              <a:noFill/>
            </a:ln>
          </c:spPr>
          <c:invertIfNegative val="0"/>
          <c:cat>
            <c:strRef>
              <c:f>Qld.!$N$76:$S$76</c:f>
              <c:strCache>
                <c:ptCount val="6"/>
                <c:pt idx="0">
                  <c:v>Mega-tonnes</c:v>
                </c:pt>
                <c:pt idx="1">
                  <c:v>Kg per capita</c:v>
                </c:pt>
                <c:pt idx="2">
                  <c:v>Mega-tonnes</c:v>
                </c:pt>
                <c:pt idx="3">
                  <c:v>Kg per capita</c:v>
                </c:pt>
                <c:pt idx="4">
                  <c:v>Mega-tonnes</c:v>
                </c:pt>
                <c:pt idx="5">
                  <c:v>Kg per capita</c:v>
                </c:pt>
              </c:strCache>
            </c:strRef>
          </c:cat>
          <c:val>
            <c:numRef>
              <c:f>(Qld.!$O$74,Qld.!$K$74,Qld.!$P$74,Qld.!$L$74,Qld.!$Q$74,Qld.!$M$74)</c:f>
              <c:numCache>
                <c:formatCode>#,##0</c:formatCode>
                <c:ptCount val="6"/>
                <c:pt idx="0" formatCode="0.00">
                  <c:v>15.712751258338242</c:v>
                </c:pt>
                <c:pt idx="1">
                  <c:v>3308.604478391866</c:v>
                </c:pt>
                <c:pt idx="2" formatCode="0.00">
                  <c:v>10.497110258338243</c:v>
                </c:pt>
                <c:pt idx="3">
                  <c:v>2210.3567631086012</c:v>
                </c:pt>
                <c:pt idx="4" formatCode="0.00">
                  <c:v>8.5507167000000006</c:v>
                </c:pt>
                <c:pt idx="5">
                  <c:v>1800.5083324963252</c:v>
                </c:pt>
              </c:numCache>
            </c:numRef>
          </c:val>
          <c:extLst>
            <c:ext xmlns:c16="http://schemas.microsoft.com/office/drawing/2014/chart" uri="{C3380CC4-5D6E-409C-BE32-E72D297353CC}">
              <c16:uniqueId val="{00000003-4363-44A8-88B1-179F9EAE3B95}"/>
            </c:ext>
          </c:extLst>
        </c:ser>
        <c:dLbls>
          <c:showLegendKey val="0"/>
          <c:showVal val="0"/>
          <c:showCatName val="0"/>
          <c:showSerName val="0"/>
          <c:showPercent val="0"/>
          <c:showBubbleSize val="0"/>
        </c:dLbls>
        <c:gapWidth val="150"/>
        <c:overlap val="100"/>
        <c:axId val="219727360"/>
        <c:axId val="219728896"/>
      </c:barChart>
      <c:catAx>
        <c:axId val="219727360"/>
        <c:scaling>
          <c:orientation val="minMax"/>
        </c:scaling>
        <c:delete val="1"/>
        <c:axPos val="b"/>
        <c:numFmt formatCode="General" sourceLinked="0"/>
        <c:majorTickMark val="none"/>
        <c:minorTickMark val="none"/>
        <c:tickLblPos val="nextTo"/>
        <c:crossAx val="219728896"/>
        <c:crosses val="autoZero"/>
        <c:auto val="1"/>
        <c:lblAlgn val="ctr"/>
        <c:lblOffset val="100"/>
        <c:noMultiLvlLbl val="0"/>
      </c:catAx>
      <c:valAx>
        <c:axId val="219728896"/>
        <c:scaling>
          <c:orientation val="minMax"/>
        </c:scaling>
        <c:delete val="1"/>
        <c:axPos val="l"/>
        <c:numFmt formatCode="#,##0" sourceLinked="0"/>
        <c:majorTickMark val="out"/>
        <c:minorTickMark val="none"/>
        <c:tickLblPos val="nextTo"/>
        <c:crossAx val="219727360"/>
        <c:crosses val="autoZero"/>
        <c:crossBetween val="between"/>
      </c:valAx>
      <c:dTable>
        <c:showHorzBorder val="1"/>
        <c:showVertBorder val="1"/>
        <c:showOutline val="1"/>
        <c:showKeys val="0"/>
        <c:spPr>
          <a:ln w="2540"/>
        </c:spPr>
        <c:txPr>
          <a:bodyPr/>
          <a:lstStyle/>
          <a:p>
            <a:pPr rtl="0">
              <a:defRPr sz="900"/>
            </a:pPr>
            <a:endParaRPr lang="en-US"/>
          </a:p>
        </c:txPr>
      </c:dTable>
      <c:spPr>
        <a:noFill/>
        <a:ln>
          <a:noFill/>
        </a:ln>
      </c:spPr>
    </c:plotArea>
    <c:plotVisOnly val="1"/>
    <c:dispBlanksAs val="gap"/>
    <c:showDLblsOverMax val="0"/>
  </c:chart>
  <c:spPr>
    <a:noFill/>
    <a:ln>
      <a:noFill/>
    </a:ln>
  </c:spPr>
  <c:printSettings>
    <c:headerFooter/>
    <c:pageMargins b="0.75000000000000799" l="0.70000000000000062" r="0.70000000000000062" t="0.75000000000000799"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9785077047851"/>
          <c:y val="0.10985614035087721"/>
          <c:w val="0.62359730639730637"/>
          <c:h val="0.48483538011695909"/>
        </c:manualLayout>
      </c:layout>
      <c:barChart>
        <c:barDir val="col"/>
        <c:grouping val="stacked"/>
        <c:varyColors val="0"/>
        <c:ser>
          <c:idx val="0"/>
          <c:order val="0"/>
          <c:tx>
            <c:strRef>
              <c:f>SA.!$C$70</c:f>
              <c:strCache>
                <c:ptCount val="1"/>
                <c:pt idx="0">
                  <c:v>Disposal</c:v>
                </c:pt>
              </c:strCache>
            </c:strRef>
          </c:tx>
          <c:spPr>
            <a:solidFill>
              <a:schemeClr val="accent3">
                <a:lumMod val="50000"/>
              </a:schemeClr>
            </a:solidFill>
          </c:spPr>
          <c:invertIfNegative val="0"/>
          <c:cat>
            <c:strRef>
              <c:f>SA.!$D$67:$G$67</c:f>
              <c:strCache>
                <c:ptCount val="4"/>
                <c:pt idx="0">
                  <c:v>MSW</c:v>
                </c:pt>
                <c:pt idx="1">
                  <c:v>C&amp;I</c:v>
                </c:pt>
                <c:pt idx="2">
                  <c:v>C&amp;I excl. fly ash</c:v>
                </c:pt>
                <c:pt idx="3">
                  <c:v>C&amp;D</c:v>
                </c:pt>
              </c:strCache>
            </c:strRef>
          </c:cat>
          <c:val>
            <c:numRef>
              <c:f>SA.!$D$70:$G$70</c:f>
              <c:numCache>
                <c:formatCode>#,##0</c:formatCode>
                <c:ptCount val="4"/>
                <c:pt idx="0">
                  <c:v>204.61619482692345</c:v>
                </c:pt>
                <c:pt idx="1">
                  <c:v>299.66323295105639</c:v>
                </c:pt>
                <c:pt idx="2">
                  <c:v>299.66323295105639</c:v>
                </c:pt>
                <c:pt idx="3">
                  <c:v>463.50591503130704</c:v>
                </c:pt>
              </c:numCache>
            </c:numRef>
          </c:val>
          <c:extLst>
            <c:ext xmlns:c16="http://schemas.microsoft.com/office/drawing/2014/chart" uri="{C3380CC4-5D6E-409C-BE32-E72D297353CC}">
              <c16:uniqueId val="{00000000-8A7D-4B98-9134-8408B5409633}"/>
            </c:ext>
          </c:extLst>
        </c:ser>
        <c:ser>
          <c:idx val="1"/>
          <c:order val="1"/>
          <c:tx>
            <c:strRef>
              <c:f>SA.!$C$71</c:f>
              <c:strCache>
                <c:ptCount val="1"/>
                <c:pt idx="0">
                  <c:v>Recycling</c:v>
                </c:pt>
              </c:strCache>
            </c:strRef>
          </c:tx>
          <c:spPr>
            <a:solidFill>
              <a:srgbClr val="FFFF00"/>
            </a:solidFill>
          </c:spPr>
          <c:invertIfNegative val="0"/>
          <c:cat>
            <c:strRef>
              <c:f>SA.!$D$67:$G$67</c:f>
              <c:strCache>
                <c:ptCount val="4"/>
                <c:pt idx="0">
                  <c:v>MSW</c:v>
                </c:pt>
                <c:pt idx="1">
                  <c:v>C&amp;I</c:v>
                </c:pt>
                <c:pt idx="2">
                  <c:v>C&amp;I excl. fly ash</c:v>
                </c:pt>
                <c:pt idx="3">
                  <c:v>C&amp;D</c:v>
                </c:pt>
              </c:strCache>
            </c:strRef>
          </c:cat>
          <c:val>
            <c:numRef>
              <c:f>SA.!$D$71:$G$71</c:f>
              <c:numCache>
                <c:formatCode>#,##0</c:formatCode>
                <c:ptCount val="4"/>
                <c:pt idx="0">
                  <c:v>435.38216439471717</c:v>
                </c:pt>
                <c:pt idx="1">
                  <c:v>1659.5297875141246</c:v>
                </c:pt>
                <c:pt idx="2">
                  <c:v>1513.5297875141246</c:v>
                </c:pt>
                <c:pt idx="3">
                  <c:v>1209.3852293280684</c:v>
                </c:pt>
              </c:numCache>
            </c:numRef>
          </c:val>
          <c:extLst>
            <c:ext xmlns:c16="http://schemas.microsoft.com/office/drawing/2014/chart" uri="{C3380CC4-5D6E-409C-BE32-E72D297353CC}">
              <c16:uniqueId val="{00000001-8A7D-4B98-9134-8408B5409633}"/>
            </c:ext>
          </c:extLst>
        </c:ser>
        <c:ser>
          <c:idx val="2"/>
          <c:order val="2"/>
          <c:tx>
            <c:strRef>
              <c:f>SA.!$C$72</c:f>
              <c:strCache>
                <c:ptCount val="1"/>
                <c:pt idx="0">
                  <c:v>Energy recovery</c:v>
                </c:pt>
              </c:strCache>
            </c:strRef>
          </c:tx>
          <c:spPr>
            <a:solidFill>
              <a:schemeClr val="accent6">
                <a:lumMod val="75000"/>
              </a:schemeClr>
            </a:solidFill>
          </c:spPr>
          <c:invertIfNegative val="0"/>
          <c:cat>
            <c:strRef>
              <c:f>SA.!$D$67:$G$67</c:f>
              <c:strCache>
                <c:ptCount val="4"/>
                <c:pt idx="0">
                  <c:v>MSW</c:v>
                </c:pt>
                <c:pt idx="1">
                  <c:v>C&amp;I</c:v>
                </c:pt>
                <c:pt idx="2">
                  <c:v>C&amp;I excl. fly ash</c:v>
                </c:pt>
                <c:pt idx="3">
                  <c:v>C&amp;D</c:v>
                </c:pt>
              </c:strCache>
            </c:strRef>
          </c:cat>
          <c:val>
            <c:numRef>
              <c:f>SA.!$D$72:$G$72</c:f>
              <c:numCache>
                <c:formatCode>#,##0</c:formatCode>
                <c:ptCount val="4"/>
                <c:pt idx="0">
                  <c:v>55.956125173076479</c:v>
                </c:pt>
                <c:pt idx="1">
                  <c:v>81.972082238923008</c:v>
                </c:pt>
                <c:pt idx="2">
                  <c:v>81.972082238923008</c:v>
                </c:pt>
                <c:pt idx="3">
                  <c:v>11.494169015664115</c:v>
                </c:pt>
              </c:numCache>
            </c:numRef>
          </c:val>
          <c:extLst>
            <c:ext xmlns:c16="http://schemas.microsoft.com/office/drawing/2014/chart" uri="{C3380CC4-5D6E-409C-BE32-E72D297353CC}">
              <c16:uniqueId val="{00000002-8A7D-4B98-9134-8408B5409633}"/>
            </c:ext>
          </c:extLst>
        </c:ser>
        <c:ser>
          <c:idx val="3"/>
          <c:order val="3"/>
          <c:tx>
            <c:strRef>
              <c:f>SA.!$C$73</c:f>
              <c:strCache>
                <c:ptCount val="1"/>
                <c:pt idx="0">
                  <c:v>Recovery rate</c:v>
                </c:pt>
              </c:strCache>
            </c:strRef>
          </c:tx>
          <c:spPr>
            <a:noFill/>
            <a:ln>
              <a:noFill/>
            </a:ln>
          </c:spPr>
          <c:invertIfNegative val="0"/>
          <c:dLbls>
            <c:dLbl>
              <c:idx val="1"/>
              <c:layout>
                <c:manualLayout>
                  <c:x val="-2.1458502297919142E-3"/>
                  <c:y val="-4.67830409356725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7D-4B98-9134-8408B5409633}"/>
                </c:ext>
              </c:extLst>
            </c:dLbl>
            <c:dLbl>
              <c:idx val="2"/>
              <c:layout>
                <c:manualLayout>
                  <c:x val="0"/>
                  <c:y val="-2.813128654970761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54-40FF-86F5-F197B7E8AEB5}"/>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SA.!$D$67:$G$67</c:f>
              <c:strCache>
                <c:ptCount val="4"/>
                <c:pt idx="0">
                  <c:v>MSW</c:v>
                </c:pt>
                <c:pt idx="1">
                  <c:v>C&amp;I</c:v>
                </c:pt>
                <c:pt idx="2">
                  <c:v>C&amp;I excl. fly ash</c:v>
                </c:pt>
                <c:pt idx="3">
                  <c:v>C&amp;D</c:v>
                </c:pt>
              </c:strCache>
            </c:strRef>
          </c:cat>
          <c:val>
            <c:numRef>
              <c:f>SA.!$D$73:$G$73</c:f>
              <c:numCache>
                <c:formatCode>0%</c:formatCode>
                <c:ptCount val="4"/>
                <c:pt idx="0">
                  <c:v>0.70599198738566726</c:v>
                </c:pt>
                <c:pt idx="1">
                  <c:v>0.85319010571263099</c:v>
                </c:pt>
                <c:pt idx="2">
                  <c:v>0.84188014409748069</c:v>
                </c:pt>
                <c:pt idx="3">
                  <c:v>0.72482192088069797</c:v>
                </c:pt>
              </c:numCache>
            </c:numRef>
          </c:val>
          <c:extLst>
            <c:ext xmlns:c16="http://schemas.microsoft.com/office/drawing/2014/chart" uri="{C3380CC4-5D6E-409C-BE32-E72D297353CC}">
              <c16:uniqueId val="{00000004-8A7D-4B98-9134-8408B5409633}"/>
            </c:ext>
          </c:extLst>
        </c:ser>
        <c:dLbls>
          <c:showLegendKey val="0"/>
          <c:showVal val="0"/>
          <c:showCatName val="0"/>
          <c:showSerName val="0"/>
          <c:showPercent val="0"/>
          <c:showBubbleSize val="0"/>
        </c:dLbls>
        <c:gapWidth val="150"/>
        <c:overlap val="100"/>
        <c:axId val="219379584"/>
        <c:axId val="219381120"/>
      </c:barChart>
      <c:lineChart>
        <c:grouping val="standard"/>
        <c:varyColors val="0"/>
        <c:ser>
          <c:idx val="4"/>
          <c:order val="4"/>
          <c:tx>
            <c:strRef>
              <c:f>SA.!$C$75</c:f>
              <c:strCache>
                <c:ptCount val="1"/>
                <c:pt idx="0">
                  <c:v>Generation (kg per capita)</c:v>
                </c:pt>
              </c:strCache>
            </c:strRef>
          </c:tx>
          <c:spPr>
            <a:ln>
              <a:noFill/>
            </a:ln>
          </c:spPr>
          <c:marker>
            <c:symbol val="none"/>
          </c:marker>
          <c:val>
            <c:numRef>
              <c:f>SA.!$D$75:$G$75</c:f>
              <c:numCache>
                <c:formatCode>#,##0</c:formatCode>
                <c:ptCount val="4"/>
                <c:pt idx="0">
                  <c:v>411.41666310676374</c:v>
                </c:pt>
                <c:pt idx="1">
                  <c:v>1206.6440467509283</c:v>
                </c:pt>
                <c:pt idx="2">
                  <c:v>1120.3354818081668</c:v>
                </c:pt>
                <c:pt idx="3">
                  <c:v>995.73204937029584</c:v>
                </c:pt>
              </c:numCache>
            </c:numRef>
          </c:val>
          <c:smooth val="0"/>
          <c:extLst>
            <c:ext xmlns:c16="http://schemas.microsoft.com/office/drawing/2014/chart" uri="{C3380CC4-5D6E-409C-BE32-E72D297353CC}">
              <c16:uniqueId val="{00000005-8A7D-4B98-9134-8408B5409633}"/>
            </c:ext>
          </c:extLst>
        </c:ser>
        <c:dLbls>
          <c:showLegendKey val="0"/>
          <c:showVal val="0"/>
          <c:showCatName val="0"/>
          <c:showSerName val="0"/>
          <c:showPercent val="0"/>
          <c:showBubbleSize val="0"/>
        </c:dLbls>
        <c:marker val="1"/>
        <c:smooth val="0"/>
        <c:axId val="997660824"/>
        <c:axId val="997657872"/>
      </c:lineChart>
      <c:catAx>
        <c:axId val="21937958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381120"/>
        <c:crosses val="autoZero"/>
        <c:auto val="1"/>
        <c:lblAlgn val="ctr"/>
        <c:lblOffset val="100"/>
        <c:noMultiLvlLbl val="0"/>
      </c:catAx>
      <c:valAx>
        <c:axId val="219381120"/>
        <c:scaling>
          <c:orientation val="minMax"/>
          <c:min val="0"/>
        </c:scaling>
        <c:delete val="0"/>
        <c:axPos val="l"/>
        <c:majorGridlines>
          <c:spPr>
            <a:ln w="2540"/>
          </c:spPr>
        </c:majorGridlines>
        <c:title>
          <c:tx>
            <c:rich>
              <a:bodyPr/>
              <a:lstStyle/>
              <a:p>
                <a:pPr>
                  <a:defRPr/>
                </a:pPr>
                <a:r>
                  <a:rPr lang="en-AU"/>
                  <a:t>Kilotonnes</a:t>
                </a:r>
                <a:r>
                  <a:rPr lang="en-AU" baseline="0"/>
                  <a:t> (kt)</a:t>
                </a:r>
                <a:endParaRPr lang="en-AU"/>
              </a:p>
            </c:rich>
          </c:tx>
          <c:layout>
            <c:manualLayout>
              <c:xMode val="edge"/>
              <c:yMode val="edge"/>
              <c:x val="0.15383887537172208"/>
              <c:y val="0.21282456140350878"/>
            </c:manualLayout>
          </c:layout>
          <c:overlay val="0"/>
        </c:title>
        <c:numFmt formatCode="#,##0" sourceLinked="0"/>
        <c:majorTickMark val="out"/>
        <c:minorTickMark val="none"/>
        <c:tickLblPos val="nextTo"/>
        <c:spPr>
          <a:ln>
            <a:noFill/>
          </a:ln>
        </c:spPr>
        <c:crossAx val="219379584"/>
        <c:crosses val="autoZero"/>
        <c:crossBetween val="between"/>
        <c:majorUnit val="250"/>
      </c:valAx>
      <c:valAx>
        <c:axId val="997657872"/>
        <c:scaling>
          <c:orientation val="minMax"/>
        </c:scaling>
        <c:delete val="0"/>
        <c:axPos val="r"/>
        <c:title>
          <c:tx>
            <c:rich>
              <a:bodyPr/>
              <a:lstStyle/>
              <a:p>
                <a:pPr>
                  <a:defRPr/>
                </a:pPr>
                <a:r>
                  <a:rPr lang="en-AU" baseline="0"/>
                  <a:t>Kg per capita</a:t>
                </a:r>
                <a:endParaRPr lang="en-AU"/>
              </a:p>
            </c:rich>
          </c:tx>
          <c:layout>
            <c:manualLayout>
              <c:xMode val="edge"/>
              <c:yMode val="edge"/>
              <c:x val="0.95713334685050011"/>
              <c:y val="0.22597017543859649"/>
            </c:manualLayout>
          </c:layout>
          <c:overlay val="0"/>
        </c:title>
        <c:numFmt formatCode="#,##0;\-#,##0;;" sourceLinked="0"/>
        <c:majorTickMark val="out"/>
        <c:minorTickMark val="none"/>
        <c:tickLblPos val="nextTo"/>
        <c:spPr>
          <a:ln>
            <a:noFill/>
          </a:ln>
        </c:spPr>
        <c:crossAx val="997660824"/>
        <c:crosses val="max"/>
        <c:crossBetween val="between"/>
        <c:majorUnit val="148"/>
      </c:valAx>
      <c:catAx>
        <c:axId val="997660824"/>
        <c:scaling>
          <c:orientation val="minMax"/>
        </c:scaling>
        <c:delete val="1"/>
        <c:axPos val="b"/>
        <c:majorTickMark val="out"/>
        <c:minorTickMark val="none"/>
        <c:tickLblPos val="nextTo"/>
        <c:crossAx val="997657872"/>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6046042849418763"/>
          <c:y val="6.5002923976608187E-3"/>
          <c:w val="0.4386014801297648"/>
          <c:h val="6.7150000000000001E-2"/>
        </c:manualLayout>
      </c:layout>
      <c:overlay val="0"/>
    </c:legend>
    <c:plotVisOnly val="1"/>
    <c:dispBlanksAs val="gap"/>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94266403745416"/>
          <c:y val="0.18821678623728794"/>
          <c:w val="0.71272974917535803"/>
          <c:h val="0.13428840426060865"/>
        </c:manualLayout>
      </c:layout>
      <c:barChart>
        <c:barDir val="col"/>
        <c:grouping val="stacked"/>
        <c:varyColors val="0"/>
        <c:ser>
          <c:idx val="0"/>
          <c:order val="0"/>
          <c:tx>
            <c:strRef>
              <c:f>SA.!$N$75</c:f>
              <c:strCache>
                <c:ptCount val="1"/>
                <c:pt idx="0">
                  <c:v>Disposal (kt)</c:v>
                </c:pt>
              </c:strCache>
            </c:strRef>
          </c:tx>
          <c:spPr>
            <a:noFill/>
          </c:spPr>
          <c:invertIfNegative val="0"/>
          <c:cat>
            <c:strRef>
              <c:f>SA.!$D$67:$G$67</c:f>
              <c:strCache>
                <c:ptCount val="4"/>
                <c:pt idx="0">
                  <c:v>MSW</c:v>
                </c:pt>
                <c:pt idx="1">
                  <c:v>C&amp;I</c:v>
                </c:pt>
                <c:pt idx="2">
                  <c:v>C&amp;I excl. fly ash</c:v>
                </c:pt>
                <c:pt idx="3">
                  <c:v>C&amp;D</c:v>
                </c:pt>
              </c:strCache>
            </c:strRef>
          </c:cat>
          <c:val>
            <c:numRef>
              <c:f>SA.!$D$70:$G$70</c:f>
              <c:numCache>
                <c:formatCode>#,##0</c:formatCode>
                <c:ptCount val="4"/>
                <c:pt idx="0">
                  <c:v>204.61619482692345</c:v>
                </c:pt>
                <c:pt idx="1">
                  <c:v>299.66323295105639</c:v>
                </c:pt>
                <c:pt idx="2">
                  <c:v>299.66323295105639</c:v>
                </c:pt>
                <c:pt idx="3">
                  <c:v>463.50591503130704</c:v>
                </c:pt>
              </c:numCache>
            </c:numRef>
          </c:val>
          <c:extLst>
            <c:ext xmlns:c16="http://schemas.microsoft.com/office/drawing/2014/chart" uri="{C3380CC4-5D6E-409C-BE32-E72D297353CC}">
              <c16:uniqueId val="{00000000-E760-4E1D-9826-DF547E03B09E}"/>
            </c:ext>
          </c:extLst>
        </c:ser>
        <c:ser>
          <c:idx val="1"/>
          <c:order val="1"/>
          <c:tx>
            <c:strRef>
              <c:f>SA.!$O$75</c:f>
              <c:strCache>
                <c:ptCount val="1"/>
                <c:pt idx="0">
                  <c:v>Recycling (kt)</c:v>
                </c:pt>
              </c:strCache>
            </c:strRef>
          </c:tx>
          <c:spPr>
            <a:noFill/>
            <a:ln>
              <a:noFill/>
            </a:ln>
          </c:spPr>
          <c:invertIfNegative val="0"/>
          <c:cat>
            <c:strRef>
              <c:f>SA.!$D$67:$G$67</c:f>
              <c:strCache>
                <c:ptCount val="4"/>
                <c:pt idx="0">
                  <c:v>MSW</c:v>
                </c:pt>
                <c:pt idx="1">
                  <c:v>C&amp;I</c:v>
                </c:pt>
                <c:pt idx="2">
                  <c:v>C&amp;I excl. fly ash</c:v>
                </c:pt>
                <c:pt idx="3">
                  <c:v>C&amp;D</c:v>
                </c:pt>
              </c:strCache>
            </c:strRef>
          </c:cat>
          <c:val>
            <c:numRef>
              <c:f>SA.!$D$71:$G$71</c:f>
              <c:numCache>
                <c:formatCode>#,##0</c:formatCode>
                <c:ptCount val="4"/>
                <c:pt idx="0">
                  <c:v>435.38216439471717</c:v>
                </c:pt>
                <c:pt idx="1">
                  <c:v>1659.5297875141246</c:v>
                </c:pt>
                <c:pt idx="2">
                  <c:v>1513.5297875141246</c:v>
                </c:pt>
                <c:pt idx="3">
                  <c:v>1209.3852293280684</c:v>
                </c:pt>
              </c:numCache>
            </c:numRef>
          </c:val>
          <c:extLst>
            <c:ext xmlns:c16="http://schemas.microsoft.com/office/drawing/2014/chart" uri="{C3380CC4-5D6E-409C-BE32-E72D297353CC}">
              <c16:uniqueId val="{00000001-E760-4E1D-9826-DF547E03B09E}"/>
            </c:ext>
          </c:extLst>
        </c:ser>
        <c:ser>
          <c:idx val="2"/>
          <c:order val="2"/>
          <c:tx>
            <c:strRef>
              <c:f>SA.!$P$75</c:f>
              <c:strCache>
                <c:ptCount val="1"/>
                <c:pt idx="0">
                  <c:v>En recovery (kt)</c:v>
                </c:pt>
              </c:strCache>
            </c:strRef>
          </c:tx>
          <c:spPr>
            <a:noFill/>
          </c:spPr>
          <c:invertIfNegative val="0"/>
          <c:cat>
            <c:strRef>
              <c:f>SA.!$D$67:$G$67</c:f>
              <c:strCache>
                <c:ptCount val="4"/>
                <c:pt idx="0">
                  <c:v>MSW</c:v>
                </c:pt>
                <c:pt idx="1">
                  <c:v>C&amp;I</c:v>
                </c:pt>
                <c:pt idx="2">
                  <c:v>C&amp;I excl. fly ash</c:v>
                </c:pt>
                <c:pt idx="3">
                  <c:v>C&amp;D</c:v>
                </c:pt>
              </c:strCache>
            </c:strRef>
          </c:cat>
          <c:val>
            <c:numRef>
              <c:f>SA.!$D$72:$G$72</c:f>
              <c:numCache>
                <c:formatCode>#,##0</c:formatCode>
                <c:ptCount val="4"/>
                <c:pt idx="0">
                  <c:v>55.956125173076479</c:v>
                </c:pt>
                <c:pt idx="1">
                  <c:v>81.972082238923008</c:v>
                </c:pt>
                <c:pt idx="2">
                  <c:v>81.972082238923008</c:v>
                </c:pt>
                <c:pt idx="3">
                  <c:v>11.494169015664115</c:v>
                </c:pt>
              </c:numCache>
            </c:numRef>
          </c:val>
          <c:extLst>
            <c:ext xmlns:c16="http://schemas.microsoft.com/office/drawing/2014/chart" uri="{C3380CC4-5D6E-409C-BE32-E72D297353CC}">
              <c16:uniqueId val="{00000002-E760-4E1D-9826-DF547E03B09E}"/>
            </c:ext>
          </c:extLst>
        </c:ser>
        <c:ser>
          <c:idx val="4"/>
          <c:order val="3"/>
          <c:tx>
            <c:strRef>
              <c:f>SA.!$Q$75</c:f>
              <c:strCache>
                <c:ptCount val="1"/>
                <c:pt idx="0">
                  <c:v>Generation (kt)</c:v>
                </c:pt>
              </c:strCache>
            </c:strRef>
          </c:tx>
          <c:spPr>
            <a:noFill/>
          </c:spPr>
          <c:invertIfNegative val="0"/>
          <c:cat>
            <c:strRef>
              <c:f>SA.!$D$67:$G$67</c:f>
              <c:strCache>
                <c:ptCount val="4"/>
                <c:pt idx="0">
                  <c:v>MSW</c:v>
                </c:pt>
                <c:pt idx="1">
                  <c:v>C&amp;I</c:v>
                </c:pt>
                <c:pt idx="2">
                  <c:v>C&amp;I excl. fly ash</c:v>
                </c:pt>
                <c:pt idx="3">
                  <c:v>C&amp;D</c:v>
                </c:pt>
              </c:strCache>
            </c:strRef>
          </c:cat>
          <c:val>
            <c:numRef>
              <c:f>SA.!$D$74:$G$74</c:f>
              <c:numCache>
                <c:formatCode>#,##0</c:formatCode>
                <c:ptCount val="4"/>
                <c:pt idx="0">
                  <c:v>695.95448439471704</c:v>
                </c:pt>
                <c:pt idx="1">
                  <c:v>2041.1651027041039</c:v>
                </c:pt>
                <c:pt idx="2">
                  <c:v>1895.1651027041039</c:v>
                </c:pt>
                <c:pt idx="3">
                  <c:v>1684.3853133750395</c:v>
                </c:pt>
              </c:numCache>
            </c:numRef>
          </c:val>
          <c:extLst>
            <c:ext xmlns:c16="http://schemas.microsoft.com/office/drawing/2014/chart" uri="{C3380CC4-5D6E-409C-BE32-E72D297353CC}">
              <c16:uniqueId val="{00000003-E760-4E1D-9826-DF547E03B09E}"/>
            </c:ext>
          </c:extLst>
        </c:ser>
        <c:ser>
          <c:idx val="3"/>
          <c:order val="4"/>
          <c:tx>
            <c:strRef>
              <c:f>SA.!$R$75</c:f>
              <c:strCache>
                <c:ptCount val="1"/>
                <c:pt idx="0">
                  <c:v>Generation (kg/cap)</c:v>
                </c:pt>
              </c:strCache>
            </c:strRef>
          </c:tx>
          <c:spPr>
            <a:noFill/>
            <a:ln>
              <a:noFill/>
            </a:ln>
          </c:spPr>
          <c:invertIfNegative val="0"/>
          <c:cat>
            <c:strRef>
              <c:f>SA.!$D$67:$G$67</c:f>
              <c:strCache>
                <c:ptCount val="4"/>
                <c:pt idx="0">
                  <c:v>MSW</c:v>
                </c:pt>
                <c:pt idx="1">
                  <c:v>C&amp;I</c:v>
                </c:pt>
                <c:pt idx="2">
                  <c:v>C&amp;I excl. fly ash</c:v>
                </c:pt>
                <c:pt idx="3">
                  <c:v>C&amp;D</c:v>
                </c:pt>
              </c:strCache>
            </c:strRef>
          </c:cat>
          <c:val>
            <c:numRef>
              <c:f>SA.!$D$75:$G$75</c:f>
              <c:numCache>
                <c:formatCode>#,##0</c:formatCode>
                <c:ptCount val="4"/>
                <c:pt idx="0">
                  <c:v>411.41666310676374</c:v>
                </c:pt>
                <c:pt idx="1">
                  <c:v>1206.6440467509283</c:v>
                </c:pt>
                <c:pt idx="2">
                  <c:v>1120.3354818081668</c:v>
                </c:pt>
                <c:pt idx="3">
                  <c:v>995.73204937029584</c:v>
                </c:pt>
              </c:numCache>
            </c:numRef>
          </c:val>
          <c:extLst>
            <c:ext xmlns:c16="http://schemas.microsoft.com/office/drawing/2014/chart" uri="{C3380CC4-5D6E-409C-BE32-E72D297353CC}">
              <c16:uniqueId val="{00000004-E760-4E1D-9826-DF547E03B09E}"/>
            </c:ext>
          </c:extLst>
        </c:ser>
        <c:dLbls>
          <c:showLegendKey val="0"/>
          <c:showVal val="0"/>
          <c:showCatName val="0"/>
          <c:showSerName val="0"/>
          <c:showPercent val="0"/>
          <c:showBubbleSize val="0"/>
        </c:dLbls>
        <c:gapWidth val="150"/>
        <c:overlap val="100"/>
        <c:axId val="219432064"/>
        <c:axId val="219433600"/>
      </c:barChart>
      <c:catAx>
        <c:axId val="219432064"/>
        <c:scaling>
          <c:orientation val="minMax"/>
        </c:scaling>
        <c:delete val="1"/>
        <c:axPos val="b"/>
        <c:numFmt formatCode="General" sourceLinked="0"/>
        <c:majorTickMark val="none"/>
        <c:minorTickMark val="none"/>
        <c:tickLblPos val="nextTo"/>
        <c:crossAx val="219433600"/>
        <c:crosses val="autoZero"/>
        <c:auto val="1"/>
        <c:lblAlgn val="ctr"/>
        <c:lblOffset val="100"/>
        <c:noMultiLvlLbl val="0"/>
      </c:catAx>
      <c:valAx>
        <c:axId val="219433600"/>
        <c:scaling>
          <c:orientation val="minMax"/>
        </c:scaling>
        <c:delete val="1"/>
        <c:axPos val="l"/>
        <c:numFmt formatCode="#,##0" sourceLinked="0"/>
        <c:majorTickMark val="out"/>
        <c:minorTickMark val="none"/>
        <c:tickLblPos val="nextTo"/>
        <c:crossAx val="219432064"/>
        <c:crosses val="autoZero"/>
        <c:crossBetween val="between"/>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printSettings>
    <c:headerFooter/>
    <c:pageMargins b="0.75000000000000822" l="0.70000000000000062" r="0.70000000000000062" t="0.75000000000000822"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85306839686398"/>
          <c:y val="0.10541783625730994"/>
          <c:w val="0.70338935238062361"/>
          <c:h val="0.49211666666666665"/>
        </c:manualLayout>
      </c:layout>
      <c:barChart>
        <c:barDir val="col"/>
        <c:grouping val="stacked"/>
        <c:varyColors val="0"/>
        <c:ser>
          <c:idx val="0"/>
          <c:order val="0"/>
          <c:tx>
            <c:strRef>
              <c:f>SA.!$D$78</c:f>
              <c:strCache>
                <c:ptCount val="1"/>
                <c:pt idx="0">
                  <c:v>Disposal</c:v>
                </c:pt>
              </c:strCache>
            </c:strRef>
          </c:tx>
          <c:spPr>
            <a:solidFill>
              <a:schemeClr val="accent3">
                <a:lumMod val="50000"/>
              </a:schemeClr>
            </a:solidFill>
          </c:spPr>
          <c:invertIfNegative val="0"/>
          <c:cat>
            <c:strRef>
              <c:f>SA.!$C$79:$C$87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SA.!$D$79:$D$87</c:f>
              <c:numCache>
                <c:formatCode>#,##0</c:formatCode>
                <c:ptCount val="9"/>
                <c:pt idx="0">
                  <c:v>216.51349157526997</c:v>
                </c:pt>
                <c:pt idx="1">
                  <c:v>22.368026567064788</c:v>
                </c:pt>
                <c:pt idx="2">
                  <c:v>262.10476497981568</c:v>
                </c:pt>
                <c:pt idx="3">
                  <c:v>47.743322809341784</c:v>
                </c:pt>
                <c:pt idx="4">
                  <c:v>46.994602273572326</c:v>
                </c:pt>
                <c:pt idx="5">
                  <c:v>12.481090176911927</c:v>
                </c:pt>
                <c:pt idx="6">
                  <c:v>21.184325190363271</c:v>
                </c:pt>
                <c:pt idx="7">
                  <c:v>338.39571923694712</c:v>
                </c:pt>
                <c:pt idx="8">
                  <c:v>0</c:v>
                </c:pt>
              </c:numCache>
            </c:numRef>
          </c:val>
          <c:extLst>
            <c:ext xmlns:c16="http://schemas.microsoft.com/office/drawing/2014/chart" uri="{C3380CC4-5D6E-409C-BE32-E72D297353CC}">
              <c16:uniqueId val="{00000000-FB66-472F-B08D-70B7DDD9B576}"/>
            </c:ext>
          </c:extLst>
        </c:ser>
        <c:ser>
          <c:idx val="1"/>
          <c:order val="1"/>
          <c:tx>
            <c:strRef>
              <c:f>SA.!$E$78</c:f>
              <c:strCache>
                <c:ptCount val="1"/>
                <c:pt idx="0">
                  <c:v>Recycling</c:v>
                </c:pt>
              </c:strCache>
            </c:strRef>
          </c:tx>
          <c:spPr>
            <a:solidFill>
              <a:srgbClr val="FFFF00"/>
            </a:solidFill>
          </c:spPr>
          <c:invertIfNegative val="0"/>
          <c:cat>
            <c:strRef>
              <c:f>SA.!$C$79:$C$87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SA.!$E$79:$E$87</c:f>
              <c:numCache>
                <c:formatCode>#,##0</c:formatCode>
                <c:ptCount val="9"/>
                <c:pt idx="0">
                  <c:v>1086.9000000000001</c:v>
                </c:pt>
                <c:pt idx="1">
                  <c:v>318</c:v>
                </c:pt>
                <c:pt idx="2">
                  <c:v>1018</c:v>
                </c:pt>
                <c:pt idx="3">
                  <c:v>232.8</c:v>
                </c:pt>
                <c:pt idx="4">
                  <c:v>21.2</c:v>
                </c:pt>
                <c:pt idx="5">
                  <c:v>61</c:v>
                </c:pt>
                <c:pt idx="6">
                  <c:v>22.5</c:v>
                </c:pt>
                <c:pt idx="7">
                  <c:v>397.89718123690994</c:v>
                </c:pt>
                <c:pt idx="8">
                  <c:v>146</c:v>
                </c:pt>
              </c:numCache>
            </c:numRef>
          </c:val>
          <c:extLst>
            <c:ext xmlns:c16="http://schemas.microsoft.com/office/drawing/2014/chart" uri="{C3380CC4-5D6E-409C-BE32-E72D297353CC}">
              <c16:uniqueId val="{00000001-FB66-472F-B08D-70B7DDD9B576}"/>
            </c:ext>
          </c:extLst>
        </c:ser>
        <c:ser>
          <c:idx val="2"/>
          <c:order val="2"/>
          <c:tx>
            <c:strRef>
              <c:f>SA.!$F$78</c:f>
              <c:strCache>
                <c:ptCount val="1"/>
                <c:pt idx="0">
                  <c:v>Energy recovery</c:v>
                </c:pt>
              </c:strCache>
            </c:strRef>
          </c:tx>
          <c:spPr>
            <a:solidFill>
              <a:schemeClr val="accent6">
                <a:lumMod val="75000"/>
              </a:schemeClr>
            </a:solidFill>
          </c:spPr>
          <c:invertIfNegative val="0"/>
          <c:cat>
            <c:strRef>
              <c:f>SA.!$C$79:$C$87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SA.!$F$79:$F$87</c:f>
              <c:numCache>
                <c:formatCode>#,##0</c:formatCode>
                <c:ptCount val="9"/>
                <c:pt idx="0">
                  <c:v>0</c:v>
                </c:pt>
                <c:pt idx="1">
                  <c:v>0</c:v>
                </c:pt>
                <c:pt idx="2">
                  <c:v>98.679187789410875</c:v>
                </c:pt>
                <c:pt idx="3">
                  <c:v>19.953485060532593</c:v>
                </c:pt>
                <c:pt idx="4">
                  <c:v>16.5</c:v>
                </c:pt>
                <c:pt idx="5">
                  <c:v>0</c:v>
                </c:pt>
                <c:pt idx="6">
                  <c:v>14.28970357771677</c:v>
                </c:pt>
                <c:pt idx="7">
                  <c:v>3.3420749452434039E-12</c:v>
                </c:pt>
                <c:pt idx="8">
                  <c:v>0</c:v>
                </c:pt>
              </c:numCache>
            </c:numRef>
          </c:val>
          <c:extLst>
            <c:ext xmlns:c16="http://schemas.microsoft.com/office/drawing/2014/chart" uri="{C3380CC4-5D6E-409C-BE32-E72D297353CC}">
              <c16:uniqueId val="{00000002-FB66-472F-B08D-70B7DDD9B576}"/>
            </c:ext>
          </c:extLst>
        </c:ser>
        <c:ser>
          <c:idx val="3"/>
          <c:order val="3"/>
          <c:tx>
            <c:strRef>
              <c:f>SA.!$H$78</c:f>
              <c:strCache>
                <c:ptCount val="1"/>
                <c:pt idx="0">
                  <c:v>Recovery rate</c:v>
                </c:pt>
              </c:strCache>
            </c:strRef>
          </c:tx>
          <c:spPr>
            <a:noFill/>
          </c:spPr>
          <c:invertIfNegative val="0"/>
          <c:dLbls>
            <c:dLbl>
              <c:idx val="0"/>
              <c:layout>
                <c:manualLayout>
                  <c:x val="0"/>
                  <c:y val="-2.44809941520467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66-472F-B08D-70B7DDD9B576}"/>
                </c:ext>
              </c:extLst>
            </c:dLbl>
            <c:dLbl>
              <c:idx val="1"/>
              <c:layout>
                <c:manualLayout>
                  <c:x val="0"/>
                  <c:y val="-2.41570175438596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66-472F-B08D-70B7DDD9B576}"/>
                </c:ext>
              </c:extLst>
            </c:dLbl>
            <c:dLbl>
              <c:idx val="2"/>
              <c:layout>
                <c:manualLayout>
                  <c:x val="2.1458502297918357E-3"/>
                  <c:y val="-2.41239766081871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66-472F-B08D-70B7DDD9B576}"/>
                </c:ext>
              </c:extLst>
            </c:dLbl>
            <c:dLbl>
              <c:idx val="3"/>
              <c:layout>
                <c:manualLayout>
                  <c:x val="-7.8680266171218451E-17"/>
                  <c:y val="-3.14850877192982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66-472F-B08D-70B7DDD9B576}"/>
                </c:ext>
              </c:extLst>
            </c:dLbl>
            <c:dLbl>
              <c:idx val="4"/>
              <c:layout>
                <c:manualLayout>
                  <c:x val="0"/>
                  <c:y val="-3.56122807017543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66-472F-B08D-70B7DDD9B576}"/>
                </c:ext>
              </c:extLst>
            </c:dLbl>
            <c:dLbl>
              <c:idx val="5"/>
              <c:layout>
                <c:manualLayout>
                  <c:x val="0"/>
                  <c:y val="-3.16210526315789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66-472F-B08D-70B7DDD9B576}"/>
                </c:ext>
              </c:extLst>
            </c:dLbl>
            <c:dLbl>
              <c:idx val="6"/>
              <c:layout>
                <c:manualLayout>
                  <c:x val="0"/>
                  <c:y val="-3.12935672514619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66-472F-B08D-70B7DDD9B576}"/>
                </c:ext>
              </c:extLst>
            </c:dLbl>
            <c:dLbl>
              <c:idx val="7"/>
              <c:layout>
                <c:manualLayout>
                  <c:x val="0"/>
                  <c:y val="-3.0583918128654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B66-472F-B08D-70B7DDD9B576}"/>
                </c:ext>
              </c:extLst>
            </c:dLbl>
            <c:dLbl>
              <c:idx val="8"/>
              <c:layout>
                <c:manualLayout>
                  <c:x val="0"/>
                  <c:y val="-2.44909356725146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66-472F-B08D-70B7DDD9B576}"/>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SA.!$H$79:$H$87</c:f>
              <c:numCache>
                <c:formatCode>0%</c:formatCode>
                <c:ptCount val="9"/>
                <c:pt idx="0">
                  <c:v>0.83388733278063776</c:v>
                </c:pt>
                <c:pt idx="1">
                  <c:v>0.93428282088459469</c:v>
                </c:pt>
                <c:pt idx="2">
                  <c:v>0.80990149729158811</c:v>
                </c:pt>
                <c:pt idx="3">
                  <c:v>0.8411187022325497</c:v>
                </c:pt>
                <c:pt idx="4">
                  <c:v>0.44512872116956287</c:v>
                </c:pt>
                <c:pt idx="5">
                  <c:v>0.83014554973446031</c:v>
                </c:pt>
                <c:pt idx="6">
                  <c:v>0.63458939044741425</c:v>
                </c:pt>
                <c:pt idx="7">
                  <c:v>0.54040610873856887</c:v>
                </c:pt>
                <c:pt idx="8">
                  <c:v>1</c:v>
                </c:pt>
              </c:numCache>
            </c:numRef>
          </c:val>
          <c:extLst>
            <c:ext xmlns:c16="http://schemas.microsoft.com/office/drawing/2014/chart" uri="{C3380CC4-5D6E-409C-BE32-E72D297353CC}">
              <c16:uniqueId val="{0000000C-FB66-472F-B08D-70B7DDD9B576}"/>
            </c:ext>
          </c:extLst>
        </c:ser>
        <c:dLbls>
          <c:showLegendKey val="0"/>
          <c:showVal val="0"/>
          <c:showCatName val="0"/>
          <c:showSerName val="0"/>
          <c:showPercent val="0"/>
          <c:showBubbleSize val="0"/>
        </c:dLbls>
        <c:gapWidth val="100"/>
        <c:overlap val="100"/>
        <c:axId val="219463040"/>
        <c:axId val="219477120"/>
      </c:barChart>
      <c:lineChart>
        <c:grouping val="stacked"/>
        <c:varyColors val="0"/>
        <c:ser>
          <c:idx val="6"/>
          <c:order val="4"/>
          <c:tx>
            <c:strRef>
              <c:f>SA.!$C$75</c:f>
              <c:strCache>
                <c:ptCount val="1"/>
                <c:pt idx="0">
                  <c:v>Generation (kg per capita)</c:v>
                </c:pt>
              </c:strCache>
            </c:strRef>
          </c:tx>
          <c:spPr>
            <a:ln>
              <a:noFill/>
            </a:ln>
          </c:spPr>
          <c:marker>
            <c:symbol val="none"/>
          </c:marker>
          <c:val>
            <c:numRef>
              <c:f>SA.!$L$79:$L$87</c:f>
              <c:numCache>
                <c:formatCode>#,##0</c:formatCode>
                <c:ptCount val="9"/>
                <c:pt idx="0">
                  <c:v>770.51882181435383</c:v>
                </c:pt>
                <c:pt idx="1">
                  <c:v>201.21010907810319</c:v>
                </c:pt>
                <c:pt idx="2">
                  <c:v>815.07441321657632</c:v>
                </c:pt>
                <c:pt idx="3">
                  <c:v>177.64005655568195</c:v>
                </c:pt>
                <c:pt idx="4">
                  <c:v>40.313549719687707</c:v>
                </c:pt>
                <c:pt idx="5">
                  <c:v>43.438681120540508</c:v>
                </c:pt>
                <c:pt idx="6">
                  <c:v>34.271611143310665</c:v>
                </c:pt>
                <c:pt idx="7">
                  <c:v>435.2629014893314</c:v>
                </c:pt>
                <c:pt idx="8">
                  <c:v>86.30856494276145</c:v>
                </c:pt>
              </c:numCache>
            </c:numRef>
          </c:val>
          <c:smooth val="0"/>
          <c:extLst>
            <c:ext xmlns:c16="http://schemas.microsoft.com/office/drawing/2014/chart" uri="{C3380CC4-5D6E-409C-BE32-E72D297353CC}">
              <c16:uniqueId val="{0000000D-FB66-472F-B08D-70B7DDD9B576}"/>
            </c:ext>
          </c:extLst>
        </c:ser>
        <c:dLbls>
          <c:showLegendKey val="0"/>
          <c:showVal val="0"/>
          <c:showCatName val="0"/>
          <c:showSerName val="0"/>
          <c:showPercent val="0"/>
          <c:showBubbleSize val="0"/>
        </c:dLbls>
        <c:marker val="1"/>
        <c:smooth val="0"/>
        <c:axId val="680694648"/>
        <c:axId val="680693336"/>
      </c:lineChart>
      <c:catAx>
        <c:axId val="219463040"/>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477120"/>
        <c:crosses val="autoZero"/>
        <c:auto val="1"/>
        <c:lblAlgn val="ctr"/>
        <c:lblOffset val="50"/>
        <c:noMultiLvlLbl val="0"/>
      </c:catAx>
      <c:valAx>
        <c:axId val="219477120"/>
        <c:scaling>
          <c:orientation val="minMax"/>
          <c:max val="1500"/>
        </c:scaling>
        <c:delete val="0"/>
        <c:axPos val="l"/>
        <c:majorGridlines>
          <c:spPr>
            <a:ln w="2540"/>
          </c:spPr>
        </c:majorGridlines>
        <c:title>
          <c:tx>
            <c:rich>
              <a:bodyPr/>
              <a:lstStyle/>
              <a:p>
                <a:pPr>
                  <a:defRPr/>
                </a:pPr>
                <a:r>
                  <a:rPr lang="en-AU"/>
                  <a:t>Kilotonnes (kt)</a:t>
                </a:r>
              </a:p>
            </c:rich>
          </c:tx>
          <c:layout>
            <c:manualLayout>
              <c:xMode val="edge"/>
              <c:yMode val="edge"/>
              <c:x val="8.4912983238713172E-2"/>
              <c:y val="0.20000087719298246"/>
            </c:manualLayout>
          </c:layout>
          <c:overlay val="0"/>
        </c:title>
        <c:numFmt formatCode="#,##0" sourceLinked="0"/>
        <c:majorTickMark val="out"/>
        <c:minorTickMark val="none"/>
        <c:tickLblPos val="nextTo"/>
        <c:spPr>
          <a:ln>
            <a:noFill/>
          </a:ln>
        </c:spPr>
        <c:crossAx val="219463040"/>
        <c:crosses val="autoZero"/>
        <c:crossBetween val="between"/>
        <c:majorUnit val="300"/>
      </c:valAx>
      <c:valAx>
        <c:axId val="680693336"/>
        <c:scaling>
          <c:orientation val="minMax"/>
        </c:scaling>
        <c:delete val="0"/>
        <c:axPos val="r"/>
        <c:title>
          <c:tx>
            <c:rich>
              <a:bodyPr/>
              <a:lstStyle/>
              <a:p>
                <a:pPr>
                  <a:defRPr/>
                </a:pPr>
                <a:r>
                  <a:rPr lang="en-AU"/>
                  <a:t>Kg per capita</a:t>
                </a:r>
              </a:p>
            </c:rich>
          </c:tx>
          <c:layout>
            <c:manualLayout>
              <c:xMode val="edge"/>
              <c:yMode val="edge"/>
              <c:x val="0.9582692957556096"/>
              <c:y val="0.20719473684210524"/>
            </c:manualLayout>
          </c:layout>
          <c:overlay val="0"/>
        </c:title>
        <c:numFmt formatCode="#,##0;\-#,##0;;" sourceLinked="0"/>
        <c:majorTickMark val="out"/>
        <c:minorTickMark val="none"/>
        <c:tickLblPos val="nextTo"/>
        <c:spPr>
          <a:ln>
            <a:noFill/>
          </a:ln>
        </c:spPr>
        <c:crossAx val="680694648"/>
        <c:crosses val="max"/>
        <c:crossBetween val="between"/>
        <c:majorUnit val="177"/>
      </c:valAx>
      <c:catAx>
        <c:axId val="680694648"/>
        <c:scaling>
          <c:orientation val="minMax"/>
        </c:scaling>
        <c:delete val="1"/>
        <c:axPos val="b"/>
        <c:majorTickMark val="out"/>
        <c:minorTickMark val="none"/>
        <c:tickLblPos val="nextTo"/>
        <c:crossAx val="680693336"/>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4503615842119495"/>
          <c:y val="1.1960233918128655E-2"/>
          <c:w val="0.43700656565656565"/>
          <c:h val="7.0880555555555558E-2"/>
        </c:manualLayout>
      </c:layout>
      <c:overlay val="0"/>
    </c:legend>
    <c:plotVisOnly val="1"/>
    <c:dispBlanksAs val="gap"/>
    <c:showDLblsOverMax val="0"/>
  </c:chart>
  <c:spPr>
    <a:ln>
      <a:noFill/>
    </a:ln>
  </c:spPr>
  <c:printSettings>
    <c:headerFooter/>
    <c:pageMargins b="0.75000000000000844" l="0.70000000000000062" r="0.70000000000000062" t="0.75000000000000844"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1535152724705"/>
          <c:y val="8.0557449704387885E-2"/>
          <c:w val="0.72450620821394462"/>
          <c:h val="0.23359453286202525"/>
        </c:manualLayout>
      </c:layout>
      <c:barChart>
        <c:barDir val="col"/>
        <c:grouping val="stacked"/>
        <c:varyColors val="0"/>
        <c:ser>
          <c:idx val="0"/>
          <c:order val="0"/>
          <c:tx>
            <c:strRef>
              <c:f>SA.!$N$75</c:f>
              <c:strCache>
                <c:ptCount val="1"/>
                <c:pt idx="0">
                  <c:v>Disposal (kt)</c:v>
                </c:pt>
              </c:strCache>
            </c:strRef>
          </c:tx>
          <c:spPr>
            <a:noFill/>
          </c:spPr>
          <c:invertIfNegative val="0"/>
          <c:cat>
            <c:strRef>
              <c:f>SA.!$B$79:$B$87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SA.!$D$79:$D$87</c:f>
              <c:numCache>
                <c:formatCode>#,##0</c:formatCode>
                <c:ptCount val="9"/>
                <c:pt idx="0">
                  <c:v>216.51349157526997</c:v>
                </c:pt>
                <c:pt idx="1">
                  <c:v>22.368026567064788</c:v>
                </c:pt>
                <c:pt idx="2">
                  <c:v>262.10476497981568</c:v>
                </c:pt>
                <c:pt idx="3">
                  <c:v>47.743322809341784</c:v>
                </c:pt>
                <c:pt idx="4">
                  <c:v>46.994602273572326</c:v>
                </c:pt>
                <c:pt idx="5">
                  <c:v>12.481090176911927</c:v>
                </c:pt>
                <c:pt idx="6">
                  <c:v>21.184325190363271</c:v>
                </c:pt>
                <c:pt idx="7">
                  <c:v>338.39571923694712</c:v>
                </c:pt>
                <c:pt idx="8">
                  <c:v>0</c:v>
                </c:pt>
              </c:numCache>
            </c:numRef>
          </c:val>
          <c:extLst>
            <c:ext xmlns:c16="http://schemas.microsoft.com/office/drawing/2014/chart" uri="{C3380CC4-5D6E-409C-BE32-E72D297353CC}">
              <c16:uniqueId val="{00000000-5D46-40A4-BAF1-161CEF80213D}"/>
            </c:ext>
          </c:extLst>
        </c:ser>
        <c:ser>
          <c:idx val="1"/>
          <c:order val="1"/>
          <c:tx>
            <c:strRef>
              <c:f>SA.!$O$75</c:f>
              <c:strCache>
                <c:ptCount val="1"/>
                <c:pt idx="0">
                  <c:v>Recycling (kt)</c:v>
                </c:pt>
              </c:strCache>
            </c:strRef>
          </c:tx>
          <c:spPr>
            <a:noFill/>
          </c:spPr>
          <c:invertIfNegative val="0"/>
          <c:cat>
            <c:strRef>
              <c:f>SA.!$B$79:$B$87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SA.!$E$79:$E$87</c:f>
              <c:numCache>
                <c:formatCode>#,##0</c:formatCode>
                <c:ptCount val="9"/>
                <c:pt idx="0">
                  <c:v>1086.9000000000001</c:v>
                </c:pt>
                <c:pt idx="1">
                  <c:v>318</c:v>
                </c:pt>
                <c:pt idx="2">
                  <c:v>1018</c:v>
                </c:pt>
                <c:pt idx="3">
                  <c:v>232.8</c:v>
                </c:pt>
                <c:pt idx="4">
                  <c:v>21.2</c:v>
                </c:pt>
                <c:pt idx="5">
                  <c:v>61</c:v>
                </c:pt>
                <c:pt idx="6">
                  <c:v>22.5</c:v>
                </c:pt>
                <c:pt idx="7">
                  <c:v>397.89718123690994</c:v>
                </c:pt>
                <c:pt idx="8">
                  <c:v>146</c:v>
                </c:pt>
              </c:numCache>
            </c:numRef>
          </c:val>
          <c:extLst>
            <c:ext xmlns:c16="http://schemas.microsoft.com/office/drawing/2014/chart" uri="{C3380CC4-5D6E-409C-BE32-E72D297353CC}">
              <c16:uniqueId val="{00000001-5D46-40A4-BAF1-161CEF80213D}"/>
            </c:ext>
          </c:extLst>
        </c:ser>
        <c:ser>
          <c:idx val="2"/>
          <c:order val="2"/>
          <c:tx>
            <c:strRef>
              <c:f>SA.!$P$75</c:f>
              <c:strCache>
                <c:ptCount val="1"/>
                <c:pt idx="0">
                  <c:v>En recovery (kt)</c:v>
                </c:pt>
              </c:strCache>
            </c:strRef>
          </c:tx>
          <c:spPr>
            <a:noFill/>
          </c:spPr>
          <c:invertIfNegative val="0"/>
          <c:cat>
            <c:strRef>
              <c:f>SA.!$B$79:$B$87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SA.!$F$79:$F$87</c:f>
              <c:numCache>
                <c:formatCode>#,##0</c:formatCode>
                <c:ptCount val="9"/>
                <c:pt idx="0">
                  <c:v>0</c:v>
                </c:pt>
                <c:pt idx="1">
                  <c:v>0</c:v>
                </c:pt>
                <c:pt idx="2">
                  <c:v>98.679187789410875</c:v>
                </c:pt>
                <c:pt idx="3">
                  <c:v>19.953485060532593</c:v>
                </c:pt>
                <c:pt idx="4">
                  <c:v>16.5</c:v>
                </c:pt>
                <c:pt idx="5">
                  <c:v>0</c:v>
                </c:pt>
                <c:pt idx="6">
                  <c:v>14.28970357771677</c:v>
                </c:pt>
                <c:pt idx="7">
                  <c:v>3.3420749452434039E-12</c:v>
                </c:pt>
                <c:pt idx="8">
                  <c:v>0</c:v>
                </c:pt>
              </c:numCache>
            </c:numRef>
          </c:val>
          <c:extLst>
            <c:ext xmlns:c16="http://schemas.microsoft.com/office/drawing/2014/chart" uri="{C3380CC4-5D6E-409C-BE32-E72D297353CC}">
              <c16:uniqueId val="{00000002-5D46-40A4-BAF1-161CEF80213D}"/>
            </c:ext>
          </c:extLst>
        </c:ser>
        <c:ser>
          <c:idx val="4"/>
          <c:order val="3"/>
          <c:tx>
            <c:strRef>
              <c:f>SA.!$Q$75</c:f>
              <c:strCache>
                <c:ptCount val="1"/>
                <c:pt idx="0">
                  <c:v>Generation (kt)</c:v>
                </c:pt>
              </c:strCache>
            </c:strRef>
          </c:tx>
          <c:spPr>
            <a:noFill/>
            <a:ln>
              <a:noFill/>
            </a:ln>
          </c:spPr>
          <c:invertIfNegative val="0"/>
          <c:cat>
            <c:strRef>
              <c:f>SA.!$B$79:$B$87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SA.!$G$79:$G$87</c:f>
              <c:numCache>
                <c:formatCode>#,##0</c:formatCode>
                <c:ptCount val="9"/>
                <c:pt idx="0">
                  <c:v>1303.41349157527</c:v>
                </c:pt>
                <c:pt idx="1">
                  <c:v>340.36802656706482</c:v>
                </c:pt>
                <c:pt idx="2">
                  <c:v>1378.7839527692265</c:v>
                </c:pt>
                <c:pt idx="3">
                  <c:v>300.49680786987443</c:v>
                </c:pt>
                <c:pt idx="4">
                  <c:v>84.694602273572329</c:v>
                </c:pt>
                <c:pt idx="5">
                  <c:v>73.48109017691192</c:v>
                </c:pt>
                <c:pt idx="6">
                  <c:v>57.974028768080039</c:v>
                </c:pt>
                <c:pt idx="7">
                  <c:v>736.29290047386041</c:v>
                </c:pt>
                <c:pt idx="8">
                  <c:v>146</c:v>
                </c:pt>
              </c:numCache>
            </c:numRef>
          </c:val>
          <c:extLst>
            <c:ext xmlns:c16="http://schemas.microsoft.com/office/drawing/2014/chart" uri="{C3380CC4-5D6E-409C-BE32-E72D297353CC}">
              <c16:uniqueId val="{00000003-5D46-40A4-BAF1-161CEF80213D}"/>
            </c:ext>
          </c:extLst>
        </c:ser>
        <c:ser>
          <c:idx val="3"/>
          <c:order val="4"/>
          <c:tx>
            <c:strRef>
              <c:f>SA.!$R$75</c:f>
              <c:strCache>
                <c:ptCount val="1"/>
                <c:pt idx="0">
                  <c:v>Generation (kg/cap)</c:v>
                </c:pt>
              </c:strCache>
            </c:strRef>
          </c:tx>
          <c:spPr>
            <a:noFill/>
          </c:spPr>
          <c:invertIfNegative val="0"/>
          <c:cat>
            <c:strRef>
              <c:f>SA.!$B$79:$B$87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SA.!$L$79:$L$87</c:f>
              <c:numCache>
                <c:formatCode>#,##0</c:formatCode>
                <c:ptCount val="9"/>
                <c:pt idx="0">
                  <c:v>770.51882181435383</c:v>
                </c:pt>
                <c:pt idx="1">
                  <c:v>201.21010907810319</c:v>
                </c:pt>
                <c:pt idx="2">
                  <c:v>815.07441321657632</c:v>
                </c:pt>
                <c:pt idx="3">
                  <c:v>177.64005655568195</c:v>
                </c:pt>
                <c:pt idx="4">
                  <c:v>40.313549719687707</c:v>
                </c:pt>
                <c:pt idx="5">
                  <c:v>43.438681120540508</c:v>
                </c:pt>
                <c:pt idx="6">
                  <c:v>34.271611143310665</c:v>
                </c:pt>
                <c:pt idx="7">
                  <c:v>435.2629014893314</c:v>
                </c:pt>
                <c:pt idx="8">
                  <c:v>86.30856494276145</c:v>
                </c:pt>
              </c:numCache>
            </c:numRef>
          </c:val>
          <c:extLst>
            <c:ext xmlns:c16="http://schemas.microsoft.com/office/drawing/2014/chart" uri="{C3380CC4-5D6E-409C-BE32-E72D297353CC}">
              <c16:uniqueId val="{00000004-5D46-40A4-BAF1-161CEF80213D}"/>
            </c:ext>
          </c:extLst>
        </c:ser>
        <c:dLbls>
          <c:showLegendKey val="0"/>
          <c:showVal val="0"/>
          <c:showCatName val="0"/>
          <c:showSerName val="0"/>
          <c:showPercent val="0"/>
          <c:showBubbleSize val="0"/>
        </c:dLbls>
        <c:gapWidth val="150"/>
        <c:overlap val="100"/>
        <c:axId val="220093056"/>
        <c:axId val="220111232"/>
      </c:barChart>
      <c:catAx>
        <c:axId val="220093056"/>
        <c:scaling>
          <c:orientation val="minMax"/>
        </c:scaling>
        <c:delete val="1"/>
        <c:axPos val="b"/>
        <c:numFmt formatCode="General" sourceLinked="0"/>
        <c:majorTickMark val="none"/>
        <c:minorTickMark val="none"/>
        <c:tickLblPos val="nextTo"/>
        <c:crossAx val="220111232"/>
        <c:crosses val="autoZero"/>
        <c:auto val="1"/>
        <c:lblAlgn val="ctr"/>
        <c:lblOffset val="100"/>
        <c:noMultiLvlLbl val="0"/>
      </c:catAx>
      <c:valAx>
        <c:axId val="220111232"/>
        <c:scaling>
          <c:orientation val="minMax"/>
        </c:scaling>
        <c:delete val="1"/>
        <c:axPos val="l"/>
        <c:numFmt formatCode="#,##0" sourceLinked="0"/>
        <c:majorTickMark val="out"/>
        <c:minorTickMark val="none"/>
        <c:tickLblPos val="nextTo"/>
        <c:crossAx val="220093056"/>
        <c:crosses val="autoZero"/>
        <c:crossBetween val="between"/>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844" l="0.70000000000000062" r="0.70000000000000062" t="0.7500000000000084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69535685320356"/>
          <c:y val="8.6951461988304099E-2"/>
          <c:w val="0.63679981075966474"/>
          <c:h val="0.45307953216374275"/>
        </c:manualLayout>
      </c:layout>
      <c:barChart>
        <c:barDir val="col"/>
        <c:grouping val="stacked"/>
        <c:varyColors val="0"/>
        <c:ser>
          <c:idx val="0"/>
          <c:order val="0"/>
          <c:tx>
            <c:strRef>
              <c:f>SA.!$C$70</c:f>
              <c:strCache>
                <c:ptCount val="1"/>
                <c:pt idx="0">
                  <c:v>Disposal</c:v>
                </c:pt>
              </c:strCache>
            </c:strRef>
          </c:tx>
          <c:spPr>
            <a:solidFill>
              <a:schemeClr val="accent3">
                <a:lumMod val="50000"/>
              </a:schemeClr>
            </a:solidFill>
          </c:spPr>
          <c:invertIfNegative val="0"/>
          <c:cat>
            <c:strRef>
              <c:f>SA.!$H$67:$J$67</c:f>
              <c:strCache>
                <c:ptCount val="3"/>
                <c:pt idx="0">
                  <c:v>Total</c:v>
                </c:pt>
                <c:pt idx="1">
                  <c:v>Total excl. fly ash</c:v>
                </c:pt>
                <c:pt idx="2">
                  <c:v>Total excl. fly ash &amp; hazwaste</c:v>
                </c:pt>
              </c:strCache>
            </c:strRef>
          </c:cat>
          <c:val>
            <c:numRef>
              <c:f>SA.!$H$70:$J$70</c:f>
              <c:numCache>
                <c:formatCode>#,##0</c:formatCode>
                <c:ptCount val="3"/>
                <c:pt idx="0">
                  <c:v>967.78534280928682</c:v>
                </c:pt>
                <c:pt idx="1">
                  <c:v>967.78534280928682</c:v>
                </c:pt>
                <c:pt idx="2">
                  <c:v>629.3896235723397</c:v>
                </c:pt>
              </c:numCache>
            </c:numRef>
          </c:val>
          <c:extLst>
            <c:ext xmlns:c16="http://schemas.microsoft.com/office/drawing/2014/chart" uri="{C3380CC4-5D6E-409C-BE32-E72D297353CC}">
              <c16:uniqueId val="{00000000-D2B9-46C3-8AC9-FFE3D342FD04}"/>
            </c:ext>
          </c:extLst>
        </c:ser>
        <c:ser>
          <c:idx val="1"/>
          <c:order val="1"/>
          <c:tx>
            <c:strRef>
              <c:f>SA.!$C$71</c:f>
              <c:strCache>
                <c:ptCount val="1"/>
                <c:pt idx="0">
                  <c:v>Recycling</c:v>
                </c:pt>
              </c:strCache>
            </c:strRef>
          </c:tx>
          <c:spPr>
            <a:solidFill>
              <a:srgbClr val="FFFF00"/>
            </a:solidFill>
          </c:spPr>
          <c:invertIfNegative val="0"/>
          <c:cat>
            <c:strRef>
              <c:f>SA.!$H$67:$J$67</c:f>
              <c:strCache>
                <c:ptCount val="3"/>
                <c:pt idx="0">
                  <c:v>Total</c:v>
                </c:pt>
                <c:pt idx="1">
                  <c:v>Total excl. fly ash</c:v>
                </c:pt>
                <c:pt idx="2">
                  <c:v>Total excl. fly ash &amp; hazwaste</c:v>
                </c:pt>
              </c:strCache>
            </c:strRef>
          </c:cat>
          <c:val>
            <c:numRef>
              <c:f>SA.!$H$71:$J$71</c:f>
              <c:numCache>
                <c:formatCode>#,##0</c:formatCode>
                <c:ptCount val="3"/>
                <c:pt idx="0">
                  <c:v>3304.2971812369096</c:v>
                </c:pt>
                <c:pt idx="1">
                  <c:v>3158.2971812369096</c:v>
                </c:pt>
                <c:pt idx="2">
                  <c:v>2760.4</c:v>
                </c:pt>
              </c:numCache>
            </c:numRef>
          </c:val>
          <c:extLst>
            <c:ext xmlns:c16="http://schemas.microsoft.com/office/drawing/2014/chart" uri="{C3380CC4-5D6E-409C-BE32-E72D297353CC}">
              <c16:uniqueId val="{00000001-D2B9-46C3-8AC9-FFE3D342FD04}"/>
            </c:ext>
          </c:extLst>
        </c:ser>
        <c:ser>
          <c:idx val="2"/>
          <c:order val="2"/>
          <c:tx>
            <c:strRef>
              <c:f>SA.!$C$72</c:f>
              <c:strCache>
                <c:ptCount val="1"/>
                <c:pt idx="0">
                  <c:v>Energy recovery</c:v>
                </c:pt>
              </c:strCache>
            </c:strRef>
          </c:tx>
          <c:spPr>
            <a:solidFill>
              <a:schemeClr val="accent6">
                <a:lumMod val="75000"/>
              </a:schemeClr>
            </a:solidFill>
          </c:spPr>
          <c:invertIfNegative val="0"/>
          <c:cat>
            <c:strRef>
              <c:f>SA.!$H$67:$J$67</c:f>
              <c:strCache>
                <c:ptCount val="3"/>
                <c:pt idx="0">
                  <c:v>Total</c:v>
                </c:pt>
                <c:pt idx="1">
                  <c:v>Total excl. fly ash</c:v>
                </c:pt>
                <c:pt idx="2">
                  <c:v>Total excl. fly ash &amp; hazwaste</c:v>
                </c:pt>
              </c:strCache>
            </c:strRef>
          </c:cat>
          <c:val>
            <c:numRef>
              <c:f>SA.!$H$72:$J$72</c:f>
              <c:numCache>
                <c:formatCode>#,##0</c:formatCode>
                <c:ptCount val="3"/>
                <c:pt idx="0">
                  <c:v>149.42237642766358</c:v>
                </c:pt>
                <c:pt idx="1">
                  <c:v>149.42237642766358</c:v>
                </c:pt>
                <c:pt idx="2">
                  <c:v>149.42237642766023</c:v>
                </c:pt>
              </c:numCache>
            </c:numRef>
          </c:val>
          <c:extLst>
            <c:ext xmlns:c16="http://schemas.microsoft.com/office/drawing/2014/chart" uri="{C3380CC4-5D6E-409C-BE32-E72D297353CC}">
              <c16:uniqueId val="{00000002-D2B9-46C3-8AC9-FFE3D342FD04}"/>
            </c:ext>
          </c:extLst>
        </c:ser>
        <c:ser>
          <c:idx val="3"/>
          <c:order val="3"/>
          <c:tx>
            <c:strRef>
              <c:f>SA.!$C$73</c:f>
              <c:strCache>
                <c:ptCount val="1"/>
                <c:pt idx="0">
                  <c:v>Recovery rate</c:v>
                </c:pt>
              </c:strCache>
            </c:strRef>
          </c:tx>
          <c:spPr>
            <a:noFill/>
          </c:spPr>
          <c:invertIfNegative val="0"/>
          <c:dLbls>
            <c:dLbl>
              <c:idx val="0"/>
              <c:layout>
                <c:manualLayout>
                  <c:x val="0"/>
                  <c:y val="6.79269005847953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B8-41F7-A70C-03858E721872}"/>
                </c:ext>
              </c:extLst>
            </c:dLbl>
            <c:dLbl>
              <c:idx val="1"/>
              <c:layout>
                <c:manualLayout>
                  <c:x val="-7.8680266171218451E-17"/>
                  <c:y val="1.01415204678362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B8-41F7-A70C-03858E721872}"/>
                </c:ext>
              </c:extLst>
            </c:dLbl>
            <c:dLbl>
              <c:idx val="2"/>
              <c:layout>
                <c:manualLayout>
                  <c:x val="0"/>
                  <c:y val="1.63961988304093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B9-46C3-8AC9-FFE3D342FD04}"/>
                </c:ext>
              </c:extLst>
            </c:dLbl>
            <c:numFmt formatCode="0%" sourceLinked="0"/>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SA.!$H$67:$J$67</c:f>
              <c:strCache>
                <c:ptCount val="3"/>
                <c:pt idx="0">
                  <c:v>Total</c:v>
                </c:pt>
                <c:pt idx="1">
                  <c:v>Total excl. fly ash</c:v>
                </c:pt>
                <c:pt idx="2">
                  <c:v>Total excl. fly ash &amp; hazwaste</c:v>
                </c:pt>
              </c:strCache>
            </c:strRef>
          </c:cat>
          <c:val>
            <c:numRef>
              <c:f>SA.!$O$73:$Q$73</c:f>
              <c:numCache>
                <c:formatCode>0%</c:formatCode>
                <c:ptCount val="3"/>
                <c:pt idx="0">
                  <c:v>781.11856379361518</c:v>
                </c:pt>
                <c:pt idx="1">
                  <c:v>773.64419750705326</c:v>
                </c:pt>
                <c:pt idx="2">
                  <c:v>822.16673554103579</c:v>
                </c:pt>
              </c:numCache>
            </c:numRef>
          </c:val>
          <c:extLst>
            <c:ext xmlns:c16="http://schemas.microsoft.com/office/drawing/2014/chart" uri="{C3380CC4-5D6E-409C-BE32-E72D297353CC}">
              <c16:uniqueId val="{00000005-D2B9-46C3-8AC9-FFE3D342FD04}"/>
            </c:ext>
          </c:extLst>
        </c:ser>
        <c:dLbls>
          <c:showLegendKey val="0"/>
          <c:showVal val="0"/>
          <c:showCatName val="0"/>
          <c:showSerName val="0"/>
          <c:showPercent val="0"/>
          <c:showBubbleSize val="0"/>
        </c:dLbls>
        <c:gapWidth val="270"/>
        <c:overlap val="100"/>
        <c:axId val="219543040"/>
        <c:axId val="219544576"/>
      </c:barChart>
      <c:lineChart>
        <c:grouping val="stacked"/>
        <c:varyColors val="0"/>
        <c:ser>
          <c:idx val="4"/>
          <c:order val="4"/>
          <c:tx>
            <c:v>disposal per cap</c:v>
          </c:tx>
          <c:spPr>
            <a:ln>
              <a:noFill/>
            </a:ln>
          </c:spPr>
          <c:marker>
            <c:symbol val="none"/>
          </c:marker>
          <c:val>
            <c:numRef>
              <c:f>SA.!$K$70:$M$70</c:f>
              <c:numCache>
                <c:formatCode>#,##0</c:formatCode>
                <c:ptCount val="3"/>
                <c:pt idx="0">
                  <c:v>572.11071308567114</c:v>
                </c:pt>
                <c:pt idx="1">
                  <c:v>572.11071308567114</c:v>
                </c:pt>
                <c:pt idx="2">
                  <c:v>372.0665424684484</c:v>
                </c:pt>
              </c:numCache>
            </c:numRef>
          </c:val>
          <c:smooth val="0"/>
          <c:extLst>
            <c:ext xmlns:c16="http://schemas.microsoft.com/office/drawing/2014/chart" uri="{C3380CC4-5D6E-409C-BE32-E72D297353CC}">
              <c16:uniqueId val="{00000006-D2B9-46C3-8AC9-FFE3D342FD04}"/>
            </c:ext>
          </c:extLst>
        </c:ser>
        <c:ser>
          <c:idx val="5"/>
          <c:order val="5"/>
          <c:tx>
            <c:v>recycling per cap</c:v>
          </c:tx>
          <c:spPr>
            <a:ln>
              <a:noFill/>
            </a:ln>
          </c:spPr>
          <c:marker>
            <c:symbol val="none"/>
          </c:marker>
          <c:val>
            <c:numRef>
              <c:f>SA.!$K$71:$M$71</c:f>
              <c:numCache>
                <c:formatCode>#,##0</c:formatCode>
                <c:ptCount val="3"/>
                <c:pt idx="0">
                  <c:v>1953.350327787462</c:v>
                </c:pt>
                <c:pt idx="1">
                  <c:v>1867.0417628447005</c:v>
                </c:pt>
                <c:pt idx="2">
                  <c:v>1631.8230319725942</c:v>
                </c:pt>
              </c:numCache>
            </c:numRef>
          </c:val>
          <c:smooth val="0"/>
          <c:extLst>
            <c:ext xmlns:c16="http://schemas.microsoft.com/office/drawing/2014/chart" uri="{C3380CC4-5D6E-409C-BE32-E72D297353CC}">
              <c16:uniqueId val="{00000007-D2B9-46C3-8AC9-FFE3D342FD04}"/>
            </c:ext>
          </c:extLst>
        </c:ser>
        <c:ser>
          <c:idx val="6"/>
          <c:order val="6"/>
          <c:tx>
            <c:v>en recov per cap</c:v>
          </c:tx>
          <c:spPr>
            <a:ln>
              <a:noFill/>
            </a:ln>
          </c:spPr>
          <c:marker>
            <c:symbol val="none"/>
          </c:marker>
          <c:val>
            <c:numRef>
              <c:f>SA.!$K$72:$M$72</c:f>
              <c:numCache>
                <c:formatCode>#,##0</c:formatCode>
                <c:ptCount val="3"/>
                <c:pt idx="0">
                  <c:v>88.331718354854459</c:v>
                </c:pt>
                <c:pt idx="1">
                  <c:v>88.331718354854502</c:v>
                </c:pt>
                <c:pt idx="2">
                  <c:v>88.331718354852484</c:v>
                </c:pt>
              </c:numCache>
            </c:numRef>
          </c:val>
          <c:smooth val="0"/>
          <c:extLst>
            <c:ext xmlns:c16="http://schemas.microsoft.com/office/drawing/2014/chart" uri="{C3380CC4-5D6E-409C-BE32-E72D297353CC}">
              <c16:uniqueId val="{00000008-D2B9-46C3-8AC9-FFE3D342FD04}"/>
            </c:ext>
          </c:extLst>
        </c:ser>
        <c:dLbls>
          <c:showLegendKey val="0"/>
          <c:showVal val="0"/>
          <c:showCatName val="0"/>
          <c:showSerName val="0"/>
          <c:showPercent val="0"/>
          <c:showBubbleSize val="0"/>
        </c:dLbls>
        <c:marker val="1"/>
        <c:smooth val="0"/>
        <c:axId val="219687936"/>
        <c:axId val="219686016"/>
      </c:lineChart>
      <c:catAx>
        <c:axId val="219543040"/>
        <c:scaling>
          <c:orientation val="minMax"/>
        </c:scaling>
        <c:delete val="0"/>
        <c:axPos val="b"/>
        <c:numFmt formatCode="General" sourceLinked="0"/>
        <c:majorTickMark val="none"/>
        <c:minorTickMark val="none"/>
        <c:tickLblPos val="nextTo"/>
        <c:spPr>
          <a:ln w="2540"/>
        </c:spPr>
        <c:crossAx val="219544576"/>
        <c:crosses val="autoZero"/>
        <c:auto val="1"/>
        <c:lblAlgn val="ctr"/>
        <c:lblOffset val="50"/>
        <c:noMultiLvlLbl val="0"/>
      </c:catAx>
      <c:valAx>
        <c:axId val="219544576"/>
        <c:scaling>
          <c:orientation val="minMax"/>
          <c:max val="5000"/>
        </c:scaling>
        <c:delete val="0"/>
        <c:axPos val="l"/>
        <c:majorGridlines>
          <c:spPr>
            <a:ln w="2540"/>
          </c:spPr>
        </c:majorGridlines>
        <c:title>
          <c:tx>
            <c:rich>
              <a:bodyPr/>
              <a:lstStyle/>
              <a:p>
                <a:pPr>
                  <a:defRPr/>
                </a:pPr>
                <a:r>
                  <a:rPr lang="en-US"/>
                  <a:t>Megatonnes</a:t>
                </a:r>
              </a:p>
            </c:rich>
          </c:tx>
          <c:layout>
            <c:manualLayout>
              <c:xMode val="edge"/>
              <c:yMode val="edge"/>
              <c:x val="0.14665044606650446"/>
              <c:y val="0.17782514619883041"/>
            </c:manualLayout>
          </c:layout>
          <c:overlay val="0"/>
        </c:title>
        <c:numFmt formatCode="#,##0" sourceLinked="0"/>
        <c:majorTickMark val="out"/>
        <c:minorTickMark val="none"/>
        <c:tickLblPos val="nextTo"/>
        <c:spPr>
          <a:ln>
            <a:noFill/>
          </a:ln>
        </c:spPr>
        <c:crossAx val="219543040"/>
        <c:crosses val="autoZero"/>
        <c:crossBetween val="between"/>
        <c:majorUnit val="1000"/>
        <c:dispUnits>
          <c:builtInUnit val="thousands"/>
        </c:dispUnits>
      </c:valAx>
      <c:valAx>
        <c:axId val="219686016"/>
        <c:scaling>
          <c:orientation val="minMax"/>
          <c:min val="0"/>
        </c:scaling>
        <c:delete val="0"/>
        <c:axPos val="r"/>
        <c:title>
          <c:tx>
            <c:rich>
              <a:bodyPr/>
              <a:lstStyle/>
              <a:p>
                <a:pPr>
                  <a:defRPr/>
                </a:pPr>
                <a:r>
                  <a:rPr lang="en-US"/>
                  <a:t>Kg per capita</a:t>
                </a:r>
              </a:p>
            </c:rich>
          </c:tx>
          <c:layout>
            <c:manualLayout>
              <c:xMode val="edge"/>
              <c:yMode val="edge"/>
              <c:x val="0.9472445255474452"/>
              <c:y val="0.18574093567251462"/>
            </c:manualLayout>
          </c:layout>
          <c:overlay val="0"/>
        </c:title>
        <c:numFmt formatCode="#,##0" sourceLinked="0"/>
        <c:majorTickMark val="out"/>
        <c:minorTickMark val="none"/>
        <c:tickLblPos val="nextTo"/>
        <c:spPr>
          <a:ln>
            <a:noFill/>
          </a:ln>
        </c:spPr>
        <c:crossAx val="219687936"/>
        <c:crosses val="max"/>
        <c:crossBetween val="between"/>
        <c:majorUnit val="590"/>
      </c:valAx>
      <c:catAx>
        <c:axId val="219687936"/>
        <c:scaling>
          <c:orientation val="minMax"/>
        </c:scaling>
        <c:delete val="1"/>
        <c:axPos val="b"/>
        <c:majorTickMark val="out"/>
        <c:minorTickMark val="none"/>
        <c:tickLblPos val="nextTo"/>
        <c:crossAx val="219686016"/>
        <c:crosses val="autoZero"/>
        <c:auto val="1"/>
        <c:lblAlgn val="ctr"/>
        <c:lblOffset val="100"/>
        <c:noMultiLvlLbl val="0"/>
      </c:catAx>
    </c:plotArea>
    <c:legend>
      <c:legendPos val="t"/>
      <c:legendEntry>
        <c:idx val="3"/>
        <c:delete val="1"/>
      </c:legendEntry>
      <c:legendEntry>
        <c:idx val="4"/>
        <c:delete val="1"/>
      </c:legendEntry>
      <c:legendEntry>
        <c:idx val="5"/>
        <c:delete val="1"/>
      </c:legendEntry>
      <c:legendEntry>
        <c:idx val="6"/>
        <c:delete val="1"/>
      </c:legendEntry>
      <c:layout>
        <c:manualLayout>
          <c:xMode val="edge"/>
          <c:yMode val="edge"/>
          <c:x val="0.30593876723438768"/>
          <c:y val="1.2923391812865496E-2"/>
          <c:w val="0.50702679538284368"/>
          <c:h val="6.0088620727098134E-2"/>
        </c:manualLayout>
      </c:layout>
      <c:overlay val="1"/>
    </c:legend>
    <c:plotVisOnly val="1"/>
    <c:dispBlanksAs val="gap"/>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9785077047851"/>
          <c:y val="0.10985614035087721"/>
          <c:w val="0.62359730639730637"/>
          <c:h val="0.52939678362573095"/>
        </c:manualLayout>
      </c:layout>
      <c:barChart>
        <c:barDir val="col"/>
        <c:grouping val="stacked"/>
        <c:varyColors val="0"/>
        <c:ser>
          <c:idx val="0"/>
          <c:order val="0"/>
          <c:tx>
            <c:strRef>
              <c:f>ACT.!$C$70</c:f>
              <c:strCache>
                <c:ptCount val="1"/>
                <c:pt idx="0">
                  <c:v>Disposal</c:v>
                </c:pt>
              </c:strCache>
            </c:strRef>
          </c:tx>
          <c:spPr>
            <a:solidFill>
              <a:schemeClr val="accent3">
                <a:lumMod val="50000"/>
              </a:schemeClr>
            </a:solidFill>
          </c:spPr>
          <c:invertIfNegative val="0"/>
          <c:cat>
            <c:strRef>
              <c:f>(ACT.!$D$69:$E$69,ACT.!$G$69)</c:f>
              <c:strCache>
                <c:ptCount val="3"/>
                <c:pt idx="0">
                  <c:v>MSW</c:v>
                </c:pt>
                <c:pt idx="1">
                  <c:v>C&amp;I</c:v>
                </c:pt>
                <c:pt idx="2">
                  <c:v>C&amp;D</c:v>
                </c:pt>
              </c:strCache>
            </c:strRef>
          </c:cat>
          <c:val>
            <c:numRef>
              <c:f>(ACT.!$D$70,ACT.!$F$70:$G$70)</c:f>
              <c:numCache>
                <c:formatCode>#,##0</c:formatCode>
                <c:ptCount val="3"/>
                <c:pt idx="0">
                  <c:v>67.001302711298308</c:v>
                </c:pt>
                <c:pt idx="1">
                  <c:v>103.69036058581079</c:v>
                </c:pt>
                <c:pt idx="2">
                  <c:v>19.83107724066554</c:v>
                </c:pt>
              </c:numCache>
            </c:numRef>
          </c:val>
          <c:extLst>
            <c:ext xmlns:c16="http://schemas.microsoft.com/office/drawing/2014/chart" uri="{C3380CC4-5D6E-409C-BE32-E72D297353CC}">
              <c16:uniqueId val="{00000000-CC5D-45BB-A704-9D61C3D09A34}"/>
            </c:ext>
          </c:extLst>
        </c:ser>
        <c:ser>
          <c:idx val="1"/>
          <c:order val="1"/>
          <c:tx>
            <c:strRef>
              <c:f>ACT.!$C$71</c:f>
              <c:strCache>
                <c:ptCount val="1"/>
                <c:pt idx="0">
                  <c:v>Recycling</c:v>
                </c:pt>
              </c:strCache>
            </c:strRef>
          </c:tx>
          <c:spPr>
            <a:solidFill>
              <a:srgbClr val="FFFF00"/>
            </a:solidFill>
          </c:spPr>
          <c:invertIfNegative val="0"/>
          <c:cat>
            <c:strRef>
              <c:f>(ACT.!$D$69:$E$69,ACT.!$G$69)</c:f>
              <c:strCache>
                <c:ptCount val="3"/>
                <c:pt idx="0">
                  <c:v>MSW</c:v>
                </c:pt>
                <c:pt idx="1">
                  <c:v>C&amp;I</c:v>
                </c:pt>
                <c:pt idx="2">
                  <c:v>C&amp;D</c:v>
                </c:pt>
              </c:strCache>
            </c:strRef>
          </c:cat>
          <c:val>
            <c:numRef>
              <c:f>(ACT.!$D$71,ACT.!$F$71:$G$71)</c:f>
              <c:numCache>
                <c:formatCode>#,##0</c:formatCode>
                <c:ptCount val="3"/>
                <c:pt idx="0">
                  <c:v>98.60514560578055</c:v>
                </c:pt>
                <c:pt idx="1">
                  <c:v>238.07849464405479</c:v>
                </c:pt>
                <c:pt idx="2">
                  <c:v>210.44695189813496</c:v>
                </c:pt>
              </c:numCache>
            </c:numRef>
          </c:val>
          <c:extLst>
            <c:ext xmlns:c16="http://schemas.microsoft.com/office/drawing/2014/chart" uri="{C3380CC4-5D6E-409C-BE32-E72D297353CC}">
              <c16:uniqueId val="{00000001-CC5D-45BB-A704-9D61C3D09A34}"/>
            </c:ext>
          </c:extLst>
        </c:ser>
        <c:ser>
          <c:idx val="2"/>
          <c:order val="2"/>
          <c:tx>
            <c:strRef>
              <c:f>ACT.!$C$72</c:f>
              <c:strCache>
                <c:ptCount val="1"/>
                <c:pt idx="0">
                  <c:v>Energy recovery</c:v>
                </c:pt>
              </c:strCache>
            </c:strRef>
          </c:tx>
          <c:spPr>
            <a:solidFill>
              <a:schemeClr val="accent6">
                <a:lumMod val="75000"/>
              </a:schemeClr>
            </a:solidFill>
          </c:spPr>
          <c:invertIfNegative val="0"/>
          <c:cat>
            <c:strRef>
              <c:f>(ACT.!$D$69:$E$69,ACT.!$G$69)</c:f>
              <c:strCache>
                <c:ptCount val="3"/>
                <c:pt idx="0">
                  <c:v>MSW</c:v>
                </c:pt>
                <c:pt idx="1">
                  <c:v>C&amp;I</c:v>
                </c:pt>
                <c:pt idx="2">
                  <c:v>C&amp;D</c:v>
                </c:pt>
              </c:strCache>
            </c:strRef>
          </c:cat>
          <c:val>
            <c:numRef>
              <c:f>(ACT.!$D$72,ACT.!$F$72:$G$72)</c:f>
              <c:numCache>
                <c:formatCode>#,##0</c:formatCode>
                <c:ptCount val="3"/>
                <c:pt idx="0">
                  <c:v>18.458074077713455</c:v>
                </c:pt>
                <c:pt idx="1">
                  <c:v>17.63611597009228</c:v>
                </c:pt>
                <c:pt idx="2">
                  <c:v>0.90879590613944439</c:v>
                </c:pt>
              </c:numCache>
            </c:numRef>
          </c:val>
          <c:extLst>
            <c:ext xmlns:c16="http://schemas.microsoft.com/office/drawing/2014/chart" uri="{C3380CC4-5D6E-409C-BE32-E72D297353CC}">
              <c16:uniqueId val="{00000002-CC5D-45BB-A704-9D61C3D09A34}"/>
            </c:ext>
          </c:extLst>
        </c:ser>
        <c:ser>
          <c:idx val="3"/>
          <c:order val="3"/>
          <c:tx>
            <c:strRef>
              <c:f>ACT.!$C$73</c:f>
              <c:strCache>
                <c:ptCount val="1"/>
                <c:pt idx="0">
                  <c:v>Recovery rate</c:v>
                </c:pt>
              </c:strCache>
            </c:strRef>
          </c:tx>
          <c:spPr>
            <a:noFill/>
            <a:ln>
              <a:noFill/>
            </a:ln>
          </c:spPr>
          <c:invertIfNegative val="0"/>
          <c:dLbls>
            <c:dLbl>
              <c:idx val="0"/>
              <c:layout>
                <c:manualLayout>
                  <c:x val="-2.1380471380471771E-3"/>
                  <c:y val="-4.1514814814814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DE-418A-A226-8CD654D2E5B3}"/>
                </c:ext>
              </c:extLst>
            </c:dLbl>
            <c:dLbl>
              <c:idx val="1"/>
              <c:layout>
                <c:manualLayout>
                  <c:x val="-2.1380778588807785E-3"/>
                  <c:y val="-3.9920760233918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DE-418A-A226-8CD654D2E5B3}"/>
                </c:ext>
              </c:extLst>
            </c:dLbl>
            <c:dLbl>
              <c:idx val="2"/>
              <c:layout>
                <c:manualLayout>
                  <c:x val="-1.4193025141930251E-5"/>
                  <c:y val="-6.6121345029239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DE-418A-A226-8CD654D2E5B3}"/>
                </c:ext>
              </c:extLst>
            </c:dLbl>
            <c:spPr>
              <a:noFill/>
              <a:ln>
                <a:noFill/>
              </a:ln>
              <a:effectLst/>
            </c:spPr>
            <c:txPr>
              <a:bodyPr wrap="square" lIns="38100" tIns="19050" rIns="38100" bIns="19050" anchor="ctr">
                <a:spAutoFit/>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(ACT.!$D$69:$E$69,ACT.!$G$69)</c:f>
              <c:strCache>
                <c:ptCount val="3"/>
                <c:pt idx="0">
                  <c:v>MSW</c:v>
                </c:pt>
                <c:pt idx="1">
                  <c:v>C&amp;I</c:v>
                </c:pt>
                <c:pt idx="2">
                  <c:v>C&amp;D</c:v>
                </c:pt>
              </c:strCache>
            </c:strRef>
          </c:cat>
          <c:val>
            <c:numRef>
              <c:f>(ACT.!$D$73,ACT.!$F$73:$G$73)</c:f>
              <c:numCache>
                <c:formatCode>0%</c:formatCode>
                <c:ptCount val="3"/>
                <c:pt idx="0">
                  <c:v>0.63599013085427725</c:v>
                </c:pt>
                <c:pt idx="1">
                  <c:v>0.71149436180691594</c:v>
                </c:pt>
                <c:pt idx="2">
                  <c:v>0.91422055631063481</c:v>
                </c:pt>
              </c:numCache>
            </c:numRef>
          </c:val>
          <c:extLst>
            <c:ext xmlns:c16="http://schemas.microsoft.com/office/drawing/2014/chart" uri="{C3380CC4-5D6E-409C-BE32-E72D297353CC}">
              <c16:uniqueId val="{00000003-CC5D-45BB-A704-9D61C3D09A34}"/>
            </c:ext>
          </c:extLst>
        </c:ser>
        <c:dLbls>
          <c:showLegendKey val="0"/>
          <c:showVal val="0"/>
          <c:showCatName val="0"/>
          <c:showSerName val="0"/>
          <c:showPercent val="0"/>
          <c:showBubbleSize val="0"/>
        </c:dLbls>
        <c:gapWidth val="150"/>
        <c:overlap val="100"/>
        <c:axId val="219379584"/>
        <c:axId val="219381120"/>
      </c:barChart>
      <c:lineChart>
        <c:grouping val="standard"/>
        <c:varyColors val="0"/>
        <c:ser>
          <c:idx val="4"/>
          <c:order val="4"/>
          <c:tx>
            <c:strRef>
              <c:f>ACT.!$C$75</c:f>
              <c:strCache>
                <c:ptCount val="1"/>
                <c:pt idx="0">
                  <c:v>Generation (kg per capita)</c:v>
                </c:pt>
              </c:strCache>
            </c:strRef>
          </c:tx>
          <c:spPr>
            <a:ln>
              <a:noFill/>
            </a:ln>
          </c:spPr>
          <c:marker>
            <c:symbol val="none"/>
          </c:marker>
          <c:val>
            <c:numRef>
              <c:f>(ACT.!$D$75,ACT.!$F$75:$G$75)</c:f>
              <c:numCache>
                <c:formatCode>#,##0</c:formatCode>
                <c:ptCount val="3"/>
                <c:pt idx="0">
                  <c:v>474.70875580873962</c:v>
                </c:pt>
                <c:pt idx="1">
                  <c:v>926.91782473902219</c:v>
                </c:pt>
                <c:pt idx="2">
                  <c:v>596.23880065853052</c:v>
                </c:pt>
              </c:numCache>
            </c:numRef>
          </c:val>
          <c:smooth val="0"/>
          <c:extLst>
            <c:ext xmlns:c16="http://schemas.microsoft.com/office/drawing/2014/chart" uri="{C3380CC4-5D6E-409C-BE32-E72D297353CC}">
              <c16:uniqueId val="{00000000-0F5A-406E-B623-E115DFD8C841}"/>
            </c:ext>
          </c:extLst>
        </c:ser>
        <c:dLbls>
          <c:showLegendKey val="0"/>
          <c:showVal val="0"/>
          <c:showCatName val="0"/>
          <c:showSerName val="0"/>
          <c:showPercent val="0"/>
          <c:showBubbleSize val="0"/>
        </c:dLbls>
        <c:marker val="1"/>
        <c:smooth val="0"/>
        <c:axId val="997660824"/>
        <c:axId val="997657872"/>
      </c:lineChart>
      <c:catAx>
        <c:axId val="219379584"/>
        <c:scaling>
          <c:orientation val="minMax"/>
        </c:scaling>
        <c:delete val="0"/>
        <c:axPos val="b"/>
        <c:numFmt formatCode="General" sourceLinked="0"/>
        <c:majorTickMark val="none"/>
        <c:minorTickMark val="none"/>
        <c:tickLblPos val="nextTo"/>
        <c:spPr>
          <a:ln w="2540"/>
        </c:spPr>
        <c:txPr>
          <a:bodyPr/>
          <a:lstStyle/>
          <a:p>
            <a:pPr>
              <a:defRPr>
                <a:solidFill>
                  <a:schemeClr val="bg1"/>
                </a:solidFill>
              </a:defRPr>
            </a:pPr>
            <a:endParaRPr lang="en-US"/>
          </a:p>
        </c:txPr>
        <c:crossAx val="219381120"/>
        <c:crosses val="autoZero"/>
        <c:auto val="1"/>
        <c:lblAlgn val="ctr"/>
        <c:lblOffset val="100"/>
        <c:noMultiLvlLbl val="0"/>
      </c:catAx>
      <c:valAx>
        <c:axId val="219381120"/>
        <c:scaling>
          <c:orientation val="minMax"/>
          <c:min val="0"/>
        </c:scaling>
        <c:delete val="0"/>
        <c:axPos val="l"/>
        <c:majorGridlines>
          <c:spPr>
            <a:ln w="2540"/>
          </c:spPr>
        </c:majorGridlines>
        <c:title>
          <c:tx>
            <c:rich>
              <a:bodyPr/>
              <a:lstStyle/>
              <a:p>
                <a:pPr>
                  <a:defRPr/>
                </a:pPr>
                <a:r>
                  <a:rPr lang="en-AU"/>
                  <a:t>Kilotonnes</a:t>
                </a:r>
                <a:r>
                  <a:rPr lang="en-AU" baseline="0"/>
                  <a:t> (kt)</a:t>
                </a:r>
                <a:endParaRPr lang="en-AU"/>
              </a:p>
            </c:rich>
          </c:tx>
          <c:layout>
            <c:manualLayout>
              <c:xMode val="edge"/>
              <c:yMode val="edge"/>
              <c:x val="0.17100567721005677"/>
              <c:y val="0.24995906432748538"/>
            </c:manualLayout>
          </c:layout>
          <c:overlay val="0"/>
        </c:title>
        <c:numFmt formatCode="#,##0" sourceLinked="0"/>
        <c:majorTickMark val="out"/>
        <c:minorTickMark val="none"/>
        <c:tickLblPos val="nextTo"/>
        <c:spPr>
          <a:ln>
            <a:noFill/>
          </a:ln>
        </c:spPr>
        <c:crossAx val="219379584"/>
        <c:crosses val="autoZero"/>
        <c:crossBetween val="between"/>
      </c:valAx>
      <c:valAx>
        <c:axId val="997657872"/>
        <c:scaling>
          <c:orientation val="minMax"/>
        </c:scaling>
        <c:delete val="0"/>
        <c:axPos val="r"/>
        <c:title>
          <c:tx>
            <c:rich>
              <a:bodyPr/>
              <a:lstStyle/>
              <a:p>
                <a:pPr>
                  <a:defRPr/>
                </a:pPr>
                <a:r>
                  <a:rPr lang="en-AU" baseline="0"/>
                  <a:t>Kg per capita</a:t>
                </a:r>
                <a:endParaRPr lang="en-AU"/>
              </a:p>
            </c:rich>
          </c:tx>
          <c:layout>
            <c:manualLayout>
              <c:xMode val="edge"/>
              <c:yMode val="edge"/>
              <c:x val="0.95713334685050011"/>
              <c:y val="0.24825087719298244"/>
            </c:manualLayout>
          </c:layout>
          <c:overlay val="0"/>
        </c:title>
        <c:numFmt formatCode="#,##0" sourceLinked="1"/>
        <c:majorTickMark val="out"/>
        <c:minorTickMark val="none"/>
        <c:tickLblPos val="nextTo"/>
        <c:spPr>
          <a:ln>
            <a:noFill/>
          </a:ln>
        </c:spPr>
        <c:crossAx val="997660824"/>
        <c:crosses val="max"/>
        <c:crossBetween val="between"/>
        <c:majorUnit val="129"/>
      </c:valAx>
      <c:catAx>
        <c:axId val="997660824"/>
        <c:scaling>
          <c:orientation val="minMax"/>
        </c:scaling>
        <c:delete val="1"/>
        <c:axPos val="b"/>
        <c:majorTickMark val="out"/>
        <c:minorTickMark val="none"/>
        <c:tickLblPos val="nextTo"/>
        <c:crossAx val="997657872"/>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5831457826439578"/>
          <c:y val="2.5067543859649117E-2"/>
          <c:w val="0.4386014801297648"/>
          <c:h val="6.7150000000000001E-2"/>
        </c:manualLayout>
      </c:layout>
      <c:overlay val="0"/>
    </c:legend>
    <c:plotVisOnly val="1"/>
    <c:dispBlanksAs val="gap"/>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1047706429997"/>
          <c:y val="9.4592434297069511E-2"/>
          <c:w val="0.71807230014589774"/>
          <c:h val="0.10514317465139436"/>
        </c:manualLayout>
      </c:layout>
      <c:barChart>
        <c:barDir val="col"/>
        <c:grouping val="stacked"/>
        <c:varyColors val="0"/>
        <c:ser>
          <c:idx val="0"/>
          <c:order val="0"/>
          <c:tx>
            <c:strRef>
              <c:f>SA.!$C$70</c:f>
              <c:strCache>
                <c:ptCount val="1"/>
                <c:pt idx="0">
                  <c:v>Disposal</c:v>
                </c:pt>
              </c:strCache>
            </c:strRef>
          </c:tx>
          <c:spPr>
            <a:noFill/>
          </c:spPr>
          <c:invertIfNegative val="0"/>
          <c:cat>
            <c:strRef>
              <c:f>SA.!$N$76:$S$76</c:f>
              <c:strCache>
                <c:ptCount val="6"/>
                <c:pt idx="0">
                  <c:v>Mega-tonnes</c:v>
                </c:pt>
                <c:pt idx="1">
                  <c:v>Kg per capita</c:v>
                </c:pt>
                <c:pt idx="2">
                  <c:v>Mega-tonnes</c:v>
                </c:pt>
                <c:pt idx="3">
                  <c:v>Kg per capita</c:v>
                </c:pt>
                <c:pt idx="4">
                  <c:v>Mega-tonnes</c:v>
                </c:pt>
                <c:pt idx="5">
                  <c:v>Kg per capita</c:v>
                </c:pt>
              </c:strCache>
            </c:strRef>
          </c:cat>
          <c:val>
            <c:numRef>
              <c:f>(SA.!$O$70,SA.!$K$70,SA.!$P$70,SA.!$L$70,SA.!$Q$70,SA.!$M$70)</c:f>
              <c:numCache>
                <c:formatCode>#,##0</c:formatCode>
                <c:ptCount val="6"/>
                <c:pt idx="0" formatCode="0.00">
                  <c:v>0.96778534280928685</c:v>
                </c:pt>
                <c:pt idx="1">
                  <c:v>572.11071308567114</c:v>
                </c:pt>
                <c:pt idx="2" formatCode="0.00">
                  <c:v>0.96778534280928685</c:v>
                </c:pt>
                <c:pt idx="3">
                  <c:v>572.11071308567114</c:v>
                </c:pt>
                <c:pt idx="4" formatCode="0.00">
                  <c:v>0.62938962357233974</c:v>
                </c:pt>
                <c:pt idx="5">
                  <c:v>372.0665424684484</c:v>
                </c:pt>
              </c:numCache>
            </c:numRef>
          </c:val>
          <c:extLst>
            <c:ext xmlns:c16="http://schemas.microsoft.com/office/drawing/2014/chart" uri="{C3380CC4-5D6E-409C-BE32-E72D297353CC}">
              <c16:uniqueId val="{00000000-BB60-42C4-8328-0CD8229D1F57}"/>
            </c:ext>
          </c:extLst>
        </c:ser>
        <c:ser>
          <c:idx val="1"/>
          <c:order val="1"/>
          <c:tx>
            <c:strRef>
              <c:f>SA.!$C$71</c:f>
              <c:strCache>
                <c:ptCount val="1"/>
                <c:pt idx="0">
                  <c:v>Recycling</c:v>
                </c:pt>
              </c:strCache>
            </c:strRef>
          </c:tx>
          <c:spPr>
            <a:noFill/>
          </c:spPr>
          <c:invertIfNegative val="0"/>
          <c:cat>
            <c:strRef>
              <c:f>SA.!$N$76:$S$76</c:f>
              <c:strCache>
                <c:ptCount val="6"/>
                <c:pt idx="0">
                  <c:v>Mega-tonnes</c:v>
                </c:pt>
                <c:pt idx="1">
                  <c:v>Kg per capita</c:v>
                </c:pt>
                <c:pt idx="2">
                  <c:v>Mega-tonnes</c:v>
                </c:pt>
                <c:pt idx="3">
                  <c:v>Kg per capita</c:v>
                </c:pt>
                <c:pt idx="4">
                  <c:v>Mega-tonnes</c:v>
                </c:pt>
                <c:pt idx="5">
                  <c:v>Kg per capita</c:v>
                </c:pt>
              </c:strCache>
            </c:strRef>
          </c:cat>
          <c:val>
            <c:numRef>
              <c:f>(SA.!$O$71,SA.!$K$71,SA.!$P$71,SA.!$L$71,SA.!$Q$71,SA.!$M$71)</c:f>
              <c:numCache>
                <c:formatCode>#,##0</c:formatCode>
                <c:ptCount val="6"/>
                <c:pt idx="0" formatCode="0.00">
                  <c:v>3.3042971812369095</c:v>
                </c:pt>
                <c:pt idx="1">
                  <c:v>1953.350327787462</c:v>
                </c:pt>
                <c:pt idx="2" formatCode="0.00">
                  <c:v>3.1582971812369096</c:v>
                </c:pt>
                <c:pt idx="3">
                  <c:v>1867.0417628447005</c:v>
                </c:pt>
                <c:pt idx="4" formatCode="0.00">
                  <c:v>2.7604000000000002</c:v>
                </c:pt>
                <c:pt idx="5">
                  <c:v>1631.8230319725942</c:v>
                </c:pt>
              </c:numCache>
            </c:numRef>
          </c:val>
          <c:extLst>
            <c:ext xmlns:c16="http://schemas.microsoft.com/office/drawing/2014/chart" uri="{C3380CC4-5D6E-409C-BE32-E72D297353CC}">
              <c16:uniqueId val="{00000001-BB60-42C4-8328-0CD8229D1F57}"/>
            </c:ext>
          </c:extLst>
        </c:ser>
        <c:ser>
          <c:idx val="2"/>
          <c:order val="2"/>
          <c:tx>
            <c:strRef>
              <c:f>SA.!$C$72</c:f>
              <c:strCache>
                <c:ptCount val="1"/>
                <c:pt idx="0">
                  <c:v>Energy recovery</c:v>
                </c:pt>
              </c:strCache>
            </c:strRef>
          </c:tx>
          <c:spPr>
            <a:noFill/>
          </c:spPr>
          <c:invertIfNegative val="0"/>
          <c:cat>
            <c:strRef>
              <c:f>SA.!$N$76:$S$76</c:f>
              <c:strCache>
                <c:ptCount val="6"/>
                <c:pt idx="0">
                  <c:v>Mega-tonnes</c:v>
                </c:pt>
                <c:pt idx="1">
                  <c:v>Kg per capita</c:v>
                </c:pt>
                <c:pt idx="2">
                  <c:v>Mega-tonnes</c:v>
                </c:pt>
                <c:pt idx="3">
                  <c:v>Kg per capita</c:v>
                </c:pt>
                <c:pt idx="4">
                  <c:v>Mega-tonnes</c:v>
                </c:pt>
                <c:pt idx="5">
                  <c:v>Kg per capita</c:v>
                </c:pt>
              </c:strCache>
            </c:strRef>
          </c:cat>
          <c:val>
            <c:numRef>
              <c:f>(SA.!$O$72,SA.!$K$72,SA.!$P$72,SA.!$L$72,SA.!$Q$72,SA.!$M$72)</c:f>
              <c:numCache>
                <c:formatCode>#,##0</c:formatCode>
                <c:ptCount val="6"/>
                <c:pt idx="0" formatCode="0.00">
                  <c:v>0.14942237642766357</c:v>
                </c:pt>
                <c:pt idx="1">
                  <c:v>88.331718354854459</c:v>
                </c:pt>
                <c:pt idx="2" formatCode="0.00">
                  <c:v>0.14942237642766357</c:v>
                </c:pt>
                <c:pt idx="3">
                  <c:v>88.331718354854502</c:v>
                </c:pt>
                <c:pt idx="4" formatCode="0.00">
                  <c:v>0.14942237642766024</c:v>
                </c:pt>
                <c:pt idx="5">
                  <c:v>88.331718354852484</c:v>
                </c:pt>
              </c:numCache>
            </c:numRef>
          </c:val>
          <c:extLst>
            <c:ext xmlns:c16="http://schemas.microsoft.com/office/drawing/2014/chart" uri="{C3380CC4-5D6E-409C-BE32-E72D297353CC}">
              <c16:uniqueId val="{00000002-BB60-42C4-8328-0CD8229D1F57}"/>
            </c:ext>
          </c:extLst>
        </c:ser>
        <c:ser>
          <c:idx val="4"/>
          <c:order val="3"/>
          <c:tx>
            <c:strRef>
              <c:f>SA.!$C$74</c:f>
              <c:strCache>
                <c:ptCount val="1"/>
                <c:pt idx="0">
                  <c:v>Generation</c:v>
                </c:pt>
              </c:strCache>
            </c:strRef>
          </c:tx>
          <c:spPr>
            <a:noFill/>
            <a:ln>
              <a:noFill/>
            </a:ln>
          </c:spPr>
          <c:invertIfNegative val="0"/>
          <c:cat>
            <c:strRef>
              <c:f>SA.!$N$76:$S$76</c:f>
              <c:strCache>
                <c:ptCount val="6"/>
                <c:pt idx="0">
                  <c:v>Mega-tonnes</c:v>
                </c:pt>
                <c:pt idx="1">
                  <c:v>Kg per capita</c:v>
                </c:pt>
                <c:pt idx="2">
                  <c:v>Mega-tonnes</c:v>
                </c:pt>
                <c:pt idx="3">
                  <c:v>Kg per capita</c:v>
                </c:pt>
                <c:pt idx="4">
                  <c:v>Mega-tonnes</c:v>
                </c:pt>
                <c:pt idx="5">
                  <c:v>Kg per capita</c:v>
                </c:pt>
              </c:strCache>
            </c:strRef>
          </c:cat>
          <c:val>
            <c:numRef>
              <c:f>(SA.!$O$74,SA.!$K$74,SA.!$P$74,SA.!$L$74,SA.!$Q$74,SA.!$M$74)</c:f>
              <c:numCache>
                <c:formatCode>#,##0</c:formatCode>
                <c:ptCount val="6"/>
                <c:pt idx="0" formatCode="0.00">
                  <c:v>4.4215049004738605</c:v>
                </c:pt>
                <c:pt idx="1">
                  <c:v>2613.7927592279875</c:v>
                </c:pt>
                <c:pt idx="2" formatCode="0.00">
                  <c:v>4.2755049004738606</c:v>
                </c:pt>
                <c:pt idx="3">
                  <c:v>2527.4841942852263</c:v>
                </c:pt>
                <c:pt idx="4" formatCode="0.00">
                  <c:v>3.539212</c:v>
                </c:pt>
                <c:pt idx="5">
                  <c:v>2092.2212927958954</c:v>
                </c:pt>
              </c:numCache>
            </c:numRef>
          </c:val>
          <c:extLst>
            <c:ext xmlns:c16="http://schemas.microsoft.com/office/drawing/2014/chart" uri="{C3380CC4-5D6E-409C-BE32-E72D297353CC}">
              <c16:uniqueId val="{00000003-BB60-42C4-8328-0CD8229D1F57}"/>
            </c:ext>
          </c:extLst>
        </c:ser>
        <c:dLbls>
          <c:showLegendKey val="0"/>
          <c:showVal val="0"/>
          <c:showCatName val="0"/>
          <c:showSerName val="0"/>
          <c:showPercent val="0"/>
          <c:showBubbleSize val="0"/>
        </c:dLbls>
        <c:gapWidth val="150"/>
        <c:overlap val="100"/>
        <c:axId val="219727360"/>
        <c:axId val="219728896"/>
      </c:barChart>
      <c:catAx>
        <c:axId val="219727360"/>
        <c:scaling>
          <c:orientation val="minMax"/>
        </c:scaling>
        <c:delete val="1"/>
        <c:axPos val="b"/>
        <c:numFmt formatCode="General" sourceLinked="0"/>
        <c:majorTickMark val="none"/>
        <c:minorTickMark val="none"/>
        <c:tickLblPos val="nextTo"/>
        <c:crossAx val="219728896"/>
        <c:crosses val="autoZero"/>
        <c:auto val="1"/>
        <c:lblAlgn val="ctr"/>
        <c:lblOffset val="100"/>
        <c:noMultiLvlLbl val="0"/>
      </c:catAx>
      <c:valAx>
        <c:axId val="219728896"/>
        <c:scaling>
          <c:orientation val="minMax"/>
        </c:scaling>
        <c:delete val="1"/>
        <c:axPos val="l"/>
        <c:numFmt formatCode="#,##0" sourceLinked="0"/>
        <c:majorTickMark val="out"/>
        <c:minorTickMark val="none"/>
        <c:tickLblPos val="nextTo"/>
        <c:crossAx val="219727360"/>
        <c:crosses val="autoZero"/>
        <c:crossBetween val="between"/>
      </c:valAx>
      <c:dTable>
        <c:showHorzBorder val="1"/>
        <c:showVertBorder val="1"/>
        <c:showOutline val="1"/>
        <c:showKeys val="0"/>
        <c:spPr>
          <a:ln w="2540"/>
        </c:spPr>
        <c:txPr>
          <a:bodyPr/>
          <a:lstStyle/>
          <a:p>
            <a:pPr rtl="0">
              <a:defRPr sz="900"/>
            </a:pPr>
            <a:endParaRPr lang="en-US"/>
          </a:p>
        </c:txPr>
      </c:dTable>
      <c:spPr>
        <a:noFill/>
        <a:ln>
          <a:noFill/>
        </a:ln>
      </c:spPr>
    </c:plotArea>
    <c:plotVisOnly val="1"/>
    <c:dispBlanksAs val="gap"/>
    <c:showDLblsOverMax val="0"/>
  </c:chart>
  <c:spPr>
    <a:noFill/>
    <a:ln>
      <a:noFill/>
    </a:ln>
  </c:spPr>
  <c:printSettings>
    <c:headerFooter/>
    <c:pageMargins b="0.75000000000000799" l="0.70000000000000062" r="0.70000000000000062" t="0.75000000000000799"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9785077047851"/>
          <c:y val="0.10985614035087721"/>
          <c:w val="0.62359730639730637"/>
          <c:h val="0.52939678362573095"/>
        </c:manualLayout>
      </c:layout>
      <c:barChart>
        <c:barDir val="col"/>
        <c:grouping val="stacked"/>
        <c:varyColors val="0"/>
        <c:ser>
          <c:idx val="0"/>
          <c:order val="0"/>
          <c:tx>
            <c:strRef>
              <c:f>Tas.!$C$70</c:f>
              <c:strCache>
                <c:ptCount val="1"/>
                <c:pt idx="0">
                  <c:v>Disposal</c:v>
                </c:pt>
              </c:strCache>
            </c:strRef>
          </c:tx>
          <c:spPr>
            <a:solidFill>
              <a:schemeClr val="accent3">
                <a:lumMod val="50000"/>
              </a:schemeClr>
            </a:solidFill>
          </c:spPr>
          <c:invertIfNegative val="0"/>
          <c:cat>
            <c:strRef>
              <c:f>(Tas.!$D$69,Tas.!$F$69:$G$69)</c:f>
              <c:strCache>
                <c:ptCount val="3"/>
                <c:pt idx="0">
                  <c:v>MSW</c:v>
                </c:pt>
                <c:pt idx="1">
                  <c:v>C&amp;I</c:v>
                </c:pt>
                <c:pt idx="2">
                  <c:v>C&amp;D</c:v>
                </c:pt>
              </c:strCache>
            </c:strRef>
          </c:cat>
          <c:val>
            <c:numRef>
              <c:f>(Tas.!$D$70,Tas.!$F$70:$G$70)</c:f>
              <c:numCache>
                <c:formatCode>#,##0</c:formatCode>
                <c:ptCount val="3"/>
                <c:pt idx="0">
                  <c:v>156.98567160345897</c:v>
                </c:pt>
                <c:pt idx="1">
                  <c:v>269.42332436670711</c:v>
                </c:pt>
                <c:pt idx="2">
                  <c:v>43.512976399099792</c:v>
                </c:pt>
              </c:numCache>
            </c:numRef>
          </c:val>
          <c:extLst>
            <c:ext xmlns:c16="http://schemas.microsoft.com/office/drawing/2014/chart" uri="{C3380CC4-5D6E-409C-BE32-E72D297353CC}">
              <c16:uniqueId val="{00000000-E97A-440B-AF71-2C11179B0A54}"/>
            </c:ext>
          </c:extLst>
        </c:ser>
        <c:ser>
          <c:idx val="1"/>
          <c:order val="1"/>
          <c:tx>
            <c:strRef>
              <c:f>Tas.!$C$71</c:f>
              <c:strCache>
                <c:ptCount val="1"/>
                <c:pt idx="0">
                  <c:v>Recycling</c:v>
                </c:pt>
              </c:strCache>
            </c:strRef>
          </c:tx>
          <c:spPr>
            <a:solidFill>
              <a:srgbClr val="FFFF00"/>
            </a:solidFill>
          </c:spPr>
          <c:invertIfNegative val="0"/>
          <c:cat>
            <c:strRef>
              <c:f>(Tas.!$D$69,Tas.!$F$69:$G$69)</c:f>
              <c:strCache>
                <c:ptCount val="3"/>
                <c:pt idx="0">
                  <c:v>MSW</c:v>
                </c:pt>
                <c:pt idx="1">
                  <c:v>C&amp;I</c:v>
                </c:pt>
                <c:pt idx="2">
                  <c:v>C&amp;D</c:v>
                </c:pt>
              </c:strCache>
            </c:strRef>
          </c:cat>
          <c:val>
            <c:numRef>
              <c:f>(Tas.!$D$71,Tas.!$F$71:$G$71)</c:f>
              <c:numCache>
                <c:formatCode>#,##0</c:formatCode>
                <c:ptCount val="3"/>
                <c:pt idx="0">
                  <c:v>67.467252238513055</c:v>
                </c:pt>
                <c:pt idx="1">
                  <c:v>355.93703652286786</c:v>
                </c:pt>
                <c:pt idx="2">
                  <c:v>6.1737453179938638E-2</c:v>
                </c:pt>
              </c:numCache>
            </c:numRef>
          </c:val>
          <c:extLst>
            <c:ext xmlns:c16="http://schemas.microsoft.com/office/drawing/2014/chart" uri="{C3380CC4-5D6E-409C-BE32-E72D297353CC}">
              <c16:uniqueId val="{00000001-E97A-440B-AF71-2C11179B0A54}"/>
            </c:ext>
          </c:extLst>
        </c:ser>
        <c:ser>
          <c:idx val="2"/>
          <c:order val="2"/>
          <c:tx>
            <c:strRef>
              <c:f>Tas.!$C$72</c:f>
              <c:strCache>
                <c:ptCount val="1"/>
                <c:pt idx="0">
                  <c:v>Energy recovery</c:v>
                </c:pt>
              </c:strCache>
            </c:strRef>
          </c:tx>
          <c:spPr>
            <a:solidFill>
              <a:schemeClr val="accent6">
                <a:lumMod val="75000"/>
              </a:schemeClr>
            </a:solidFill>
          </c:spPr>
          <c:invertIfNegative val="0"/>
          <c:cat>
            <c:strRef>
              <c:f>(Tas.!$D$69,Tas.!$F$69:$G$69)</c:f>
              <c:strCache>
                <c:ptCount val="3"/>
                <c:pt idx="0">
                  <c:v>MSW</c:v>
                </c:pt>
                <c:pt idx="1">
                  <c:v>C&amp;I</c:v>
                </c:pt>
                <c:pt idx="2">
                  <c:v>C&amp;D</c:v>
                </c:pt>
              </c:strCache>
            </c:strRef>
          </c:cat>
          <c:val>
            <c:numRef>
              <c:f>(Tas.!$D$72,Tas.!$F$72:$G$72)</c:f>
              <c:numCache>
                <c:formatCode>#,##0</c:formatCode>
                <c:ptCount val="3"/>
                <c:pt idx="0">
                  <c:v>27.803328396541076</c:v>
                </c:pt>
                <c:pt idx="1">
                  <c:v>25.021065208381671</c:v>
                </c:pt>
                <c:pt idx="2">
                  <c:v>0.40075719274389976</c:v>
                </c:pt>
              </c:numCache>
            </c:numRef>
          </c:val>
          <c:extLst>
            <c:ext xmlns:c16="http://schemas.microsoft.com/office/drawing/2014/chart" uri="{C3380CC4-5D6E-409C-BE32-E72D297353CC}">
              <c16:uniqueId val="{00000002-E97A-440B-AF71-2C11179B0A54}"/>
            </c:ext>
          </c:extLst>
        </c:ser>
        <c:ser>
          <c:idx val="3"/>
          <c:order val="3"/>
          <c:tx>
            <c:strRef>
              <c:f>Tas.!$C$73</c:f>
              <c:strCache>
                <c:ptCount val="1"/>
                <c:pt idx="0">
                  <c:v>Recovery rate</c:v>
                </c:pt>
              </c:strCache>
            </c:strRef>
          </c:tx>
          <c:spPr>
            <a:noFill/>
            <a:ln>
              <a:noFill/>
            </a:ln>
          </c:spPr>
          <c:invertIfNegative val="0"/>
          <c:dLbls>
            <c:dLbl>
              <c:idx val="0"/>
              <c:layout>
                <c:manualLayout>
                  <c:x val="-4.2917004595836713E-3"/>
                  <c:y val="-5.40827485380117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7A-440B-AF71-2C11179B0A54}"/>
                </c:ext>
              </c:extLst>
            </c:dLbl>
            <c:dLbl>
              <c:idx val="1"/>
              <c:layout>
                <c:manualLayout>
                  <c:x val="0"/>
                  <c:y val="-2.80233918128654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E9-45AE-A284-496B8E337719}"/>
                </c:ext>
              </c:extLst>
            </c:dLbl>
            <c:dLbl>
              <c:idx val="2"/>
              <c:layout>
                <c:manualLayout>
                  <c:x val="0"/>
                  <c:y val="-6.16485380116959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7A-440B-AF71-2C11179B0A54}"/>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(Tas.!$D$69,Tas.!$F$69:$G$69)</c:f>
              <c:strCache>
                <c:ptCount val="3"/>
                <c:pt idx="0">
                  <c:v>MSW</c:v>
                </c:pt>
                <c:pt idx="1">
                  <c:v>C&amp;I</c:v>
                </c:pt>
                <c:pt idx="2">
                  <c:v>C&amp;D</c:v>
                </c:pt>
              </c:strCache>
            </c:strRef>
          </c:cat>
          <c:val>
            <c:numRef>
              <c:f>(Tas.!$D$73,Tas.!$F$73:$G$73)</c:f>
              <c:numCache>
                <c:formatCode>0%</c:formatCode>
                <c:ptCount val="3"/>
                <c:pt idx="0">
                  <c:v>0.37767381299621455</c:v>
                </c:pt>
                <c:pt idx="1">
                  <c:v>0.58574566622674717</c:v>
                </c:pt>
                <c:pt idx="2">
                  <c:v>1.0517104989059016E-2</c:v>
                </c:pt>
              </c:numCache>
            </c:numRef>
          </c:val>
          <c:extLst>
            <c:ext xmlns:c16="http://schemas.microsoft.com/office/drawing/2014/chart" uri="{C3380CC4-5D6E-409C-BE32-E72D297353CC}">
              <c16:uniqueId val="{00000006-E97A-440B-AF71-2C11179B0A54}"/>
            </c:ext>
          </c:extLst>
        </c:ser>
        <c:dLbls>
          <c:showLegendKey val="0"/>
          <c:showVal val="0"/>
          <c:showCatName val="0"/>
          <c:showSerName val="0"/>
          <c:showPercent val="0"/>
          <c:showBubbleSize val="0"/>
        </c:dLbls>
        <c:gapWidth val="150"/>
        <c:overlap val="100"/>
        <c:axId val="219379584"/>
        <c:axId val="219381120"/>
      </c:barChart>
      <c:lineChart>
        <c:grouping val="standard"/>
        <c:varyColors val="0"/>
        <c:ser>
          <c:idx val="4"/>
          <c:order val="4"/>
          <c:tx>
            <c:strRef>
              <c:f>Tas.!$C$75</c:f>
              <c:strCache>
                <c:ptCount val="1"/>
                <c:pt idx="0">
                  <c:v>Generation (kg per capita)</c:v>
                </c:pt>
              </c:strCache>
            </c:strRef>
          </c:tx>
          <c:spPr>
            <a:ln>
              <a:noFill/>
            </a:ln>
          </c:spPr>
          <c:marker>
            <c:symbol val="none"/>
          </c:marker>
          <c:val>
            <c:numRef>
              <c:f>(Tas.!$D$75,Tas.!$F$75:$G$75)</c:f>
              <c:numCache>
                <c:formatCode>#,##0</c:formatCode>
                <c:ptCount val="3"/>
                <c:pt idx="0">
                  <c:v>489.53850081412378</c:v>
                </c:pt>
                <c:pt idx="1">
                  <c:v>1262.156023741702</c:v>
                </c:pt>
                <c:pt idx="2">
                  <c:v>85.340545484759446</c:v>
                </c:pt>
              </c:numCache>
            </c:numRef>
          </c:val>
          <c:smooth val="0"/>
          <c:extLst>
            <c:ext xmlns:c16="http://schemas.microsoft.com/office/drawing/2014/chart" uri="{C3380CC4-5D6E-409C-BE32-E72D297353CC}">
              <c16:uniqueId val="{00000007-E97A-440B-AF71-2C11179B0A54}"/>
            </c:ext>
          </c:extLst>
        </c:ser>
        <c:dLbls>
          <c:showLegendKey val="0"/>
          <c:showVal val="0"/>
          <c:showCatName val="0"/>
          <c:showSerName val="0"/>
          <c:showPercent val="0"/>
          <c:showBubbleSize val="0"/>
        </c:dLbls>
        <c:marker val="1"/>
        <c:smooth val="0"/>
        <c:axId val="997660824"/>
        <c:axId val="997657872"/>
      </c:lineChart>
      <c:catAx>
        <c:axId val="21937958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381120"/>
        <c:crosses val="autoZero"/>
        <c:auto val="1"/>
        <c:lblAlgn val="ctr"/>
        <c:lblOffset val="100"/>
        <c:noMultiLvlLbl val="0"/>
      </c:catAx>
      <c:valAx>
        <c:axId val="219381120"/>
        <c:scaling>
          <c:orientation val="minMax"/>
          <c:min val="0"/>
        </c:scaling>
        <c:delete val="0"/>
        <c:axPos val="l"/>
        <c:majorGridlines>
          <c:spPr>
            <a:ln w="2540"/>
          </c:spPr>
        </c:majorGridlines>
        <c:title>
          <c:tx>
            <c:rich>
              <a:bodyPr/>
              <a:lstStyle/>
              <a:p>
                <a:pPr>
                  <a:defRPr/>
                </a:pPr>
                <a:r>
                  <a:rPr lang="en-AU"/>
                  <a:t>Kilotonnes</a:t>
                </a:r>
                <a:r>
                  <a:rPr lang="en-AU" baseline="0"/>
                  <a:t> (kt)</a:t>
                </a:r>
                <a:endParaRPr lang="en-AU"/>
              </a:p>
            </c:rich>
          </c:tx>
          <c:layout>
            <c:manualLayout>
              <c:xMode val="edge"/>
              <c:yMode val="edge"/>
              <c:x val="0.16456812652068126"/>
              <c:y val="0.24253216374269007"/>
            </c:manualLayout>
          </c:layout>
          <c:overlay val="0"/>
        </c:title>
        <c:numFmt formatCode="#,##0" sourceLinked="0"/>
        <c:majorTickMark val="out"/>
        <c:minorTickMark val="none"/>
        <c:tickLblPos val="nextTo"/>
        <c:spPr>
          <a:ln>
            <a:noFill/>
          </a:ln>
        </c:spPr>
        <c:crossAx val="219379584"/>
        <c:crosses val="autoZero"/>
        <c:crossBetween val="between"/>
      </c:valAx>
      <c:valAx>
        <c:axId val="997657872"/>
        <c:scaling>
          <c:orientation val="minMax"/>
        </c:scaling>
        <c:delete val="0"/>
        <c:axPos val="r"/>
        <c:title>
          <c:tx>
            <c:rich>
              <a:bodyPr/>
              <a:lstStyle/>
              <a:p>
                <a:pPr>
                  <a:defRPr/>
                </a:pPr>
                <a:r>
                  <a:rPr lang="en-AU" baseline="0"/>
                  <a:t>Kg per capita</a:t>
                </a:r>
                <a:endParaRPr lang="en-AU"/>
              </a:p>
            </c:rich>
          </c:tx>
          <c:layout>
            <c:manualLayout>
              <c:xMode val="edge"/>
              <c:yMode val="edge"/>
              <c:x val="0.95927919708029197"/>
              <c:y val="0.27424502923976607"/>
            </c:manualLayout>
          </c:layout>
          <c:overlay val="0"/>
        </c:title>
        <c:numFmt formatCode="#,##0" sourceLinked="1"/>
        <c:majorTickMark val="out"/>
        <c:minorTickMark val="none"/>
        <c:tickLblPos val="nextTo"/>
        <c:spPr>
          <a:ln>
            <a:noFill/>
          </a:ln>
        </c:spPr>
        <c:crossAx val="997660824"/>
        <c:crosses val="max"/>
        <c:crossBetween val="between"/>
        <c:majorUnit val="194"/>
      </c:valAx>
      <c:catAx>
        <c:axId val="997660824"/>
        <c:scaling>
          <c:orientation val="minMax"/>
        </c:scaling>
        <c:delete val="1"/>
        <c:axPos val="b"/>
        <c:majorTickMark val="out"/>
        <c:minorTickMark val="none"/>
        <c:tickLblPos val="nextTo"/>
        <c:crossAx val="997657872"/>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6475212895377135"/>
          <c:y val="2.5067543859649117E-2"/>
          <c:w val="0.4386014801297648"/>
          <c:h val="6.7150000000000001E-2"/>
        </c:manualLayout>
      </c:layout>
      <c:overlay val="0"/>
    </c:legend>
    <c:plotVisOnly val="1"/>
    <c:dispBlanksAs val="gap"/>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130077318187"/>
          <c:y val="0.25430761272649116"/>
          <c:w val="0.718525531651663"/>
          <c:h val="0.13428840426060865"/>
        </c:manualLayout>
      </c:layout>
      <c:barChart>
        <c:barDir val="col"/>
        <c:grouping val="stacked"/>
        <c:varyColors val="0"/>
        <c:ser>
          <c:idx val="0"/>
          <c:order val="0"/>
          <c:tx>
            <c:strRef>
              <c:f>Tas.!$N$75</c:f>
              <c:strCache>
                <c:ptCount val="1"/>
                <c:pt idx="0">
                  <c:v>Disposal (kt)</c:v>
                </c:pt>
              </c:strCache>
            </c:strRef>
          </c:tx>
          <c:spPr>
            <a:noFill/>
          </c:spPr>
          <c:invertIfNegative val="0"/>
          <c:cat>
            <c:strRef>
              <c:f>(Tas.!$D$69,Tas.!$F$69:$G$69)</c:f>
              <c:strCache>
                <c:ptCount val="3"/>
                <c:pt idx="0">
                  <c:v>MSW</c:v>
                </c:pt>
                <c:pt idx="1">
                  <c:v>C&amp;I</c:v>
                </c:pt>
                <c:pt idx="2">
                  <c:v>C&amp;D</c:v>
                </c:pt>
              </c:strCache>
            </c:strRef>
          </c:cat>
          <c:val>
            <c:numRef>
              <c:f>(Tas.!$D$70,Tas.!$F$70:$G$70)</c:f>
              <c:numCache>
                <c:formatCode>#,##0</c:formatCode>
                <c:ptCount val="3"/>
                <c:pt idx="0">
                  <c:v>156.98567160345897</c:v>
                </c:pt>
                <c:pt idx="1">
                  <c:v>269.42332436670711</c:v>
                </c:pt>
                <c:pt idx="2">
                  <c:v>43.512976399099792</c:v>
                </c:pt>
              </c:numCache>
            </c:numRef>
          </c:val>
          <c:extLst>
            <c:ext xmlns:c16="http://schemas.microsoft.com/office/drawing/2014/chart" uri="{C3380CC4-5D6E-409C-BE32-E72D297353CC}">
              <c16:uniqueId val="{00000000-3806-43CA-945B-489E8F442C29}"/>
            </c:ext>
          </c:extLst>
        </c:ser>
        <c:ser>
          <c:idx val="1"/>
          <c:order val="1"/>
          <c:tx>
            <c:strRef>
              <c:f>Tas.!$O$75</c:f>
              <c:strCache>
                <c:ptCount val="1"/>
                <c:pt idx="0">
                  <c:v>Recycling (kt)</c:v>
                </c:pt>
              </c:strCache>
            </c:strRef>
          </c:tx>
          <c:spPr>
            <a:noFill/>
            <a:ln>
              <a:noFill/>
            </a:ln>
          </c:spPr>
          <c:invertIfNegative val="0"/>
          <c:cat>
            <c:strRef>
              <c:f>(Tas.!$D$69,Tas.!$F$69:$G$69)</c:f>
              <c:strCache>
                <c:ptCount val="3"/>
                <c:pt idx="0">
                  <c:v>MSW</c:v>
                </c:pt>
                <c:pt idx="1">
                  <c:v>C&amp;I</c:v>
                </c:pt>
                <c:pt idx="2">
                  <c:v>C&amp;D</c:v>
                </c:pt>
              </c:strCache>
            </c:strRef>
          </c:cat>
          <c:val>
            <c:numRef>
              <c:f>(Tas.!$D$71,Tas.!$F$71:$G$71)</c:f>
              <c:numCache>
                <c:formatCode>#,##0</c:formatCode>
                <c:ptCount val="3"/>
                <c:pt idx="0">
                  <c:v>67.467252238513055</c:v>
                </c:pt>
                <c:pt idx="1">
                  <c:v>355.93703652286786</c:v>
                </c:pt>
                <c:pt idx="2">
                  <c:v>6.1737453179938638E-2</c:v>
                </c:pt>
              </c:numCache>
            </c:numRef>
          </c:val>
          <c:extLst>
            <c:ext xmlns:c16="http://schemas.microsoft.com/office/drawing/2014/chart" uri="{C3380CC4-5D6E-409C-BE32-E72D297353CC}">
              <c16:uniqueId val="{00000001-3806-43CA-945B-489E8F442C29}"/>
            </c:ext>
          </c:extLst>
        </c:ser>
        <c:ser>
          <c:idx val="2"/>
          <c:order val="2"/>
          <c:tx>
            <c:strRef>
              <c:f>Tas.!$P$75</c:f>
              <c:strCache>
                <c:ptCount val="1"/>
                <c:pt idx="0">
                  <c:v>En recovery (kt)</c:v>
                </c:pt>
              </c:strCache>
            </c:strRef>
          </c:tx>
          <c:spPr>
            <a:noFill/>
          </c:spPr>
          <c:invertIfNegative val="0"/>
          <c:cat>
            <c:strRef>
              <c:f>(Tas.!$D$69,Tas.!$F$69:$G$69)</c:f>
              <c:strCache>
                <c:ptCount val="3"/>
                <c:pt idx="0">
                  <c:v>MSW</c:v>
                </c:pt>
                <c:pt idx="1">
                  <c:v>C&amp;I</c:v>
                </c:pt>
                <c:pt idx="2">
                  <c:v>C&amp;D</c:v>
                </c:pt>
              </c:strCache>
            </c:strRef>
          </c:cat>
          <c:val>
            <c:numRef>
              <c:f>(Tas.!$D$72,Tas.!$F$72:$G$72)</c:f>
              <c:numCache>
                <c:formatCode>#,##0</c:formatCode>
                <c:ptCount val="3"/>
                <c:pt idx="0">
                  <c:v>27.803328396541076</c:v>
                </c:pt>
                <c:pt idx="1">
                  <c:v>25.021065208381671</c:v>
                </c:pt>
                <c:pt idx="2">
                  <c:v>0.40075719274389976</c:v>
                </c:pt>
              </c:numCache>
            </c:numRef>
          </c:val>
          <c:extLst>
            <c:ext xmlns:c16="http://schemas.microsoft.com/office/drawing/2014/chart" uri="{C3380CC4-5D6E-409C-BE32-E72D297353CC}">
              <c16:uniqueId val="{00000002-3806-43CA-945B-489E8F442C29}"/>
            </c:ext>
          </c:extLst>
        </c:ser>
        <c:ser>
          <c:idx val="4"/>
          <c:order val="3"/>
          <c:tx>
            <c:strRef>
              <c:f>Tas.!$Q$75</c:f>
              <c:strCache>
                <c:ptCount val="1"/>
                <c:pt idx="0">
                  <c:v>Generation (kt)</c:v>
                </c:pt>
              </c:strCache>
            </c:strRef>
          </c:tx>
          <c:spPr>
            <a:noFill/>
          </c:spPr>
          <c:invertIfNegative val="0"/>
          <c:cat>
            <c:strRef>
              <c:f>(Tas.!$D$69,Tas.!$F$69:$G$69)</c:f>
              <c:strCache>
                <c:ptCount val="3"/>
                <c:pt idx="0">
                  <c:v>MSW</c:v>
                </c:pt>
                <c:pt idx="1">
                  <c:v>C&amp;I</c:v>
                </c:pt>
                <c:pt idx="2">
                  <c:v>C&amp;D</c:v>
                </c:pt>
              </c:strCache>
            </c:strRef>
          </c:cat>
          <c:val>
            <c:numRef>
              <c:f>(Tas.!$D$74,Tas.!$F$74:$G$74)</c:f>
              <c:numCache>
                <c:formatCode>#,##0</c:formatCode>
                <c:ptCount val="3"/>
                <c:pt idx="0">
                  <c:v>252.2562522385131</c:v>
                </c:pt>
                <c:pt idx="1">
                  <c:v>650.38142609795659</c:v>
                </c:pt>
                <c:pt idx="2">
                  <c:v>43.975471045023632</c:v>
                </c:pt>
              </c:numCache>
            </c:numRef>
          </c:val>
          <c:extLst>
            <c:ext xmlns:c16="http://schemas.microsoft.com/office/drawing/2014/chart" uri="{C3380CC4-5D6E-409C-BE32-E72D297353CC}">
              <c16:uniqueId val="{00000003-3806-43CA-945B-489E8F442C29}"/>
            </c:ext>
          </c:extLst>
        </c:ser>
        <c:ser>
          <c:idx val="3"/>
          <c:order val="4"/>
          <c:tx>
            <c:strRef>
              <c:f>Tas.!$R$75</c:f>
              <c:strCache>
                <c:ptCount val="1"/>
                <c:pt idx="0">
                  <c:v>Generation (kg/cap)</c:v>
                </c:pt>
              </c:strCache>
            </c:strRef>
          </c:tx>
          <c:spPr>
            <a:noFill/>
            <a:ln>
              <a:noFill/>
            </a:ln>
          </c:spPr>
          <c:invertIfNegative val="0"/>
          <c:cat>
            <c:strRef>
              <c:f>(Tas.!$D$69,Tas.!$F$69:$G$69)</c:f>
              <c:strCache>
                <c:ptCount val="3"/>
                <c:pt idx="0">
                  <c:v>MSW</c:v>
                </c:pt>
                <c:pt idx="1">
                  <c:v>C&amp;I</c:v>
                </c:pt>
                <c:pt idx="2">
                  <c:v>C&amp;D</c:v>
                </c:pt>
              </c:strCache>
            </c:strRef>
          </c:cat>
          <c:val>
            <c:numRef>
              <c:f>(Tas.!$D$75,Tas.!$F$75:$G$75)</c:f>
              <c:numCache>
                <c:formatCode>#,##0</c:formatCode>
                <c:ptCount val="3"/>
                <c:pt idx="0">
                  <c:v>489.53850081412378</c:v>
                </c:pt>
                <c:pt idx="1">
                  <c:v>1262.156023741702</c:v>
                </c:pt>
                <c:pt idx="2">
                  <c:v>85.340545484759446</c:v>
                </c:pt>
              </c:numCache>
            </c:numRef>
          </c:val>
          <c:extLst>
            <c:ext xmlns:c16="http://schemas.microsoft.com/office/drawing/2014/chart" uri="{C3380CC4-5D6E-409C-BE32-E72D297353CC}">
              <c16:uniqueId val="{00000004-3806-43CA-945B-489E8F442C29}"/>
            </c:ext>
          </c:extLst>
        </c:ser>
        <c:dLbls>
          <c:showLegendKey val="0"/>
          <c:showVal val="0"/>
          <c:showCatName val="0"/>
          <c:showSerName val="0"/>
          <c:showPercent val="0"/>
          <c:showBubbleSize val="0"/>
        </c:dLbls>
        <c:gapWidth val="150"/>
        <c:overlap val="100"/>
        <c:axId val="219432064"/>
        <c:axId val="219433600"/>
      </c:barChart>
      <c:catAx>
        <c:axId val="219432064"/>
        <c:scaling>
          <c:orientation val="minMax"/>
        </c:scaling>
        <c:delete val="1"/>
        <c:axPos val="b"/>
        <c:numFmt formatCode="General" sourceLinked="0"/>
        <c:majorTickMark val="none"/>
        <c:minorTickMark val="none"/>
        <c:tickLblPos val="nextTo"/>
        <c:crossAx val="219433600"/>
        <c:crosses val="autoZero"/>
        <c:auto val="1"/>
        <c:lblAlgn val="ctr"/>
        <c:lblOffset val="100"/>
        <c:noMultiLvlLbl val="0"/>
      </c:catAx>
      <c:valAx>
        <c:axId val="219433600"/>
        <c:scaling>
          <c:orientation val="minMax"/>
        </c:scaling>
        <c:delete val="1"/>
        <c:axPos val="l"/>
        <c:numFmt formatCode="#,##0" sourceLinked="0"/>
        <c:majorTickMark val="out"/>
        <c:minorTickMark val="none"/>
        <c:tickLblPos val="nextTo"/>
        <c:crossAx val="219432064"/>
        <c:crosses val="autoZero"/>
        <c:crossBetween val="between"/>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printSettings>
    <c:headerFooter/>
    <c:pageMargins b="0.75000000000000822" l="0.70000000000000062" r="0.70000000000000062" t="0.7500000000000082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85306839686398"/>
          <c:y val="0.10541783625730994"/>
          <c:w val="0.70338935238062361"/>
          <c:h val="0.49211666666666665"/>
        </c:manualLayout>
      </c:layout>
      <c:barChart>
        <c:barDir val="col"/>
        <c:grouping val="stacked"/>
        <c:varyColors val="0"/>
        <c:ser>
          <c:idx val="0"/>
          <c:order val="0"/>
          <c:tx>
            <c:strRef>
              <c:f>Tas.!$D$78</c:f>
              <c:strCache>
                <c:ptCount val="1"/>
                <c:pt idx="0">
                  <c:v>Disposal</c:v>
                </c:pt>
              </c:strCache>
            </c:strRef>
          </c:tx>
          <c:spPr>
            <a:solidFill>
              <a:schemeClr val="accent3">
                <a:lumMod val="50000"/>
              </a:schemeClr>
            </a:solidFill>
          </c:spPr>
          <c:invertIfNegative val="0"/>
          <c:cat>
            <c:strRef>
              <c:f>Tas.!$C$79:$C$86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Tas.!$D$79:$D$86</c:f>
              <c:numCache>
                <c:formatCode>#,##0</c:formatCode>
                <c:ptCount val="8"/>
                <c:pt idx="0">
                  <c:v>62.763412536304749</c:v>
                </c:pt>
                <c:pt idx="1">
                  <c:v>14.24555896810954</c:v>
                </c:pt>
                <c:pt idx="2">
                  <c:v>151.72502823844846</c:v>
                </c:pt>
                <c:pt idx="3">
                  <c:v>43.985245263552095</c:v>
                </c:pt>
                <c:pt idx="4">
                  <c:v>69.123540144558746</c:v>
                </c:pt>
                <c:pt idx="5">
                  <c:v>15.06913423935185</c:v>
                </c:pt>
                <c:pt idx="6">
                  <c:v>17.220929812008254</c:v>
                </c:pt>
                <c:pt idx="7">
                  <c:v>95.789123166932086</c:v>
                </c:pt>
              </c:numCache>
            </c:numRef>
          </c:val>
          <c:extLst>
            <c:ext xmlns:c16="http://schemas.microsoft.com/office/drawing/2014/chart" uri="{C3380CC4-5D6E-409C-BE32-E72D297353CC}">
              <c16:uniqueId val="{00000000-34B2-4B53-A9A7-137E37D4CDA0}"/>
            </c:ext>
          </c:extLst>
        </c:ser>
        <c:ser>
          <c:idx val="1"/>
          <c:order val="1"/>
          <c:tx>
            <c:strRef>
              <c:f>Tas.!$E$78</c:f>
              <c:strCache>
                <c:ptCount val="1"/>
                <c:pt idx="0">
                  <c:v>Recycling</c:v>
                </c:pt>
              </c:strCache>
            </c:strRef>
          </c:tx>
          <c:spPr>
            <a:solidFill>
              <a:srgbClr val="FFFF00"/>
            </a:solidFill>
          </c:spPr>
          <c:invertIfNegative val="0"/>
          <c:cat>
            <c:strRef>
              <c:f>Tas.!$C$79:$C$86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Tas.!$E$79:$E$86</c:f>
              <c:numCache>
                <c:formatCode>#,##0</c:formatCode>
                <c:ptCount val="8"/>
                <c:pt idx="0">
                  <c:v>3.477840656687591</c:v>
                </c:pt>
                <c:pt idx="1">
                  <c:v>15.047258329309514</c:v>
                </c:pt>
                <c:pt idx="2">
                  <c:v>43.930999999999997</c:v>
                </c:pt>
                <c:pt idx="3">
                  <c:v>69.226529695799144</c:v>
                </c:pt>
                <c:pt idx="4">
                  <c:v>4.859</c:v>
                </c:pt>
                <c:pt idx="5">
                  <c:v>19.713328343795268</c:v>
                </c:pt>
                <c:pt idx="6">
                  <c:v>0.62104297440849832</c:v>
                </c:pt>
                <c:pt idx="7">
                  <c:v>266.59002621456091</c:v>
                </c:pt>
              </c:numCache>
            </c:numRef>
          </c:val>
          <c:extLst>
            <c:ext xmlns:c16="http://schemas.microsoft.com/office/drawing/2014/chart" uri="{C3380CC4-5D6E-409C-BE32-E72D297353CC}">
              <c16:uniqueId val="{00000001-34B2-4B53-A9A7-137E37D4CDA0}"/>
            </c:ext>
          </c:extLst>
        </c:ser>
        <c:ser>
          <c:idx val="2"/>
          <c:order val="2"/>
          <c:tx>
            <c:strRef>
              <c:f>Tas.!$F$78</c:f>
              <c:strCache>
                <c:ptCount val="1"/>
                <c:pt idx="0">
                  <c:v>Energy recovery</c:v>
                </c:pt>
              </c:strCache>
            </c:strRef>
          </c:tx>
          <c:spPr>
            <a:solidFill>
              <a:schemeClr val="accent6">
                <a:lumMod val="75000"/>
              </a:schemeClr>
            </a:solidFill>
          </c:spPr>
          <c:invertIfNegative val="0"/>
          <c:cat>
            <c:strRef>
              <c:f>Tas.!$C$79:$C$86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Tas.!$F$79:$F$86</c:f>
              <c:numCache>
                <c:formatCode>#,##0</c:formatCode>
                <c:ptCount val="8"/>
                <c:pt idx="0">
                  <c:v>0</c:v>
                </c:pt>
                <c:pt idx="1">
                  <c:v>0</c:v>
                </c:pt>
                <c:pt idx="2">
                  <c:v>35.986238995054045</c:v>
                </c:pt>
                <c:pt idx="3">
                  <c:v>13.928771436955522</c:v>
                </c:pt>
                <c:pt idx="4">
                  <c:v>0</c:v>
                </c:pt>
                <c:pt idx="5">
                  <c:v>0</c:v>
                </c:pt>
                <c:pt idx="6">
                  <c:v>3.3101403656567236</c:v>
                </c:pt>
                <c:pt idx="7">
                  <c:v>3.5774994272244698E-13</c:v>
                </c:pt>
              </c:numCache>
            </c:numRef>
          </c:val>
          <c:extLst>
            <c:ext xmlns:c16="http://schemas.microsoft.com/office/drawing/2014/chart" uri="{C3380CC4-5D6E-409C-BE32-E72D297353CC}">
              <c16:uniqueId val="{00000002-34B2-4B53-A9A7-137E37D4CDA0}"/>
            </c:ext>
          </c:extLst>
        </c:ser>
        <c:ser>
          <c:idx val="3"/>
          <c:order val="3"/>
          <c:tx>
            <c:strRef>
              <c:f>Tas.!$H$78</c:f>
              <c:strCache>
                <c:ptCount val="1"/>
                <c:pt idx="0">
                  <c:v>Recovery rate</c:v>
                </c:pt>
              </c:strCache>
            </c:strRef>
          </c:tx>
          <c:spPr>
            <a:noFill/>
          </c:spPr>
          <c:invertIfNegative val="0"/>
          <c:dLbls>
            <c:dLbl>
              <c:idx val="0"/>
              <c:layout>
                <c:manualLayout>
                  <c:x val="0"/>
                  <c:y val="-2.448099415204678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B2-4B53-A9A7-137E37D4CDA0}"/>
                </c:ext>
              </c:extLst>
            </c:dLbl>
            <c:dLbl>
              <c:idx val="1"/>
              <c:layout>
                <c:manualLayout>
                  <c:x val="0"/>
                  <c:y val="-5.01511695906433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B2-4B53-A9A7-137E37D4CDA0}"/>
                </c:ext>
              </c:extLst>
            </c:dLbl>
            <c:dLbl>
              <c:idx val="2"/>
              <c:layout>
                <c:manualLayout>
                  <c:x val="0"/>
                  <c:y val="-5.01181286549707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B2-4B53-A9A7-137E37D4CDA0}"/>
                </c:ext>
              </c:extLst>
            </c:dLbl>
            <c:dLbl>
              <c:idx val="3"/>
              <c:layout>
                <c:manualLayout>
                  <c:x val="0"/>
                  <c:y val="-5.37657894736842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4B2-4B53-A9A7-137E37D4CDA0}"/>
                </c:ext>
              </c:extLst>
            </c:dLbl>
            <c:dLbl>
              <c:idx val="4"/>
              <c:layout>
                <c:manualLayout>
                  <c:x val="-7.8680266171218451E-17"/>
                  <c:y val="-5.7892982456140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4B2-4B53-A9A7-137E37D4CDA0}"/>
                </c:ext>
              </c:extLst>
            </c:dLbl>
            <c:dLbl>
              <c:idx val="5"/>
              <c:layout>
                <c:manualLayout>
                  <c:x val="0"/>
                  <c:y val="-5.01883040935672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B2-4B53-A9A7-137E37D4CDA0}"/>
                </c:ext>
              </c:extLst>
            </c:dLbl>
            <c:dLbl>
              <c:idx val="6"/>
              <c:layout>
                <c:manualLayout>
                  <c:x val="-1.573605323424369E-16"/>
                  <c:y val="-6.47146198830410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B2-4B53-A9A7-137E37D4CDA0}"/>
                </c:ext>
              </c:extLst>
            </c:dLbl>
            <c:dLbl>
              <c:idx val="7"/>
              <c:layout>
                <c:manualLayout>
                  <c:x val="0"/>
                  <c:y val="-3.0583918128654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B2-4B53-A9A7-137E37D4CDA0}"/>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Tas.!$C$79:$C$86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Tas.!$H$79:$H$86</c:f>
              <c:numCache>
                <c:formatCode>0%</c:formatCode>
                <c:ptCount val="8"/>
                <c:pt idx="0">
                  <c:v>5.2502639805967789E-2</c:v>
                </c:pt>
                <c:pt idx="1">
                  <c:v>0.51368423107036909</c:v>
                </c:pt>
                <c:pt idx="2">
                  <c:v>0.34500283540436522</c:v>
                </c:pt>
                <c:pt idx="3">
                  <c:v>0.65404234518194737</c:v>
                </c:pt>
                <c:pt idx="4">
                  <c:v>6.5677658411102416E-2</c:v>
                </c:pt>
                <c:pt idx="5">
                  <c:v>0.56676057069480801</c:v>
                </c:pt>
                <c:pt idx="6">
                  <c:v>0.18585298366181724</c:v>
                </c:pt>
                <c:pt idx="7">
                  <c:v>0.73566601905649254</c:v>
                </c:pt>
              </c:numCache>
            </c:numRef>
          </c:val>
          <c:extLst>
            <c:ext xmlns:c16="http://schemas.microsoft.com/office/drawing/2014/chart" uri="{C3380CC4-5D6E-409C-BE32-E72D297353CC}">
              <c16:uniqueId val="{00000007-34B2-4B53-A9A7-137E37D4CDA0}"/>
            </c:ext>
          </c:extLst>
        </c:ser>
        <c:dLbls>
          <c:showLegendKey val="0"/>
          <c:showVal val="0"/>
          <c:showCatName val="0"/>
          <c:showSerName val="0"/>
          <c:showPercent val="0"/>
          <c:showBubbleSize val="0"/>
        </c:dLbls>
        <c:gapWidth val="100"/>
        <c:overlap val="100"/>
        <c:axId val="219463040"/>
        <c:axId val="219477120"/>
      </c:barChart>
      <c:lineChart>
        <c:grouping val="stacked"/>
        <c:varyColors val="0"/>
        <c:ser>
          <c:idx val="6"/>
          <c:order val="4"/>
          <c:tx>
            <c:strRef>
              <c:f>Tas.!$C$75</c:f>
              <c:strCache>
                <c:ptCount val="1"/>
                <c:pt idx="0">
                  <c:v>Generation (kg per capita)</c:v>
                </c:pt>
              </c:strCache>
            </c:strRef>
          </c:tx>
          <c:spPr>
            <a:ln>
              <a:noFill/>
            </a:ln>
          </c:spPr>
          <c:marker>
            <c:symbol val="none"/>
          </c:marker>
          <c:val>
            <c:numRef>
              <c:f>Tas.!$L$79:$L$86</c:f>
              <c:numCache>
                <c:formatCode>#,##0</c:formatCode>
                <c:ptCount val="8"/>
                <c:pt idx="0">
                  <c:v>128.5504065504204</c:v>
                </c:pt>
                <c:pt idx="1">
                  <c:v>56.84680453764075</c:v>
                </c:pt>
                <c:pt idx="2">
                  <c:v>449.53418288103984</c:v>
                </c:pt>
                <c:pt idx="3">
                  <c:v>246.73399340242028</c:v>
                </c:pt>
                <c:pt idx="4">
                  <c:v>143.57345543429332</c:v>
                </c:pt>
                <c:pt idx="5">
                  <c:v>67.500228186524808</c:v>
                </c:pt>
                <c:pt idx="6">
                  <c:v>41.048630785674732</c:v>
                </c:pt>
                <c:pt idx="7">
                  <c:v>703.24736826257106</c:v>
                </c:pt>
              </c:numCache>
            </c:numRef>
          </c:val>
          <c:smooth val="0"/>
          <c:extLst>
            <c:ext xmlns:c16="http://schemas.microsoft.com/office/drawing/2014/chart" uri="{C3380CC4-5D6E-409C-BE32-E72D297353CC}">
              <c16:uniqueId val="{00000008-34B2-4B53-A9A7-137E37D4CDA0}"/>
            </c:ext>
          </c:extLst>
        </c:ser>
        <c:dLbls>
          <c:showLegendKey val="0"/>
          <c:showVal val="0"/>
          <c:showCatName val="0"/>
          <c:showSerName val="0"/>
          <c:showPercent val="0"/>
          <c:showBubbleSize val="0"/>
        </c:dLbls>
        <c:marker val="1"/>
        <c:smooth val="0"/>
        <c:axId val="680694648"/>
        <c:axId val="680693336"/>
      </c:lineChart>
      <c:catAx>
        <c:axId val="219463040"/>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477120"/>
        <c:crosses val="autoZero"/>
        <c:auto val="1"/>
        <c:lblAlgn val="ctr"/>
        <c:lblOffset val="50"/>
        <c:noMultiLvlLbl val="0"/>
      </c:catAx>
      <c:valAx>
        <c:axId val="219477120"/>
        <c:scaling>
          <c:orientation val="minMax"/>
        </c:scaling>
        <c:delete val="0"/>
        <c:axPos val="l"/>
        <c:majorGridlines>
          <c:spPr>
            <a:ln w="2540"/>
          </c:spPr>
        </c:majorGridlines>
        <c:title>
          <c:tx>
            <c:rich>
              <a:bodyPr/>
              <a:lstStyle/>
              <a:p>
                <a:pPr>
                  <a:defRPr/>
                </a:pPr>
                <a:r>
                  <a:rPr lang="en-AU"/>
                  <a:t>Kilotonnes (kt)</a:t>
                </a:r>
              </a:p>
            </c:rich>
          </c:tx>
          <c:layout>
            <c:manualLayout>
              <c:xMode val="edge"/>
              <c:yMode val="edge"/>
              <c:x val="9.5642234387672345E-2"/>
              <c:y val="0.20742777777777777"/>
            </c:manualLayout>
          </c:layout>
          <c:overlay val="0"/>
        </c:title>
        <c:numFmt formatCode="#,##0" sourceLinked="0"/>
        <c:majorTickMark val="out"/>
        <c:minorTickMark val="none"/>
        <c:tickLblPos val="nextTo"/>
        <c:spPr>
          <a:ln>
            <a:noFill/>
          </a:ln>
        </c:spPr>
        <c:crossAx val="219463040"/>
        <c:crosses val="autoZero"/>
        <c:crossBetween val="between"/>
        <c:majorUnit val="50"/>
      </c:valAx>
      <c:valAx>
        <c:axId val="680693336"/>
        <c:scaling>
          <c:orientation val="minMax"/>
        </c:scaling>
        <c:delete val="0"/>
        <c:axPos val="r"/>
        <c:title>
          <c:tx>
            <c:rich>
              <a:bodyPr/>
              <a:lstStyle/>
              <a:p>
                <a:pPr>
                  <a:defRPr/>
                </a:pPr>
                <a:r>
                  <a:rPr lang="en-AU"/>
                  <a:t>Kg per capita</a:t>
                </a:r>
              </a:p>
            </c:rich>
          </c:tx>
          <c:layout>
            <c:manualLayout>
              <c:xMode val="edge"/>
              <c:yMode val="edge"/>
              <c:x val="0.96256099621519331"/>
              <c:y val="0.1997678362573099"/>
            </c:manualLayout>
          </c:layout>
          <c:overlay val="0"/>
        </c:title>
        <c:numFmt formatCode="#,##0;\-#,##0;;" sourceLinked="0"/>
        <c:majorTickMark val="out"/>
        <c:minorTickMark val="none"/>
        <c:tickLblPos val="nextTo"/>
        <c:spPr>
          <a:ln>
            <a:noFill/>
          </a:ln>
        </c:spPr>
        <c:crossAx val="680694648"/>
        <c:crosses val="max"/>
        <c:crossBetween val="between"/>
        <c:majorUnit val="97"/>
      </c:valAx>
      <c:catAx>
        <c:axId val="680694648"/>
        <c:scaling>
          <c:orientation val="minMax"/>
        </c:scaling>
        <c:delete val="1"/>
        <c:axPos val="b"/>
        <c:majorTickMark val="out"/>
        <c:minorTickMark val="none"/>
        <c:tickLblPos val="nextTo"/>
        <c:crossAx val="680693336"/>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3216105704244392"/>
          <c:y val="2.3100584795321639E-2"/>
          <c:w val="0.43700656565656565"/>
          <c:h val="7.0880555555555558E-2"/>
        </c:manualLayout>
      </c:layout>
      <c:overlay val="0"/>
    </c:legend>
    <c:plotVisOnly val="1"/>
    <c:dispBlanksAs val="gap"/>
    <c:showDLblsOverMax val="0"/>
  </c:chart>
  <c:spPr>
    <a:ln>
      <a:noFill/>
    </a:ln>
  </c:spPr>
  <c:printSettings>
    <c:headerFooter/>
    <c:pageMargins b="0.75000000000000844" l="0.70000000000000062" r="0.70000000000000062" t="0.75000000000000844"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1535152724705"/>
          <c:y val="8.0557449704387885E-2"/>
          <c:w val="0.72450620821394462"/>
          <c:h val="0.23359453286202525"/>
        </c:manualLayout>
      </c:layout>
      <c:barChart>
        <c:barDir val="col"/>
        <c:grouping val="stacked"/>
        <c:varyColors val="0"/>
        <c:ser>
          <c:idx val="0"/>
          <c:order val="0"/>
          <c:tx>
            <c:strRef>
              <c:f>Tas.!$N$75</c:f>
              <c:strCache>
                <c:ptCount val="1"/>
                <c:pt idx="0">
                  <c:v>Disposal (kt)</c:v>
                </c:pt>
              </c:strCache>
            </c:strRef>
          </c:tx>
          <c:spPr>
            <a:noFill/>
          </c:spPr>
          <c:invertIfNegative val="0"/>
          <c:cat>
            <c:strRef>
              <c:f>Tas.!$B$79:$B$86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Tas.!$D$79:$D$86</c:f>
              <c:numCache>
                <c:formatCode>#,##0</c:formatCode>
                <c:ptCount val="8"/>
                <c:pt idx="0">
                  <c:v>62.763412536304749</c:v>
                </c:pt>
                <c:pt idx="1">
                  <c:v>14.24555896810954</c:v>
                </c:pt>
                <c:pt idx="2">
                  <c:v>151.72502823844846</c:v>
                </c:pt>
                <c:pt idx="3">
                  <c:v>43.985245263552095</c:v>
                </c:pt>
                <c:pt idx="4">
                  <c:v>69.123540144558746</c:v>
                </c:pt>
                <c:pt idx="5">
                  <c:v>15.06913423935185</c:v>
                </c:pt>
                <c:pt idx="6">
                  <c:v>17.220929812008254</c:v>
                </c:pt>
                <c:pt idx="7">
                  <c:v>95.789123166932086</c:v>
                </c:pt>
              </c:numCache>
            </c:numRef>
          </c:val>
          <c:extLst>
            <c:ext xmlns:c16="http://schemas.microsoft.com/office/drawing/2014/chart" uri="{C3380CC4-5D6E-409C-BE32-E72D297353CC}">
              <c16:uniqueId val="{00000000-9B50-4F84-8D0A-B503DA77819D}"/>
            </c:ext>
          </c:extLst>
        </c:ser>
        <c:ser>
          <c:idx val="1"/>
          <c:order val="1"/>
          <c:tx>
            <c:strRef>
              <c:f>Tas.!$O$75</c:f>
              <c:strCache>
                <c:ptCount val="1"/>
                <c:pt idx="0">
                  <c:v>Recycling (kt)</c:v>
                </c:pt>
              </c:strCache>
            </c:strRef>
          </c:tx>
          <c:spPr>
            <a:noFill/>
          </c:spPr>
          <c:invertIfNegative val="0"/>
          <c:cat>
            <c:strRef>
              <c:f>Tas.!$B$79:$B$86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Tas.!$E$79:$E$86</c:f>
              <c:numCache>
                <c:formatCode>#,##0</c:formatCode>
                <c:ptCount val="8"/>
                <c:pt idx="0">
                  <c:v>3.477840656687591</c:v>
                </c:pt>
                <c:pt idx="1">
                  <c:v>15.047258329309514</c:v>
                </c:pt>
                <c:pt idx="2">
                  <c:v>43.930999999999997</c:v>
                </c:pt>
                <c:pt idx="3">
                  <c:v>69.226529695799144</c:v>
                </c:pt>
                <c:pt idx="4">
                  <c:v>4.859</c:v>
                </c:pt>
                <c:pt idx="5">
                  <c:v>19.713328343795268</c:v>
                </c:pt>
                <c:pt idx="6">
                  <c:v>0.62104297440849832</c:v>
                </c:pt>
                <c:pt idx="7">
                  <c:v>266.59002621456091</c:v>
                </c:pt>
              </c:numCache>
            </c:numRef>
          </c:val>
          <c:extLst>
            <c:ext xmlns:c16="http://schemas.microsoft.com/office/drawing/2014/chart" uri="{C3380CC4-5D6E-409C-BE32-E72D297353CC}">
              <c16:uniqueId val="{00000001-9B50-4F84-8D0A-B503DA77819D}"/>
            </c:ext>
          </c:extLst>
        </c:ser>
        <c:ser>
          <c:idx val="2"/>
          <c:order val="2"/>
          <c:tx>
            <c:strRef>
              <c:f>Tas.!$P$75</c:f>
              <c:strCache>
                <c:ptCount val="1"/>
                <c:pt idx="0">
                  <c:v>En recovery (kt)</c:v>
                </c:pt>
              </c:strCache>
            </c:strRef>
          </c:tx>
          <c:spPr>
            <a:noFill/>
          </c:spPr>
          <c:invertIfNegative val="0"/>
          <c:cat>
            <c:strRef>
              <c:f>Tas.!$B$79:$B$86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Tas.!$F$79:$F$86</c:f>
              <c:numCache>
                <c:formatCode>#,##0</c:formatCode>
                <c:ptCount val="8"/>
                <c:pt idx="0">
                  <c:v>0</c:v>
                </c:pt>
                <c:pt idx="1">
                  <c:v>0</c:v>
                </c:pt>
                <c:pt idx="2">
                  <c:v>35.986238995054045</c:v>
                </c:pt>
                <c:pt idx="3">
                  <c:v>13.928771436955522</c:v>
                </c:pt>
                <c:pt idx="4">
                  <c:v>0</c:v>
                </c:pt>
                <c:pt idx="5">
                  <c:v>0</c:v>
                </c:pt>
                <c:pt idx="6">
                  <c:v>3.3101403656567236</c:v>
                </c:pt>
                <c:pt idx="7">
                  <c:v>3.5774994272244698E-13</c:v>
                </c:pt>
              </c:numCache>
            </c:numRef>
          </c:val>
          <c:extLst>
            <c:ext xmlns:c16="http://schemas.microsoft.com/office/drawing/2014/chart" uri="{C3380CC4-5D6E-409C-BE32-E72D297353CC}">
              <c16:uniqueId val="{00000002-9B50-4F84-8D0A-B503DA77819D}"/>
            </c:ext>
          </c:extLst>
        </c:ser>
        <c:ser>
          <c:idx val="4"/>
          <c:order val="3"/>
          <c:tx>
            <c:strRef>
              <c:f>Tas.!$Q$75</c:f>
              <c:strCache>
                <c:ptCount val="1"/>
                <c:pt idx="0">
                  <c:v>Generation (kt)</c:v>
                </c:pt>
              </c:strCache>
            </c:strRef>
          </c:tx>
          <c:spPr>
            <a:noFill/>
            <a:ln>
              <a:noFill/>
            </a:ln>
          </c:spPr>
          <c:invertIfNegative val="0"/>
          <c:cat>
            <c:strRef>
              <c:f>Tas.!$B$79:$B$86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Tas.!$G$79:$G$86</c:f>
              <c:numCache>
                <c:formatCode>#,##0</c:formatCode>
                <c:ptCount val="8"/>
                <c:pt idx="0">
                  <c:v>66.241253192992346</c:v>
                </c:pt>
                <c:pt idx="1">
                  <c:v>29.292817297419056</c:v>
                </c:pt>
                <c:pt idx="2">
                  <c:v>231.64226723350251</c:v>
                </c:pt>
                <c:pt idx="3">
                  <c:v>127.14054639630675</c:v>
                </c:pt>
                <c:pt idx="4">
                  <c:v>73.98254014455874</c:v>
                </c:pt>
                <c:pt idx="5">
                  <c:v>34.782462583147122</c:v>
                </c:pt>
                <c:pt idx="6">
                  <c:v>21.152113152073479</c:v>
                </c:pt>
                <c:pt idx="7">
                  <c:v>362.37914938149333</c:v>
                </c:pt>
              </c:numCache>
            </c:numRef>
          </c:val>
          <c:extLst>
            <c:ext xmlns:c16="http://schemas.microsoft.com/office/drawing/2014/chart" uri="{C3380CC4-5D6E-409C-BE32-E72D297353CC}">
              <c16:uniqueId val="{00000003-9B50-4F84-8D0A-B503DA77819D}"/>
            </c:ext>
          </c:extLst>
        </c:ser>
        <c:ser>
          <c:idx val="3"/>
          <c:order val="4"/>
          <c:tx>
            <c:strRef>
              <c:f>Tas.!$R$75</c:f>
              <c:strCache>
                <c:ptCount val="1"/>
                <c:pt idx="0">
                  <c:v>Generation (kg/cap)</c:v>
                </c:pt>
              </c:strCache>
            </c:strRef>
          </c:tx>
          <c:spPr>
            <a:noFill/>
          </c:spPr>
          <c:invertIfNegative val="0"/>
          <c:cat>
            <c:strRef>
              <c:f>Tas.!$B$79:$B$86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Tas.!$L$79:$L$86</c:f>
              <c:numCache>
                <c:formatCode>#,##0</c:formatCode>
                <c:ptCount val="8"/>
                <c:pt idx="0">
                  <c:v>128.5504065504204</c:v>
                </c:pt>
                <c:pt idx="1">
                  <c:v>56.84680453764075</c:v>
                </c:pt>
                <c:pt idx="2">
                  <c:v>449.53418288103984</c:v>
                </c:pt>
                <c:pt idx="3">
                  <c:v>246.73399340242028</c:v>
                </c:pt>
                <c:pt idx="4">
                  <c:v>143.57345543429332</c:v>
                </c:pt>
                <c:pt idx="5">
                  <c:v>67.500228186524808</c:v>
                </c:pt>
                <c:pt idx="6">
                  <c:v>41.048630785674732</c:v>
                </c:pt>
                <c:pt idx="7">
                  <c:v>703.24736826257106</c:v>
                </c:pt>
              </c:numCache>
            </c:numRef>
          </c:val>
          <c:extLst>
            <c:ext xmlns:c16="http://schemas.microsoft.com/office/drawing/2014/chart" uri="{C3380CC4-5D6E-409C-BE32-E72D297353CC}">
              <c16:uniqueId val="{00000004-9B50-4F84-8D0A-B503DA77819D}"/>
            </c:ext>
          </c:extLst>
        </c:ser>
        <c:dLbls>
          <c:showLegendKey val="0"/>
          <c:showVal val="0"/>
          <c:showCatName val="0"/>
          <c:showSerName val="0"/>
          <c:showPercent val="0"/>
          <c:showBubbleSize val="0"/>
        </c:dLbls>
        <c:gapWidth val="150"/>
        <c:overlap val="100"/>
        <c:axId val="220093056"/>
        <c:axId val="220111232"/>
      </c:barChart>
      <c:catAx>
        <c:axId val="220093056"/>
        <c:scaling>
          <c:orientation val="minMax"/>
        </c:scaling>
        <c:delete val="1"/>
        <c:axPos val="b"/>
        <c:numFmt formatCode="General" sourceLinked="0"/>
        <c:majorTickMark val="none"/>
        <c:minorTickMark val="none"/>
        <c:tickLblPos val="nextTo"/>
        <c:crossAx val="220111232"/>
        <c:crosses val="autoZero"/>
        <c:auto val="1"/>
        <c:lblAlgn val="ctr"/>
        <c:lblOffset val="100"/>
        <c:noMultiLvlLbl val="0"/>
      </c:catAx>
      <c:valAx>
        <c:axId val="220111232"/>
        <c:scaling>
          <c:orientation val="minMax"/>
        </c:scaling>
        <c:delete val="1"/>
        <c:axPos val="l"/>
        <c:numFmt formatCode="#,##0" sourceLinked="0"/>
        <c:majorTickMark val="out"/>
        <c:minorTickMark val="none"/>
        <c:tickLblPos val="nextTo"/>
        <c:crossAx val="220093056"/>
        <c:crosses val="autoZero"/>
        <c:crossBetween val="between"/>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844" l="0.70000000000000062" r="0.70000000000000062" t="0.750000000000008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69535685320356"/>
          <c:y val="0.11294561403508772"/>
          <c:w val="0.61104966329966326"/>
          <c:h val="0.49764093567251461"/>
        </c:manualLayout>
      </c:layout>
      <c:barChart>
        <c:barDir val="col"/>
        <c:grouping val="stacked"/>
        <c:varyColors val="0"/>
        <c:ser>
          <c:idx val="0"/>
          <c:order val="0"/>
          <c:tx>
            <c:strRef>
              <c:f>Tas.!$C$70</c:f>
              <c:strCache>
                <c:ptCount val="1"/>
                <c:pt idx="0">
                  <c:v>Disposal</c:v>
                </c:pt>
              </c:strCache>
            </c:strRef>
          </c:tx>
          <c:spPr>
            <a:solidFill>
              <a:schemeClr val="accent3">
                <a:lumMod val="50000"/>
              </a:schemeClr>
            </a:solidFill>
          </c:spPr>
          <c:invertIfNegative val="0"/>
          <c:cat>
            <c:strRef>
              <c:f>(Tas.!$H$67,Tas.!$J$67)</c:f>
              <c:strCache>
                <c:ptCount val="2"/>
                <c:pt idx="0">
                  <c:v>Total</c:v>
                </c:pt>
                <c:pt idx="1">
                  <c:v>Total excl. hazwaste</c:v>
                </c:pt>
              </c:strCache>
            </c:strRef>
          </c:cat>
          <c:val>
            <c:numRef>
              <c:f>(Tas.!$H$70,Tas.!$J$70)</c:f>
              <c:numCache>
                <c:formatCode>#,##0</c:formatCode>
                <c:ptCount val="2"/>
                <c:pt idx="0">
                  <c:v>469.92197236926575</c:v>
                </c:pt>
                <c:pt idx="1">
                  <c:v>374.13284920233366</c:v>
                </c:pt>
              </c:numCache>
            </c:numRef>
          </c:val>
          <c:extLst>
            <c:ext xmlns:c16="http://schemas.microsoft.com/office/drawing/2014/chart" uri="{C3380CC4-5D6E-409C-BE32-E72D297353CC}">
              <c16:uniqueId val="{00000000-9C6D-4842-8838-44EF6D2F17FC}"/>
            </c:ext>
          </c:extLst>
        </c:ser>
        <c:ser>
          <c:idx val="1"/>
          <c:order val="1"/>
          <c:tx>
            <c:strRef>
              <c:f>Tas.!$C$71</c:f>
              <c:strCache>
                <c:ptCount val="1"/>
                <c:pt idx="0">
                  <c:v>Recycling</c:v>
                </c:pt>
              </c:strCache>
            </c:strRef>
          </c:tx>
          <c:spPr>
            <a:solidFill>
              <a:srgbClr val="FFFF00"/>
            </a:solidFill>
          </c:spPr>
          <c:invertIfNegative val="0"/>
          <c:cat>
            <c:strRef>
              <c:f>(Tas.!$H$67,Tas.!$J$67)</c:f>
              <c:strCache>
                <c:ptCount val="2"/>
                <c:pt idx="0">
                  <c:v>Total</c:v>
                </c:pt>
                <c:pt idx="1">
                  <c:v>Total excl. hazwaste</c:v>
                </c:pt>
              </c:strCache>
            </c:strRef>
          </c:cat>
          <c:val>
            <c:numRef>
              <c:f>(Tas.!$H$71,Tas.!$J$71)</c:f>
              <c:numCache>
                <c:formatCode>#,##0</c:formatCode>
                <c:ptCount val="2"/>
                <c:pt idx="0">
                  <c:v>423.46602621456088</c:v>
                </c:pt>
                <c:pt idx="1">
                  <c:v>156.876</c:v>
                </c:pt>
              </c:numCache>
            </c:numRef>
          </c:val>
          <c:extLst>
            <c:ext xmlns:c16="http://schemas.microsoft.com/office/drawing/2014/chart" uri="{C3380CC4-5D6E-409C-BE32-E72D297353CC}">
              <c16:uniqueId val="{00000001-9C6D-4842-8838-44EF6D2F17FC}"/>
            </c:ext>
          </c:extLst>
        </c:ser>
        <c:ser>
          <c:idx val="2"/>
          <c:order val="2"/>
          <c:tx>
            <c:strRef>
              <c:f>Tas.!$C$72</c:f>
              <c:strCache>
                <c:ptCount val="1"/>
                <c:pt idx="0">
                  <c:v>Energy recovery</c:v>
                </c:pt>
              </c:strCache>
            </c:strRef>
          </c:tx>
          <c:spPr>
            <a:solidFill>
              <a:schemeClr val="accent6">
                <a:lumMod val="75000"/>
              </a:schemeClr>
            </a:solidFill>
          </c:spPr>
          <c:invertIfNegative val="0"/>
          <c:cat>
            <c:strRef>
              <c:f>(Tas.!$H$67,Tas.!$J$67)</c:f>
              <c:strCache>
                <c:ptCount val="2"/>
                <c:pt idx="0">
                  <c:v>Total</c:v>
                </c:pt>
                <c:pt idx="1">
                  <c:v>Total excl. hazwaste</c:v>
                </c:pt>
              </c:strCache>
            </c:strRef>
          </c:cat>
          <c:val>
            <c:numRef>
              <c:f>(Tas.!$H$72,Tas.!$J$72)</c:f>
              <c:numCache>
                <c:formatCode>#,##0</c:formatCode>
                <c:ptCount val="2"/>
                <c:pt idx="0">
                  <c:v>53.22515079766665</c:v>
                </c:pt>
                <c:pt idx="1">
                  <c:v>53.225150797666288</c:v>
                </c:pt>
              </c:numCache>
            </c:numRef>
          </c:val>
          <c:extLst>
            <c:ext xmlns:c16="http://schemas.microsoft.com/office/drawing/2014/chart" uri="{C3380CC4-5D6E-409C-BE32-E72D297353CC}">
              <c16:uniqueId val="{00000002-9C6D-4842-8838-44EF6D2F17FC}"/>
            </c:ext>
          </c:extLst>
        </c:ser>
        <c:ser>
          <c:idx val="3"/>
          <c:order val="3"/>
          <c:tx>
            <c:strRef>
              <c:f>Tas.!$C$73</c:f>
              <c:strCache>
                <c:ptCount val="1"/>
                <c:pt idx="0">
                  <c:v>Recovery rate</c:v>
                </c:pt>
              </c:strCache>
            </c:strRef>
          </c:tx>
          <c:spPr>
            <a:noFill/>
          </c:spPr>
          <c:invertIfNegative val="0"/>
          <c:dLbls>
            <c:dLbl>
              <c:idx val="0"/>
              <c:layout>
                <c:manualLayout>
                  <c:x val="-2.1458502297918357E-3"/>
                  <c:y val="9.39005847953216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6D-4842-8838-44EF6D2F17FC}"/>
                </c:ext>
              </c:extLst>
            </c:dLbl>
            <c:dLbl>
              <c:idx val="1"/>
              <c:layout>
                <c:manualLayout>
                  <c:x val="-7.6169234928359013E-4"/>
                  <c:y val="5.33763157894736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6D-4842-8838-44EF6D2F17FC}"/>
                </c:ext>
              </c:extLst>
            </c:dLbl>
            <c:numFmt formatCode="0%" sourceLinked="0"/>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(Tas.!$H$67,Tas.!$J$67)</c:f>
              <c:strCache>
                <c:ptCount val="2"/>
                <c:pt idx="0">
                  <c:v>Total</c:v>
                </c:pt>
                <c:pt idx="1">
                  <c:v>Total excl. hazwaste</c:v>
                </c:pt>
              </c:strCache>
            </c:strRef>
          </c:cat>
          <c:val>
            <c:numRef>
              <c:f>(Tas.!$O$73,Tas.!$Q$73)</c:f>
              <c:numCache>
                <c:formatCode>0%</c:formatCode>
                <c:ptCount val="2"/>
                <c:pt idx="0">
                  <c:v>503.57548627302748</c:v>
                </c:pt>
                <c:pt idx="1">
                  <c:v>359.61815094237295</c:v>
                </c:pt>
              </c:numCache>
            </c:numRef>
          </c:val>
          <c:extLst>
            <c:ext xmlns:c16="http://schemas.microsoft.com/office/drawing/2014/chart" uri="{C3380CC4-5D6E-409C-BE32-E72D297353CC}">
              <c16:uniqueId val="{00000005-9C6D-4842-8838-44EF6D2F17FC}"/>
            </c:ext>
          </c:extLst>
        </c:ser>
        <c:dLbls>
          <c:showLegendKey val="0"/>
          <c:showVal val="0"/>
          <c:showCatName val="0"/>
          <c:showSerName val="0"/>
          <c:showPercent val="0"/>
          <c:showBubbleSize val="0"/>
        </c:dLbls>
        <c:gapWidth val="270"/>
        <c:overlap val="100"/>
        <c:axId val="219543040"/>
        <c:axId val="219544576"/>
      </c:barChart>
      <c:lineChart>
        <c:grouping val="stacked"/>
        <c:varyColors val="0"/>
        <c:ser>
          <c:idx val="4"/>
          <c:order val="4"/>
          <c:tx>
            <c:v>disposal per cap</c:v>
          </c:tx>
          <c:spPr>
            <a:ln>
              <a:noFill/>
            </a:ln>
          </c:spPr>
          <c:marker>
            <c:symbol val="none"/>
          </c:marker>
          <c:val>
            <c:numRef>
              <c:f>(Tas.!$K$70,Tas.!$M$70)</c:f>
              <c:numCache>
                <c:formatCode>#,##0</c:formatCode>
                <c:ptCount val="2"/>
                <c:pt idx="0">
                  <c:v>911.9492413442922</c:v>
                </c:pt>
                <c:pt idx="1">
                  <c:v>726.05706490340208</c:v>
                </c:pt>
              </c:numCache>
            </c:numRef>
          </c:val>
          <c:smooth val="0"/>
          <c:extLst>
            <c:ext xmlns:c16="http://schemas.microsoft.com/office/drawing/2014/chart" uri="{C3380CC4-5D6E-409C-BE32-E72D297353CC}">
              <c16:uniqueId val="{00000006-9C6D-4842-8838-44EF6D2F17FC}"/>
            </c:ext>
          </c:extLst>
        </c:ser>
        <c:ser>
          <c:idx val="5"/>
          <c:order val="5"/>
          <c:tx>
            <c:v>recycling per cap</c:v>
          </c:tx>
          <c:spPr>
            <a:ln>
              <a:noFill/>
            </a:ln>
          </c:spPr>
          <c:marker>
            <c:symbol val="none"/>
          </c:marker>
          <c:val>
            <c:numRef>
              <c:f>(Tas.!$K$71,Tas.!$M$71)</c:f>
              <c:numCache>
                <c:formatCode>#,##0</c:formatCode>
                <c:ptCount val="2"/>
                <c:pt idx="0">
                  <c:v>821.79498735588015</c:v>
                </c:pt>
                <c:pt idx="1">
                  <c:v>304.4397955341999</c:v>
                </c:pt>
              </c:numCache>
            </c:numRef>
          </c:val>
          <c:smooth val="0"/>
          <c:extLst>
            <c:ext xmlns:c16="http://schemas.microsoft.com/office/drawing/2014/chart" uri="{C3380CC4-5D6E-409C-BE32-E72D297353CC}">
              <c16:uniqueId val="{00000007-9C6D-4842-8838-44EF6D2F17FC}"/>
            </c:ext>
          </c:extLst>
        </c:ser>
        <c:ser>
          <c:idx val="6"/>
          <c:order val="6"/>
          <c:tx>
            <c:v>en recov per cap</c:v>
          </c:tx>
          <c:spPr>
            <a:ln>
              <a:noFill/>
            </a:ln>
          </c:spPr>
          <c:marker>
            <c:symbol val="none"/>
          </c:marker>
          <c:val>
            <c:numRef>
              <c:f>(Tas.!$K$72,Tas.!$M$72)</c:f>
              <c:numCache>
                <c:formatCode>#,##0</c:formatCode>
                <c:ptCount val="2"/>
                <c:pt idx="0">
                  <c:v>103.29084134041275</c:v>
                </c:pt>
                <c:pt idx="1">
                  <c:v>103.29084134041206</c:v>
                </c:pt>
              </c:numCache>
            </c:numRef>
          </c:val>
          <c:smooth val="0"/>
          <c:extLst>
            <c:ext xmlns:c16="http://schemas.microsoft.com/office/drawing/2014/chart" uri="{C3380CC4-5D6E-409C-BE32-E72D297353CC}">
              <c16:uniqueId val="{00000008-9C6D-4842-8838-44EF6D2F17FC}"/>
            </c:ext>
          </c:extLst>
        </c:ser>
        <c:dLbls>
          <c:showLegendKey val="0"/>
          <c:showVal val="0"/>
          <c:showCatName val="0"/>
          <c:showSerName val="0"/>
          <c:showPercent val="0"/>
          <c:showBubbleSize val="0"/>
        </c:dLbls>
        <c:marker val="1"/>
        <c:smooth val="0"/>
        <c:axId val="219687936"/>
        <c:axId val="219686016"/>
      </c:lineChart>
      <c:catAx>
        <c:axId val="219543040"/>
        <c:scaling>
          <c:orientation val="minMax"/>
        </c:scaling>
        <c:delete val="0"/>
        <c:axPos val="b"/>
        <c:numFmt formatCode="General" sourceLinked="0"/>
        <c:majorTickMark val="none"/>
        <c:minorTickMark val="none"/>
        <c:tickLblPos val="nextTo"/>
        <c:spPr>
          <a:ln w="2540"/>
        </c:spPr>
        <c:crossAx val="219544576"/>
        <c:crosses val="autoZero"/>
        <c:auto val="1"/>
        <c:lblAlgn val="ctr"/>
        <c:lblOffset val="50"/>
        <c:noMultiLvlLbl val="0"/>
      </c:catAx>
      <c:valAx>
        <c:axId val="219544576"/>
        <c:scaling>
          <c:orientation val="minMax"/>
          <c:max val="1000"/>
        </c:scaling>
        <c:delete val="0"/>
        <c:axPos val="l"/>
        <c:majorGridlines>
          <c:spPr>
            <a:ln w="2540"/>
          </c:spPr>
        </c:majorGridlines>
        <c:title>
          <c:tx>
            <c:rich>
              <a:bodyPr/>
              <a:lstStyle/>
              <a:p>
                <a:pPr>
                  <a:defRPr/>
                </a:pPr>
                <a:r>
                  <a:rPr lang="en-US"/>
                  <a:t>Megatonnes</a:t>
                </a:r>
              </a:p>
            </c:rich>
          </c:tx>
          <c:layout>
            <c:manualLayout>
              <c:xMode val="edge"/>
              <c:yMode val="edge"/>
              <c:x val="0.13592119491754528"/>
              <c:y val="0.23724035087719297"/>
            </c:manualLayout>
          </c:layout>
          <c:overlay val="0"/>
        </c:title>
        <c:numFmt formatCode="#,##0.0" sourceLinked="0"/>
        <c:majorTickMark val="out"/>
        <c:minorTickMark val="none"/>
        <c:tickLblPos val="nextTo"/>
        <c:spPr>
          <a:ln>
            <a:noFill/>
          </a:ln>
        </c:spPr>
        <c:crossAx val="219543040"/>
        <c:crosses val="autoZero"/>
        <c:crossBetween val="between"/>
        <c:majorUnit val="200"/>
        <c:dispUnits>
          <c:builtInUnit val="thousands"/>
        </c:dispUnits>
      </c:valAx>
      <c:valAx>
        <c:axId val="219686016"/>
        <c:scaling>
          <c:orientation val="minMax"/>
          <c:min val="0"/>
        </c:scaling>
        <c:delete val="0"/>
        <c:axPos val="r"/>
        <c:title>
          <c:tx>
            <c:rich>
              <a:bodyPr/>
              <a:lstStyle/>
              <a:p>
                <a:pPr>
                  <a:defRPr/>
                </a:pPr>
                <a:r>
                  <a:rPr lang="en-US"/>
                  <a:t>Kg per capita</a:t>
                </a:r>
              </a:p>
            </c:rich>
          </c:tx>
          <c:layout>
            <c:manualLayout>
              <c:xMode val="edge"/>
              <c:yMode val="edge"/>
              <c:x val="0.92364017301973511"/>
              <c:y val="0.2265888888888889"/>
            </c:manualLayout>
          </c:layout>
          <c:overlay val="0"/>
        </c:title>
        <c:numFmt formatCode="#,##0" sourceLinked="0"/>
        <c:majorTickMark val="out"/>
        <c:minorTickMark val="none"/>
        <c:tickLblPos val="nextTo"/>
        <c:spPr>
          <a:ln>
            <a:noFill/>
          </a:ln>
        </c:spPr>
        <c:crossAx val="219687936"/>
        <c:crosses val="max"/>
        <c:crossBetween val="between"/>
        <c:majorUnit val="390"/>
      </c:valAx>
      <c:catAx>
        <c:axId val="219687936"/>
        <c:scaling>
          <c:orientation val="minMax"/>
        </c:scaling>
        <c:delete val="1"/>
        <c:axPos val="b"/>
        <c:majorTickMark val="out"/>
        <c:minorTickMark val="none"/>
        <c:tickLblPos val="nextTo"/>
        <c:crossAx val="219686016"/>
        <c:crosses val="autoZero"/>
        <c:auto val="1"/>
        <c:lblAlgn val="ctr"/>
        <c:lblOffset val="100"/>
        <c:noMultiLvlLbl val="0"/>
      </c:catAx>
    </c:plotArea>
    <c:legend>
      <c:legendPos val="t"/>
      <c:legendEntry>
        <c:idx val="3"/>
        <c:delete val="1"/>
      </c:legendEntry>
      <c:legendEntry>
        <c:idx val="4"/>
        <c:delete val="1"/>
      </c:legendEntry>
      <c:legendEntry>
        <c:idx val="5"/>
        <c:delete val="1"/>
      </c:legendEntry>
      <c:legendEntry>
        <c:idx val="6"/>
        <c:delete val="1"/>
      </c:legendEntry>
      <c:layout>
        <c:manualLayout>
          <c:xMode val="edge"/>
          <c:yMode val="edge"/>
          <c:x val="0.29950121654501216"/>
          <c:y val="2.4063742690058478E-2"/>
          <c:w val="0.50702679538284368"/>
          <c:h val="6.0088620727098134E-2"/>
        </c:manualLayout>
      </c:layout>
      <c:overlay val="1"/>
    </c:legend>
    <c:plotVisOnly val="1"/>
    <c:dispBlanksAs val="gap"/>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906837529896368"/>
          <c:y val="0.21294767637332584"/>
          <c:w val="0.7231087309899521"/>
          <c:h val="0.10514317465139436"/>
        </c:manualLayout>
      </c:layout>
      <c:barChart>
        <c:barDir val="col"/>
        <c:grouping val="stacked"/>
        <c:varyColors val="0"/>
        <c:ser>
          <c:idx val="0"/>
          <c:order val="0"/>
          <c:tx>
            <c:strRef>
              <c:f>Tas.!$C$70</c:f>
              <c:strCache>
                <c:ptCount val="1"/>
                <c:pt idx="0">
                  <c:v>Disposal</c:v>
                </c:pt>
              </c:strCache>
            </c:strRef>
          </c:tx>
          <c:spPr>
            <a:noFill/>
          </c:spPr>
          <c:invertIfNegative val="0"/>
          <c:cat>
            <c:strRef>
              <c:f>Tas.!$N$76:$Q$76</c:f>
              <c:strCache>
                <c:ptCount val="4"/>
                <c:pt idx="0">
                  <c:v>Megatonnes</c:v>
                </c:pt>
                <c:pt idx="1">
                  <c:v>Kg per capita</c:v>
                </c:pt>
                <c:pt idx="2">
                  <c:v>Megatonnes</c:v>
                </c:pt>
                <c:pt idx="3">
                  <c:v>Kg per capita</c:v>
                </c:pt>
              </c:strCache>
            </c:strRef>
          </c:cat>
          <c:val>
            <c:numRef>
              <c:f>(Tas.!$O$70,Tas.!$K$70,Tas.!$Q$70,Tas.!$M$70)</c:f>
              <c:numCache>
                <c:formatCode>#,##0</c:formatCode>
                <c:ptCount val="4"/>
                <c:pt idx="0" formatCode="0.00">
                  <c:v>0.46992197236926575</c:v>
                </c:pt>
                <c:pt idx="1">
                  <c:v>911.9492413442922</c:v>
                </c:pt>
                <c:pt idx="2" formatCode="0.00">
                  <c:v>0.37413284920233364</c:v>
                </c:pt>
                <c:pt idx="3">
                  <c:v>726.05706490340208</c:v>
                </c:pt>
              </c:numCache>
            </c:numRef>
          </c:val>
          <c:extLst>
            <c:ext xmlns:c16="http://schemas.microsoft.com/office/drawing/2014/chart" uri="{C3380CC4-5D6E-409C-BE32-E72D297353CC}">
              <c16:uniqueId val="{00000000-F7AE-4FAB-A4DB-7533A1192927}"/>
            </c:ext>
          </c:extLst>
        </c:ser>
        <c:ser>
          <c:idx val="1"/>
          <c:order val="1"/>
          <c:tx>
            <c:strRef>
              <c:f>Tas.!$C$71</c:f>
              <c:strCache>
                <c:ptCount val="1"/>
                <c:pt idx="0">
                  <c:v>Recycling</c:v>
                </c:pt>
              </c:strCache>
            </c:strRef>
          </c:tx>
          <c:spPr>
            <a:noFill/>
          </c:spPr>
          <c:invertIfNegative val="0"/>
          <c:cat>
            <c:strRef>
              <c:f>Tas.!$N$76:$Q$76</c:f>
              <c:strCache>
                <c:ptCount val="4"/>
                <c:pt idx="0">
                  <c:v>Megatonnes</c:v>
                </c:pt>
                <c:pt idx="1">
                  <c:v>Kg per capita</c:v>
                </c:pt>
                <c:pt idx="2">
                  <c:v>Megatonnes</c:v>
                </c:pt>
                <c:pt idx="3">
                  <c:v>Kg per capita</c:v>
                </c:pt>
              </c:strCache>
            </c:strRef>
          </c:cat>
          <c:val>
            <c:numRef>
              <c:f>(Tas.!$O$71,Tas.!$K$71,Tas.!$Q$71,Tas.!$M$71)</c:f>
              <c:numCache>
                <c:formatCode>#,##0</c:formatCode>
                <c:ptCount val="4"/>
                <c:pt idx="0" formatCode="0.00">
                  <c:v>0.42346602621456086</c:v>
                </c:pt>
                <c:pt idx="1">
                  <c:v>821.79498735588015</c:v>
                </c:pt>
                <c:pt idx="2" formatCode="0.00">
                  <c:v>0.15687600000000002</c:v>
                </c:pt>
                <c:pt idx="3">
                  <c:v>304.4397955341999</c:v>
                </c:pt>
              </c:numCache>
            </c:numRef>
          </c:val>
          <c:extLst>
            <c:ext xmlns:c16="http://schemas.microsoft.com/office/drawing/2014/chart" uri="{C3380CC4-5D6E-409C-BE32-E72D297353CC}">
              <c16:uniqueId val="{00000001-F7AE-4FAB-A4DB-7533A1192927}"/>
            </c:ext>
          </c:extLst>
        </c:ser>
        <c:ser>
          <c:idx val="2"/>
          <c:order val="2"/>
          <c:tx>
            <c:strRef>
              <c:f>Tas.!$C$72</c:f>
              <c:strCache>
                <c:ptCount val="1"/>
                <c:pt idx="0">
                  <c:v>Energy recovery</c:v>
                </c:pt>
              </c:strCache>
            </c:strRef>
          </c:tx>
          <c:spPr>
            <a:noFill/>
          </c:spPr>
          <c:invertIfNegative val="0"/>
          <c:cat>
            <c:strRef>
              <c:f>Tas.!$N$76:$Q$76</c:f>
              <c:strCache>
                <c:ptCount val="4"/>
                <c:pt idx="0">
                  <c:v>Megatonnes</c:v>
                </c:pt>
                <c:pt idx="1">
                  <c:v>Kg per capita</c:v>
                </c:pt>
                <c:pt idx="2">
                  <c:v>Megatonnes</c:v>
                </c:pt>
                <c:pt idx="3">
                  <c:v>Kg per capita</c:v>
                </c:pt>
              </c:strCache>
            </c:strRef>
          </c:cat>
          <c:val>
            <c:numRef>
              <c:f>(Tas.!$O$72,Tas.!$K$72,Tas.!$Q$72,Tas.!$M$72)</c:f>
              <c:numCache>
                <c:formatCode>#,##0</c:formatCode>
                <c:ptCount val="4"/>
                <c:pt idx="0" formatCode="0.00">
                  <c:v>5.3225150797666647E-2</c:v>
                </c:pt>
                <c:pt idx="1">
                  <c:v>103.29084134041275</c:v>
                </c:pt>
                <c:pt idx="2" formatCode="0.00">
                  <c:v>5.3225150797666286E-2</c:v>
                </c:pt>
                <c:pt idx="3">
                  <c:v>103.29084134041206</c:v>
                </c:pt>
              </c:numCache>
            </c:numRef>
          </c:val>
          <c:extLst>
            <c:ext xmlns:c16="http://schemas.microsoft.com/office/drawing/2014/chart" uri="{C3380CC4-5D6E-409C-BE32-E72D297353CC}">
              <c16:uniqueId val="{00000002-F7AE-4FAB-A4DB-7533A1192927}"/>
            </c:ext>
          </c:extLst>
        </c:ser>
        <c:ser>
          <c:idx val="4"/>
          <c:order val="3"/>
          <c:tx>
            <c:strRef>
              <c:f>Tas.!$C$74</c:f>
              <c:strCache>
                <c:ptCount val="1"/>
                <c:pt idx="0">
                  <c:v>Generation</c:v>
                </c:pt>
              </c:strCache>
            </c:strRef>
          </c:tx>
          <c:spPr>
            <a:noFill/>
            <a:ln>
              <a:noFill/>
            </a:ln>
          </c:spPr>
          <c:invertIfNegative val="0"/>
          <c:cat>
            <c:strRef>
              <c:f>Tas.!$N$76:$Q$76</c:f>
              <c:strCache>
                <c:ptCount val="4"/>
                <c:pt idx="0">
                  <c:v>Megatonnes</c:v>
                </c:pt>
                <c:pt idx="1">
                  <c:v>Kg per capita</c:v>
                </c:pt>
                <c:pt idx="2">
                  <c:v>Megatonnes</c:v>
                </c:pt>
                <c:pt idx="3">
                  <c:v>Kg per capita</c:v>
                </c:pt>
              </c:strCache>
            </c:strRef>
          </c:cat>
          <c:val>
            <c:numRef>
              <c:f>(Tas.!$O$74,Tas.!$K$74,Tas.!$Q$74,Tas.!$M$74)</c:f>
              <c:numCache>
                <c:formatCode>#,##0</c:formatCode>
                <c:ptCount val="4"/>
                <c:pt idx="0" formatCode="0.00">
                  <c:v>0.94661314938149321</c:v>
                </c:pt>
                <c:pt idx="1">
                  <c:v>1837.035070040585</c:v>
                </c:pt>
                <c:pt idx="2" formatCode="0.00">
                  <c:v>0.58423399999999992</c:v>
                </c:pt>
                <c:pt idx="3">
                  <c:v>1133.787701778014</c:v>
                </c:pt>
              </c:numCache>
            </c:numRef>
          </c:val>
          <c:extLst>
            <c:ext xmlns:c16="http://schemas.microsoft.com/office/drawing/2014/chart" uri="{C3380CC4-5D6E-409C-BE32-E72D297353CC}">
              <c16:uniqueId val="{00000003-F7AE-4FAB-A4DB-7533A1192927}"/>
            </c:ext>
          </c:extLst>
        </c:ser>
        <c:dLbls>
          <c:showLegendKey val="0"/>
          <c:showVal val="0"/>
          <c:showCatName val="0"/>
          <c:showSerName val="0"/>
          <c:showPercent val="0"/>
          <c:showBubbleSize val="0"/>
        </c:dLbls>
        <c:gapWidth val="150"/>
        <c:overlap val="100"/>
        <c:axId val="219727360"/>
        <c:axId val="219728896"/>
      </c:barChart>
      <c:catAx>
        <c:axId val="219727360"/>
        <c:scaling>
          <c:orientation val="minMax"/>
        </c:scaling>
        <c:delete val="1"/>
        <c:axPos val="b"/>
        <c:numFmt formatCode="General" sourceLinked="0"/>
        <c:majorTickMark val="none"/>
        <c:minorTickMark val="none"/>
        <c:tickLblPos val="nextTo"/>
        <c:crossAx val="219728896"/>
        <c:crosses val="autoZero"/>
        <c:auto val="1"/>
        <c:lblAlgn val="ctr"/>
        <c:lblOffset val="100"/>
        <c:noMultiLvlLbl val="0"/>
      </c:catAx>
      <c:valAx>
        <c:axId val="219728896"/>
        <c:scaling>
          <c:orientation val="minMax"/>
        </c:scaling>
        <c:delete val="1"/>
        <c:axPos val="l"/>
        <c:numFmt formatCode="#,##0" sourceLinked="0"/>
        <c:majorTickMark val="out"/>
        <c:minorTickMark val="none"/>
        <c:tickLblPos val="nextTo"/>
        <c:crossAx val="219727360"/>
        <c:crosses val="autoZero"/>
        <c:crossBetween val="between"/>
      </c:valAx>
      <c:dTable>
        <c:showHorzBorder val="1"/>
        <c:showVertBorder val="1"/>
        <c:showOutline val="1"/>
        <c:showKeys val="0"/>
        <c:spPr>
          <a:ln w="2540"/>
        </c:spPr>
        <c:txPr>
          <a:bodyPr/>
          <a:lstStyle/>
          <a:p>
            <a:pPr rtl="0">
              <a:defRPr sz="900"/>
            </a:pPr>
            <a:endParaRPr lang="en-US"/>
          </a:p>
        </c:txPr>
      </c:dTable>
      <c:spPr>
        <a:noFill/>
        <a:ln>
          <a:noFill/>
        </a:ln>
      </c:spPr>
    </c:plotArea>
    <c:plotVisOnly val="1"/>
    <c:dispBlanksAs val="gap"/>
    <c:showDLblsOverMax val="0"/>
  </c:chart>
  <c:spPr>
    <a:noFill/>
    <a:ln>
      <a:noFill/>
    </a:ln>
  </c:spPr>
  <c:printSettings>
    <c:headerFooter/>
    <c:pageMargins b="0.75000000000000799" l="0.70000000000000062" r="0.70000000000000062" t="0.75000000000000799"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9785077047851"/>
          <c:y val="0.10985614035087721"/>
          <c:w val="0.62359730639730637"/>
          <c:h val="0.48483538011695909"/>
        </c:manualLayout>
      </c:layout>
      <c:barChart>
        <c:barDir val="col"/>
        <c:grouping val="stacked"/>
        <c:varyColors val="0"/>
        <c:ser>
          <c:idx val="0"/>
          <c:order val="0"/>
          <c:tx>
            <c:strRef>
              <c:f>Vic.!$C$70</c:f>
              <c:strCache>
                <c:ptCount val="1"/>
                <c:pt idx="0">
                  <c:v>Disposal</c:v>
                </c:pt>
              </c:strCache>
            </c:strRef>
          </c:tx>
          <c:spPr>
            <a:solidFill>
              <a:schemeClr val="accent3">
                <a:lumMod val="50000"/>
              </a:schemeClr>
            </a:solidFill>
          </c:spPr>
          <c:invertIfNegative val="0"/>
          <c:cat>
            <c:strRef>
              <c:f>Vic.!$D$67:$G$67</c:f>
              <c:strCache>
                <c:ptCount val="4"/>
                <c:pt idx="0">
                  <c:v>MSW</c:v>
                </c:pt>
                <c:pt idx="1">
                  <c:v>C&amp;I</c:v>
                </c:pt>
                <c:pt idx="2">
                  <c:v>C&amp;I excl. fly ash</c:v>
                </c:pt>
                <c:pt idx="3">
                  <c:v>C&amp;D</c:v>
                </c:pt>
              </c:strCache>
            </c:strRef>
          </c:cat>
          <c:val>
            <c:numRef>
              <c:f>Vic.!$D$70:$G$70</c:f>
              <c:numCache>
                <c:formatCode>#,##0</c:formatCode>
                <c:ptCount val="4"/>
                <c:pt idx="0">
                  <c:v>1455.4279285881053</c:v>
                </c:pt>
                <c:pt idx="1">
                  <c:v>2020.2515856930902</c:v>
                </c:pt>
                <c:pt idx="2">
                  <c:v>1375.0639315002522</c:v>
                </c:pt>
                <c:pt idx="3">
                  <c:v>1183.9018114539501</c:v>
                </c:pt>
              </c:numCache>
            </c:numRef>
          </c:val>
          <c:extLst>
            <c:ext xmlns:c16="http://schemas.microsoft.com/office/drawing/2014/chart" uri="{C3380CC4-5D6E-409C-BE32-E72D297353CC}">
              <c16:uniqueId val="{00000000-2C88-4FCF-B7ED-AAEA02CE1E1F}"/>
            </c:ext>
          </c:extLst>
        </c:ser>
        <c:ser>
          <c:idx val="1"/>
          <c:order val="1"/>
          <c:tx>
            <c:strRef>
              <c:f>Vic.!$C$71</c:f>
              <c:strCache>
                <c:ptCount val="1"/>
                <c:pt idx="0">
                  <c:v>Recycling</c:v>
                </c:pt>
              </c:strCache>
            </c:strRef>
          </c:tx>
          <c:spPr>
            <a:solidFill>
              <a:srgbClr val="FFFF00"/>
            </a:solidFill>
          </c:spPr>
          <c:invertIfNegative val="0"/>
          <c:cat>
            <c:strRef>
              <c:f>Vic.!$D$67:$G$67</c:f>
              <c:strCache>
                <c:ptCount val="4"/>
                <c:pt idx="0">
                  <c:v>MSW</c:v>
                </c:pt>
                <c:pt idx="1">
                  <c:v>C&amp;I</c:v>
                </c:pt>
                <c:pt idx="2">
                  <c:v>C&amp;I excl. fly ash</c:v>
                </c:pt>
                <c:pt idx="3">
                  <c:v>C&amp;D</c:v>
                </c:pt>
              </c:strCache>
            </c:strRef>
          </c:cat>
          <c:val>
            <c:numRef>
              <c:f>Vic.!$D$71:$G$71</c:f>
              <c:numCache>
                <c:formatCode>#,##0</c:formatCode>
                <c:ptCount val="4"/>
                <c:pt idx="0">
                  <c:v>1242.3315899999998</c:v>
                </c:pt>
                <c:pt idx="1">
                  <c:v>5093.6760552253945</c:v>
                </c:pt>
                <c:pt idx="2">
                  <c:v>3532.969824321437</c:v>
                </c:pt>
                <c:pt idx="3">
                  <c:v>3636.2038835647395</c:v>
                </c:pt>
              </c:numCache>
            </c:numRef>
          </c:val>
          <c:extLst>
            <c:ext xmlns:c16="http://schemas.microsoft.com/office/drawing/2014/chart" uri="{C3380CC4-5D6E-409C-BE32-E72D297353CC}">
              <c16:uniqueId val="{00000001-2C88-4FCF-B7ED-AAEA02CE1E1F}"/>
            </c:ext>
          </c:extLst>
        </c:ser>
        <c:ser>
          <c:idx val="2"/>
          <c:order val="2"/>
          <c:tx>
            <c:strRef>
              <c:f>Vic.!$C$72</c:f>
              <c:strCache>
                <c:ptCount val="1"/>
                <c:pt idx="0">
                  <c:v>Energy recovery</c:v>
                </c:pt>
              </c:strCache>
            </c:strRef>
          </c:tx>
          <c:spPr>
            <a:solidFill>
              <a:schemeClr val="accent6">
                <a:lumMod val="75000"/>
              </a:schemeClr>
            </a:solidFill>
          </c:spPr>
          <c:invertIfNegative val="0"/>
          <c:cat>
            <c:strRef>
              <c:f>Vic.!$D$67:$G$67</c:f>
              <c:strCache>
                <c:ptCount val="4"/>
                <c:pt idx="0">
                  <c:v>MSW</c:v>
                </c:pt>
                <c:pt idx="1">
                  <c:v>C&amp;I</c:v>
                </c:pt>
                <c:pt idx="2">
                  <c:v>C&amp;I excl. fly ash</c:v>
                </c:pt>
                <c:pt idx="3">
                  <c:v>C&amp;D</c:v>
                </c:pt>
              </c:strCache>
            </c:strRef>
          </c:cat>
          <c:val>
            <c:numRef>
              <c:f>Vic.!$D$72:$G$72</c:f>
              <c:numCache>
                <c:formatCode>#,##0</c:formatCode>
                <c:ptCount val="4"/>
                <c:pt idx="0">
                  <c:v>396.99607141189438</c:v>
                </c:pt>
                <c:pt idx="1">
                  <c:v>204.42783820990851</c:v>
                </c:pt>
                <c:pt idx="2">
                  <c:v>204.42783820990851</c:v>
                </c:pt>
                <c:pt idx="3">
                  <c:v>16.057402021313074</c:v>
                </c:pt>
              </c:numCache>
            </c:numRef>
          </c:val>
          <c:extLst>
            <c:ext xmlns:c16="http://schemas.microsoft.com/office/drawing/2014/chart" uri="{C3380CC4-5D6E-409C-BE32-E72D297353CC}">
              <c16:uniqueId val="{00000002-2C88-4FCF-B7ED-AAEA02CE1E1F}"/>
            </c:ext>
          </c:extLst>
        </c:ser>
        <c:ser>
          <c:idx val="3"/>
          <c:order val="3"/>
          <c:tx>
            <c:strRef>
              <c:f>Vic.!$C$73</c:f>
              <c:strCache>
                <c:ptCount val="1"/>
                <c:pt idx="0">
                  <c:v>Recovery rate</c:v>
                </c:pt>
              </c:strCache>
            </c:strRef>
          </c:tx>
          <c:spPr>
            <a:noFill/>
            <a:ln>
              <a:noFill/>
            </a:ln>
          </c:spPr>
          <c:invertIfNegative val="0"/>
          <c:dLbls>
            <c:dLbl>
              <c:idx val="0"/>
              <c:layout>
                <c:manualLayout>
                  <c:x val="0"/>
                  <c:y val="-2.82154970760233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1E-4569-967A-CB7D5AE7DA2C}"/>
                </c:ext>
              </c:extLst>
            </c:dLbl>
            <c:dLbl>
              <c:idx val="1"/>
              <c:layout>
                <c:manualLayout>
                  <c:x val="-7.8680266171218451E-17"/>
                  <c:y val="-2.07888888888888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88-4FCF-B7ED-AAEA02CE1E1F}"/>
                </c:ext>
              </c:extLst>
            </c:dLbl>
            <c:dLbl>
              <c:idx val="2"/>
              <c:layout>
                <c:manualLayout>
                  <c:x val="0"/>
                  <c:y val="-2.4495906432748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88-4FCF-B7ED-AAEA02CE1E1F}"/>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Vic.!$D$67:$G$67</c:f>
              <c:strCache>
                <c:ptCount val="4"/>
                <c:pt idx="0">
                  <c:v>MSW</c:v>
                </c:pt>
                <c:pt idx="1">
                  <c:v>C&amp;I</c:v>
                </c:pt>
                <c:pt idx="2">
                  <c:v>C&amp;I excl. fly ash</c:v>
                </c:pt>
                <c:pt idx="3">
                  <c:v>C&amp;D</c:v>
                </c:pt>
              </c:strCache>
            </c:strRef>
          </c:cat>
          <c:val>
            <c:numRef>
              <c:f>Vic.!$D$73:$G$73</c:f>
              <c:numCache>
                <c:formatCode>0%</c:formatCode>
                <c:ptCount val="4"/>
                <c:pt idx="0">
                  <c:v>0.52971151153551821</c:v>
                </c:pt>
                <c:pt idx="1">
                  <c:v>0.72394732785873095</c:v>
                </c:pt>
                <c:pt idx="2">
                  <c:v>0.73103681930725273</c:v>
                </c:pt>
                <c:pt idx="3">
                  <c:v>0.75519812138292786</c:v>
                </c:pt>
              </c:numCache>
            </c:numRef>
          </c:val>
          <c:extLst>
            <c:ext xmlns:c16="http://schemas.microsoft.com/office/drawing/2014/chart" uri="{C3380CC4-5D6E-409C-BE32-E72D297353CC}">
              <c16:uniqueId val="{00000004-2C88-4FCF-B7ED-AAEA02CE1E1F}"/>
            </c:ext>
          </c:extLst>
        </c:ser>
        <c:dLbls>
          <c:showLegendKey val="0"/>
          <c:showVal val="0"/>
          <c:showCatName val="0"/>
          <c:showSerName val="0"/>
          <c:showPercent val="0"/>
          <c:showBubbleSize val="0"/>
        </c:dLbls>
        <c:gapWidth val="150"/>
        <c:overlap val="100"/>
        <c:axId val="219379584"/>
        <c:axId val="219381120"/>
      </c:barChart>
      <c:lineChart>
        <c:grouping val="standard"/>
        <c:varyColors val="0"/>
        <c:ser>
          <c:idx val="4"/>
          <c:order val="4"/>
          <c:tx>
            <c:strRef>
              <c:f>Vic.!$C$75</c:f>
              <c:strCache>
                <c:ptCount val="1"/>
                <c:pt idx="0">
                  <c:v>Generation (kg per capita)</c:v>
                </c:pt>
              </c:strCache>
            </c:strRef>
          </c:tx>
          <c:spPr>
            <a:ln>
              <a:noFill/>
            </a:ln>
          </c:spPr>
          <c:marker>
            <c:symbol val="none"/>
          </c:marker>
          <c:val>
            <c:numRef>
              <c:f>Vic.!$D$75:$G$75</c:f>
              <c:numCache>
                <c:formatCode>#,##0</c:formatCode>
                <c:ptCount val="4"/>
                <c:pt idx="0">
                  <c:v>525.73289300787962</c:v>
                </c:pt>
                <c:pt idx="1">
                  <c:v>1243.2323284380072</c:v>
                </c:pt>
                <c:pt idx="2">
                  <c:v>868.49805939664157</c:v>
                </c:pt>
                <c:pt idx="3">
                  <c:v>821.56084450752655</c:v>
                </c:pt>
              </c:numCache>
            </c:numRef>
          </c:val>
          <c:smooth val="0"/>
          <c:extLst>
            <c:ext xmlns:c16="http://schemas.microsoft.com/office/drawing/2014/chart" uri="{C3380CC4-5D6E-409C-BE32-E72D297353CC}">
              <c16:uniqueId val="{00000005-2C88-4FCF-B7ED-AAEA02CE1E1F}"/>
            </c:ext>
          </c:extLst>
        </c:ser>
        <c:dLbls>
          <c:showLegendKey val="0"/>
          <c:showVal val="0"/>
          <c:showCatName val="0"/>
          <c:showSerName val="0"/>
          <c:showPercent val="0"/>
          <c:showBubbleSize val="0"/>
        </c:dLbls>
        <c:marker val="1"/>
        <c:smooth val="0"/>
        <c:axId val="997660824"/>
        <c:axId val="997657872"/>
      </c:lineChart>
      <c:catAx>
        <c:axId val="21937958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381120"/>
        <c:crosses val="autoZero"/>
        <c:auto val="1"/>
        <c:lblAlgn val="ctr"/>
        <c:lblOffset val="100"/>
        <c:noMultiLvlLbl val="0"/>
      </c:catAx>
      <c:valAx>
        <c:axId val="219381120"/>
        <c:scaling>
          <c:orientation val="minMax"/>
          <c:min val="0"/>
        </c:scaling>
        <c:delete val="0"/>
        <c:axPos val="l"/>
        <c:majorGridlines>
          <c:spPr>
            <a:ln w="2540"/>
          </c:spPr>
        </c:majorGridlines>
        <c:title>
          <c:tx>
            <c:rich>
              <a:bodyPr/>
              <a:lstStyle/>
              <a:p>
                <a:pPr>
                  <a:defRPr/>
                </a:pPr>
                <a:r>
                  <a:rPr lang="en-AU"/>
                  <a:t>Kilotonnes</a:t>
                </a:r>
                <a:r>
                  <a:rPr lang="en-AU" baseline="0"/>
                  <a:t> (kt)</a:t>
                </a:r>
                <a:endParaRPr lang="en-AU"/>
              </a:p>
            </c:rich>
          </c:tx>
          <c:layout>
            <c:manualLayout>
              <c:xMode val="edge"/>
              <c:yMode val="edge"/>
              <c:x val="0.14740132468234657"/>
              <c:y val="0.2016842105263158"/>
            </c:manualLayout>
          </c:layout>
          <c:overlay val="0"/>
        </c:title>
        <c:numFmt formatCode="#,##0" sourceLinked="0"/>
        <c:majorTickMark val="out"/>
        <c:minorTickMark val="none"/>
        <c:tickLblPos val="nextTo"/>
        <c:spPr>
          <a:ln>
            <a:noFill/>
          </a:ln>
        </c:spPr>
        <c:crossAx val="219379584"/>
        <c:crosses val="autoZero"/>
        <c:crossBetween val="between"/>
      </c:valAx>
      <c:valAx>
        <c:axId val="997657872"/>
        <c:scaling>
          <c:orientation val="minMax"/>
        </c:scaling>
        <c:delete val="0"/>
        <c:axPos val="r"/>
        <c:title>
          <c:tx>
            <c:rich>
              <a:bodyPr/>
              <a:lstStyle/>
              <a:p>
                <a:pPr>
                  <a:defRPr/>
                </a:pPr>
                <a:r>
                  <a:rPr lang="en-AU" baseline="0"/>
                  <a:t>Kg per capita</a:t>
                </a:r>
                <a:endParaRPr lang="en-AU"/>
              </a:p>
            </c:rich>
          </c:tx>
          <c:layout>
            <c:manualLayout>
              <c:xMode val="edge"/>
              <c:yMode val="edge"/>
              <c:x val="0.96142504731008382"/>
              <c:y val="0.21482982456140351"/>
            </c:manualLayout>
          </c:layout>
          <c:overlay val="0"/>
        </c:title>
        <c:numFmt formatCode="#,##0;\-#,##0;;" sourceLinked="0"/>
        <c:majorTickMark val="out"/>
        <c:minorTickMark val="none"/>
        <c:tickLblPos val="nextTo"/>
        <c:spPr>
          <a:ln>
            <a:noFill/>
          </a:ln>
        </c:spPr>
        <c:crossAx val="997660824"/>
        <c:crosses val="max"/>
        <c:crossBetween val="between"/>
        <c:majorUnit val="170"/>
      </c:valAx>
      <c:catAx>
        <c:axId val="997660824"/>
        <c:scaling>
          <c:orientation val="minMax"/>
        </c:scaling>
        <c:delete val="1"/>
        <c:axPos val="b"/>
        <c:majorTickMark val="out"/>
        <c:minorTickMark val="none"/>
        <c:tickLblPos val="nextTo"/>
        <c:crossAx val="997657872"/>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6475212895377135"/>
          <c:y val="1.76406432748538E-2"/>
          <c:w val="0.4386014801297648"/>
          <c:h val="6.7150000000000001E-2"/>
        </c:manualLayout>
      </c:layout>
      <c:overlay val="0"/>
    </c:legend>
    <c:plotVisOnly val="1"/>
    <c:dispBlanksAs val="gap"/>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94266403745416"/>
          <c:y val="0.18821678623728794"/>
          <c:w val="0.71272974917535803"/>
          <c:h val="0.13428840426060865"/>
        </c:manualLayout>
      </c:layout>
      <c:barChart>
        <c:barDir val="col"/>
        <c:grouping val="stacked"/>
        <c:varyColors val="0"/>
        <c:ser>
          <c:idx val="0"/>
          <c:order val="0"/>
          <c:tx>
            <c:strRef>
              <c:f>Vic.!$N$75</c:f>
              <c:strCache>
                <c:ptCount val="1"/>
                <c:pt idx="0">
                  <c:v>Disposal (kt)</c:v>
                </c:pt>
              </c:strCache>
            </c:strRef>
          </c:tx>
          <c:spPr>
            <a:noFill/>
          </c:spPr>
          <c:invertIfNegative val="0"/>
          <c:cat>
            <c:strRef>
              <c:f>Vic.!$D$67:$G$67</c:f>
              <c:strCache>
                <c:ptCount val="4"/>
                <c:pt idx="0">
                  <c:v>MSW</c:v>
                </c:pt>
                <c:pt idx="1">
                  <c:v>C&amp;I</c:v>
                </c:pt>
                <c:pt idx="2">
                  <c:v>C&amp;I excl. fly ash</c:v>
                </c:pt>
                <c:pt idx="3">
                  <c:v>C&amp;D</c:v>
                </c:pt>
              </c:strCache>
            </c:strRef>
          </c:cat>
          <c:val>
            <c:numRef>
              <c:f>Vic.!$D$70:$G$70</c:f>
              <c:numCache>
                <c:formatCode>#,##0</c:formatCode>
                <c:ptCount val="4"/>
                <c:pt idx="0">
                  <c:v>1455.4279285881053</c:v>
                </c:pt>
                <c:pt idx="1">
                  <c:v>2020.2515856930902</c:v>
                </c:pt>
                <c:pt idx="2">
                  <c:v>1375.0639315002522</c:v>
                </c:pt>
                <c:pt idx="3">
                  <c:v>1183.9018114539501</c:v>
                </c:pt>
              </c:numCache>
            </c:numRef>
          </c:val>
          <c:extLst>
            <c:ext xmlns:c16="http://schemas.microsoft.com/office/drawing/2014/chart" uri="{C3380CC4-5D6E-409C-BE32-E72D297353CC}">
              <c16:uniqueId val="{00000000-9CC3-4921-9AD1-E32BDF111AA0}"/>
            </c:ext>
          </c:extLst>
        </c:ser>
        <c:ser>
          <c:idx val="1"/>
          <c:order val="1"/>
          <c:tx>
            <c:strRef>
              <c:f>Vic.!$O$75</c:f>
              <c:strCache>
                <c:ptCount val="1"/>
                <c:pt idx="0">
                  <c:v>Recycling (kt)</c:v>
                </c:pt>
              </c:strCache>
            </c:strRef>
          </c:tx>
          <c:spPr>
            <a:noFill/>
            <a:ln>
              <a:noFill/>
            </a:ln>
          </c:spPr>
          <c:invertIfNegative val="0"/>
          <c:cat>
            <c:strRef>
              <c:f>Vic.!$D$67:$G$67</c:f>
              <c:strCache>
                <c:ptCount val="4"/>
                <c:pt idx="0">
                  <c:v>MSW</c:v>
                </c:pt>
                <c:pt idx="1">
                  <c:v>C&amp;I</c:v>
                </c:pt>
                <c:pt idx="2">
                  <c:v>C&amp;I excl. fly ash</c:v>
                </c:pt>
                <c:pt idx="3">
                  <c:v>C&amp;D</c:v>
                </c:pt>
              </c:strCache>
            </c:strRef>
          </c:cat>
          <c:val>
            <c:numRef>
              <c:f>Vic.!$D$71:$G$71</c:f>
              <c:numCache>
                <c:formatCode>#,##0</c:formatCode>
                <c:ptCount val="4"/>
                <c:pt idx="0">
                  <c:v>1242.3315899999998</c:v>
                </c:pt>
                <c:pt idx="1">
                  <c:v>5093.6760552253945</c:v>
                </c:pt>
                <c:pt idx="2">
                  <c:v>3532.969824321437</c:v>
                </c:pt>
                <c:pt idx="3">
                  <c:v>3636.2038835647395</c:v>
                </c:pt>
              </c:numCache>
            </c:numRef>
          </c:val>
          <c:extLst>
            <c:ext xmlns:c16="http://schemas.microsoft.com/office/drawing/2014/chart" uri="{C3380CC4-5D6E-409C-BE32-E72D297353CC}">
              <c16:uniqueId val="{00000001-9CC3-4921-9AD1-E32BDF111AA0}"/>
            </c:ext>
          </c:extLst>
        </c:ser>
        <c:ser>
          <c:idx val="2"/>
          <c:order val="2"/>
          <c:tx>
            <c:strRef>
              <c:f>Vic.!$P$75</c:f>
              <c:strCache>
                <c:ptCount val="1"/>
                <c:pt idx="0">
                  <c:v>En recovery (kt)</c:v>
                </c:pt>
              </c:strCache>
            </c:strRef>
          </c:tx>
          <c:spPr>
            <a:noFill/>
          </c:spPr>
          <c:invertIfNegative val="0"/>
          <c:cat>
            <c:strRef>
              <c:f>Vic.!$D$67:$G$67</c:f>
              <c:strCache>
                <c:ptCount val="4"/>
                <c:pt idx="0">
                  <c:v>MSW</c:v>
                </c:pt>
                <c:pt idx="1">
                  <c:v>C&amp;I</c:v>
                </c:pt>
                <c:pt idx="2">
                  <c:v>C&amp;I excl. fly ash</c:v>
                </c:pt>
                <c:pt idx="3">
                  <c:v>C&amp;D</c:v>
                </c:pt>
              </c:strCache>
            </c:strRef>
          </c:cat>
          <c:val>
            <c:numRef>
              <c:f>Vic.!$D$72:$G$72</c:f>
              <c:numCache>
                <c:formatCode>#,##0</c:formatCode>
                <c:ptCount val="4"/>
                <c:pt idx="0">
                  <c:v>396.99607141189438</c:v>
                </c:pt>
                <c:pt idx="1">
                  <c:v>204.42783820990851</c:v>
                </c:pt>
                <c:pt idx="2">
                  <c:v>204.42783820990851</c:v>
                </c:pt>
                <c:pt idx="3">
                  <c:v>16.057402021313074</c:v>
                </c:pt>
              </c:numCache>
            </c:numRef>
          </c:val>
          <c:extLst>
            <c:ext xmlns:c16="http://schemas.microsoft.com/office/drawing/2014/chart" uri="{C3380CC4-5D6E-409C-BE32-E72D297353CC}">
              <c16:uniqueId val="{00000002-9CC3-4921-9AD1-E32BDF111AA0}"/>
            </c:ext>
          </c:extLst>
        </c:ser>
        <c:ser>
          <c:idx val="4"/>
          <c:order val="3"/>
          <c:tx>
            <c:strRef>
              <c:f>Vic.!$Q$75</c:f>
              <c:strCache>
                <c:ptCount val="1"/>
                <c:pt idx="0">
                  <c:v>Generation (kt)</c:v>
                </c:pt>
              </c:strCache>
            </c:strRef>
          </c:tx>
          <c:spPr>
            <a:noFill/>
          </c:spPr>
          <c:invertIfNegative val="0"/>
          <c:cat>
            <c:strRef>
              <c:f>Vic.!$D$67:$G$67</c:f>
              <c:strCache>
                <c:ptCount val="4"/>
                <c:pt idx="0">
                  <c:v>MSW</c:v>
                </c:pt>
                <c:pt idx="1">
                  <c:v>C&amp;I</c:v>
                </c:pt>
                <c:pt idx="2">
                  <c:v>C&amp;I excl. fly ash</c:v>
                </c:pt>
                <c:pt idx="3">
                  <c:v>C&amp;D</c:v>
                </c:pt>
              </c:strCache>
            </c:strRef>
          </c:cat>
          <c:val>
            <c:numRef>
              <c:f>Vic.!$D$74:$G$74</c:f>
              <c:numCache>
                <c:formatCode>#,##0</c:formatCode>
                <c:ptCount val="4"/>
                <c:pt idx="0">
                  <c:v>3094.7555899999993</c:v>
                </c:pt>
                <c:pt idx="1">
                  <c:v>7318.3554791283932</c:v>
                </c:pt>
                <c:pt idx="2">
                  <c:v>5112.4615940315971</c:v>
                </c:pt>
                <c:pt idx="3">
                  <c:v>4836.1630970400029</c:v>
                </c:pt>
              </c:numCache>
            </c:numRef>
          </c:val>
          <c:extLst>
            <c:ext xmlns:c16="http://schemas.microsoft.com/office/drawing/2014/chart" uri="{C3380CC4-5D6E-409C-BE32-E72D297353CC}">
              <c16:uniqueId val="{00000003-9CC3-4921-9AD1-E32BDF111AA0}"/>
            </c:ext>
          </c:extLst>
        </c:ser>
        <c:ser>
          <c:idx val="3"/>
          <c:order val="4"/>
          <c:tx>
            <c:strRef>
              <c:f>Vic.!$R$75</c:f>
              <c:strCache>
                <c:ptCount val="1"/>
                <c:pt idx="0">
                  <c:v>Generation (kg/cap)</c:v>
                </c:pt>
              </c:strCache>
            </c:strRef>
          </c:tx>
          <c:spPr>
            <a:noFill/>
            <a:ln>
              <a:noFill/>
            </a:ln>
          </c:spPr>
          <c:invertIfNegative val="0"/>
          <c:cat>
            <c:strRef>
              <c:f>Vic.!$D$67:$G$67</c:f>
              <c:strCache>
                <c:ptCount val="4"/>
                <c:pt idx="0">
                  <c:v>MSW</c:v>
                </c:pt>
                <c:pt idx="1">
                  <c:v>C&amp;I</c:v>
                </c:pt>
                <c:pt idx="2">
                  <c:v>C&amp;I excl. fly ash</c:v>
                </c:pt>
                <c:pt idx="3">
                  <c:v>C&amp;D</c:v>
                </c:pt>
              </c:strCache>
            </c:strRef>
          </c:cat>
          <c:val>
            <c:numRef>
              <c:f>Vic.!$D$75:$G$75</c:f>
              <c:numCache>
                <c:formatCode>#,##0</c:formatCode>
                <c:ptCount val="4"/>
                <c:pt idx="0">
                  <c:v>525.73289300787962</c:v>
                </c:pt>
                <c:pt idx="1">
                  <c:v>1243.2323284380072</c:v>
                </c:pt>
                <c:pt idx="2">
                  <c:v>868.49805939664157</c:v>
                </c:pt>
                <c:pt idx="3">
                  <c:v>821.56084450752655</c:v>
                </c:pt>
              </c:numCache>
            </c:numRef>
          </c:val>
          <c:extLst>
            <c:ext xmlns:c16="http://schemas.microsoft.com/office/drawing/2014/chart" uri="{C3380CC4-5D6E-409C-BE32-E72D297353CC}">
              <c16:uniqueId val="{00000004-9CC3-4921-9AD1-E32BDF111AA0}"/>
            </c:ext>
          </c:extLst>
        </c:ser>
        <c:dLbls>
          <c:showLegendKey val="0"/>
          <c:showVal val="0"/>
          <c:showCatName val="0"/>
          <c:showSerName val="0"/>
          <c:showPercent val="0"/>
          <c:showBubbleSize val="0"/>
        </c:dLbls>
        <c:gapWidth val="150"/>
        <c:overlap val="100"/>
        <c:axId val="219432064"/>
        <c:axId val="219433600"/>
      </c:barChart>
      <c:catAx>
        <c:axId val="219432064"/>
        <c:scaling>
          <c:orientation val="minMax"/>
        </c:scaling>
        <c:delete val="1"/>
        <c:axPos val="b"/>
        <c:numFmt formatCode="General" sourceLinked="0"/>
        <c:majorTickMark val="none"/>
        <c:minorTickMark val="none"/>
        <c:tickLblPos val="nextTo"/>
        <c:crossAx val="219433600"/>
        <c:crosses val="autoZero"/>
        <c:auto val="1"/>
        <c:lblAlgn val="ctr"/>
        <c:lblOffset val="100"/>
        <c:noMultiLvlLbl val="0"/>
      </c:catAx>
      <c:valAx>
        <c:axId val="219433600"/>
        <c:scaling>
          <c:orientation val="minMax"/>
        </c:scaling>
        <c:delete val="1"/>
        <c:axPos val="l"/>
        <c:numFmt formatCode="#,##0" sourceLinked="0"/>
        <c:majorTickMark val="out"/>
        <c:minorTickMark val="none"/>
        <c:tickLblPos val="nextTo"/>
        <c:crossAx val="219432064"/>
        <c:crosses val="autoZero"/>
        <c:crossBetween val="between"/>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printSettings>
    <c:headerFooter/>
    <c:pageMargins b="0.75000000000000822" l="0.70000000000000062" r="0.70000000000000062" t="0.750000000000008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85306839686398"/>
          <c:y val="0.10541783625730994"/>
          <c:w val="0.70338935238062361"/>
          <c:h val="0.49211666666666665"/>
        </c:manualLayout>
      </c:layout>
      <c:barChart>
        <c:barDir val="col"/>
        <c:grouping val="stacked"/>
        <c:varyColors val="0"/>
        <c:ser>
          <c:idx val="0"/>
          <c:order val="0"/>
          <c:tx>
            <c:strRef>
              <c:f>Vic.!$D$78</c:f>
              <c:strCache>
                <c:ptCount val="1"/>
                <c:pt idx="0">
                  <c:v>Disposal</c:v>
                </c:pt>
              </c:strCache>
            </c:strRef>
          </c:tx>
          <c:spPr>
            <a:solidFill>
              <a:schemeClr val="accent3">
                <a:lumMod val="50000"/>
              </a:schemeClr>
            </a:solidFill>
          </c:spPr>
          <c:invertIfNegative val="0"/>
          <c:cat>
            <c:strRef>
              <c:f>Vic.!$C$79:$C$87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Vic.!$D$79:$D$87</c:f>
              <c:numCache>
                <c:formatCode>#,##0</c:formatCode>
                <c:ptCount val="9"/>
                <c:pt idx="0">
                  <c:v>931.66260210602138</c:v>
                </c:pt>
                <c:pt idx="1">
                  <c:v>81.513937488110884</c:v>
                </c:pt>
                <c:pt idx="2">
                  <c:v>1386.5339433509384</c:v>
                </c:pt>
                <c:pt idx="3">
                  <c:v>392.94451245714401</c:v>
                </c:pt>
                <c:pt idx="4">
                  <c:v>488.13175637164886</c:v>
                </c:pt>
                <c:pt idx="5">
                  <c:v>101.2966124508457</c:v>
                </c:pt>
                <c:pt idx="6">
                  <c:v>123.42032413218233</c:v>
                </c:pt>
                <c:pt idx="7">
                  <c:v>667.78422757230999</c:v>
                </c:pt>
                <c:pt idx="8">
                  <c:v>645.18765419283784</c:v>
                </c:pt>
              </c:numCache>
            </c:numRef>
          </c:val>
          <c:extLst>
            <c:ext xmlns:c16="http://schemas.microsoft.com/office/drawing/2014/chart" uri="{C3380CC4-5D6E-409C-BE32-E72D297353CC}">
              <c16:uniqueId val="{00000000-F8EB-434D-B8ED-A74A72448E87}"/>
            </c:ext>
          </c:extLst>
        </c:ser>
        <c:ser>
          <c:idx val="1"/>
          <c:order val="1"/>
          <c:tx>
            <c:strRef>
              <c:f>Vic.!$E$78</c:f>
              <c:strCache>
                <c:ptCount val="1"/>
                <c:pt idx="0">
                  <c:v>Recycling</c:v>
                </c:pt>
              </c:strCache>
            </c:strRef>
          </c:tx>
          <c:spPr>
            <a:solidFill>
              <a:srgbClr val="FFFF00"/>
            </a:solidFill>
          </c:spPr>
          <c:invertIfNegative val="0"/>
          <c:cat>
            <c:strRef>
              <c:f>Vic.!$C$79:$C$87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Vic.!$E$79:$E$87</c:f>
              <c:numCache>
                <c:formatCode>#,##0</c:formatCode>
                <c:ptCount val="9"/>
                <c:pt idx="0">
                  <c:v>3326.701</c:v>
                </c:pt>
                <c:pt idx="1">
                  <c:v>1413.1569999999999</c:v>
                </c:pt>
                <c:pt idx="2">
                  <c:v>1013.38</c:v>
                </c:pt>
                <c:pt idx="3">
                  <c:v>1443.306</c:v>
                </c:pt>
                <c:pt idx="4">
                  <c:v>160.53384</c:v>
                </c:pt>
                <c:pt idx="5">
                  <c:v>197.02600000000001</c:v>
                </c:pt>
                <c:pt idx="6">
                  <c:v>26.771000000000001</c:v>
                </c:pt>
                <c:pt idx="7">
                  <c:v>830.63045788617615</c:v>
                </c:pt>
                <c:pt idx="8">
                  <c:v>1560.7062309039575</c:v>
                </c:pt>
              </c:numCache>
            </c:numRef>
          </c:val>
          <c:extLst>
            <c:ext xmlns:c16="http://schemas.microsoft.com/office/drawing/2014/chart" uri="{C3380CC4-5D6E-409C-BE32-E72D297353CC}">
              <c16:uniqueId val="{00000001-F8EB-434D-B8ED-A74A72448E87}"/>
            </c:ext>
          </c:extLst>
        </c:ser>
        <c:ser>
          <c:idx val="2"/>
          <c:order val="2"/>
          <c:tx>
            <c:strRef>
              <c:f>Vic.!$F$78</c:f>
              <c:strCache>
                <c:ptCount val="1"/>
                <c:pt idx="0">
                  <c:v>Energy recovery</c:v>
                </c:pt>
              </c:strCache>
            </c:strRef>
          </c:tx>
          <c:spPr>
            <a:solidFill>
              <a:schemeClr val="accent6">
                <a:lumMod val="75000"/>
              </a:schemeClr>
            </a:solidFill>
          </c:spPr>
          <c:invertIfNegative val="0"/>
          <c:cat>
            <c:strRef>
              <c:f>Vic.!$C$79:$C$87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Vic.!$F$79:$F$87</c:f>
              <c:numCache>
                <c:formatCode>#,##0</c:formatCode>
                <c:ptCount val="9"/>
                <c:pt idx="0">
                  <c:v>0</c:v>
                </c:pt>
                <c:pt idx="1">
                  <c:v>0</c:v>
                </c:pt>
                <c:pt idx="2">
                  <c:v>403.09266373858975</c:v>
                </c:pt>
                <c:pt idx="3">
                  <c:v>163.42755823850879</c:v>
                </c:pt>
                <c:pt idx="4">
                  <c:v>0</c:v>
                </c:pt>
                <c:pt idx="5">
                  <c:v>0</c:v>
                </c:pt>
                <c:pt idx="6">
                  <c:v>50.961089666010039</c:v>
                </c:pt>
                <c:pt idx="7">
                  <c:v>7.4278760811697235E-12</c:v>
                </c:pt>
                <c:pt idx="8">
                  <c:v>0</c:v>
                </c:pt>
              </c:numCache>
            </c:numRef>
          </c:val>
          <c:extLst>
            <c:ext xmlns:c16="http://schemas.microsoft.com/office/drawing/2014/chart" uri="{C3380CC4-5D6E-409C-BE32-E72D297353CC}">
              <c16:uniqueId val="{00000002-F8EB-434D-B8ED-A74A72448E87}"/>
            </c:ext>
          </c:extLst>
        </c:ser>
        <c:ser>
          <c:idx val="3"/>
          <c:order val="3"/>
          <c:tx>
            <c:strRef>
              <c:f>Vic.!$H$78</c:f>
              <c:strCache>
                <c:ptCount val="1"/>
                <c:pt idx="0">
                  <c:v>Recovery rate</c:v>
                </c:pt>
              </c:strCache>
            </c:strRef>
          </c:tx>
          <c:spPr>
            <a:noFill/>
          </c:spPr>
          <c:invertIfNegative val="0"/>
          <c:dLbls>
            <c:dLbl>
              <c:idx val="0"/>
              <c:layout>
                <c:manualLayout>
                  <c:x val="0"/>
                  <c:y val="-3.93347953216374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EB-434D-B8ED-A74A72448E87}"/>
                </c:ext>
              </c:extLst>
            </c:dLbl>
            <c:dLbl>
              <c:idx val="1"/>
              <c:layout>
                <c:manualLayout>
                  <c:x val="0"/>
                  <c:y val="-2.41570175438596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EB-434D-B8ED-A74A72448E87}"/>
                </c:ext>
              </c:extLst>
            </c:dLbl>
            <c:dLbl>
              <c:idx val="2"/>
              <c:layout>
                <c:manualLayout>
                  <c:x val="0"/>
                  <c:y val="-4.26912280701754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EB-434D-B8ED-A74A72448E87}"/>
                </c:ext>
              </c:extLst>
            </c:dLbl>
            <c:dLbl>
              <c:idx val="3"/>
              <c:layout>
                <c:manualLayout>
                  <c:x val="-7.8680266171218451E-17"/>
                  <c:y val="-4.63388888888889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EB-434D-B8ED-A74A72448E87}"/>
                </c:ext>
              </c:extLst>
            </c:dLbl>
            <c:dLbl>
              <c:idx val="4"/>
              <c:layout>
                <c:manualLayout>
                  <c:x val="0"/>
                  <c:y val="-5.7892982456140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EB-434D-B8ED-A74A72448E87}"/>
                </c:ext>
              </c:extLst>
            </c:dLbl>
            <c:dLbl>
              <c:idx val="5"/>
              <c:layout>
                <c:manualLayout>
                  <c:x val="0"/>
                  <c:y val="-3.53345029239766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EB-434D-B8ED-A74A72448E87}"/>
                </c:ext>
              </c:extLst>
            </c:dLbl>
            <c:dLbl>
              <c:idx val="6"/>
              <c:layout>
                <c:manualLayout>
                  <c:x val="0"/>
                  <c:y val="-3.12935672514619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EB-434D-B8ED-A74A72448E87}"/>
                </c:ext>
              </c:extLst>
            </c:dLbl>
            <c:dLbl>
              <c:idx val="7"/>
              <c:layout>
                <c:manualLayout>
                  <c:x val="0"/>
                  <c:y val="-3.0583918128654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EB-434D-B8ED-A74A72448E87}"/>
                </c:ext>
              </c:extLst>
            </c:dLbl>
            <c:dLbl>
              <c:idx val="8"/>
              <c:layout>
                <c:manualLayout>
                  <c:x val="0"/>
                  <c:y val="-3.19178362573099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8EB-434D-B8ED-A74A72448E87}"/>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Vic.!$C$79:$C$87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Vic.!$H$79:$H$87</c:f>
              <c:numCache>
                <c:formatCode>0%</c:formatCode>
                <c:ptCount val="9"/>
                <c:pt idx="0">
                  <c:v>0.78121581688203967</c:v>
                </c:pt>
                <c:pt idx="1">
                  <c:v>0.94546362316704957</c:v>
                </c:pt>
                <c:pt idx="2">
                  <c:v>0.50534046554009693</c:v>
                </c:pt>
                <c:pt idx="3">
                  <c:v>0.80349611359170159</c:v>
                </c:pt>
                <c:pt idx="4">
                  <c:v>0.24748320382328884</c:v>
                </c:pt>
                <c:pt idx="5">
                  <c:v>0.66044608010552253</c:v>
                </c:pt>
                <c:pt idx="6">
                  <c:v>0.38643379017064811</c:v>
                </c:pt>
                <c:pt idx="7">
                  <c:v>0.55433950691161471</c:v>
                </c:pt>
                <c:pt idx="8">
                  <c:v>0.70751645917703487</c:v>
                </c:pt>
              </c:numCache>
            </c:numRef>
          </c:val>
          <c:extLst>
            <c:ext xmlns:c16="http://schemas.microsoft.com/office/drawing/2014/chart" uri="{C3380CC4-5D6E-409C-BE32-E72D297353CC}">
              <c16:uniqueId val="{0000000C-F8EB-434D-B8ED-A74A72448E87}"/>
            </c:ext>
          </c:extLst>
        </c:ser>
        <c:dLbls>
          <c:showLegendKey val="0"/>
          <c:showVal val="0"/>
          <c:showCatName val="0"/>
          <c:showSerName val="0"/>
          <c:showPercent val="0"/>
          <c:showBubbleSize val="0"/>
        </c:dLbls>
        <c:gapWidth val="100"/>
        <c:overlap val="100"/>
        <c:axId val="219463040"/>
        <c:axId val="219477120"/>
      </c:barChart>
      <c:lineChart>
        <c:grouping val="stacked"/>
        <c:varyColors val="0"/>
        <c:ser>
          <c:idx val="6"/>
          <c:order val="4"/>
          <c:tx>
            <c:strRef>
              <c:f>Vic.!$C$75</c:f>
              <c:strCache>
                <c:ptCount val="1"/>
                <c:pt idx="0">
                  <c:v>Generation (kg per capita)</c:v>
                </c:pt>
              </c:strCache>
            </c:strRef>
          </c:tx>
          <c:spPr>
            <a:ln>
              <a:noFill/>
            </a:ln>
          </c:spPr>
          <c:marker>
            <c:symbol val="none"/>
          </c:marker>
          <c:val>
            <c:numRef>
              <c:f>Vic.!$L$79:$L$87</c:f>
              <c:numCache>
                <c:formatCode>#,##0</c:formatCode>
                <c:ptCount val="9"/>
                <c:pt idx="0">
                  <c:v>723.40504796201196</c:v>
                </c:pt>
                <c:pt idx="1">
                  <c:v>253.91267685226944</c:v>
                </c:pt>
                <c:pt idx="2">
                  <c:v>476.17097047246278</c:v>
                </c:pt>
                <c:pt idx="3">
                  <c:v>339.70260546204918</c:v>
                </c:pt>
                <c:pt idx="4">
                  <c:v>110.19443398926009</c:v>
                </c:pt>
                <c:pt idx="5">
                  <c:v>50.67864182885333</c:v>
                </c:pt>
                <c:pt idx="6">
                  <c:v>34.17149993471434</c:v>
                </c:pt>
                <c:pt idx="7">
                  <c:v>227.55592041042684</c:v>
                </c:pt>
                <c:pt idx="8">
                  <c:v>374.73426904136556</c:v>
                </c:pt>
              </c:numCache>
            </c:numRef>
          </c:val>
          <c:smooth val="0"/>
          <c:extLst>
            <c:ext xmlns:c16="http://schemas.microsoft.com/office/drawing/2014/chart" uri="{C3380CC4-5D6E-409C-BE32-E72D297353CC}">
              <c16:uniqueId val="{0000000D-F8EB-434D-B8ED-A74A72448E87}"/>
            </c:ext>
          </c:extLst>
        </c:ser>
        <c:dLbls>
          <c:showLegendKey val="0"/>
          <c:showVal val="0"/>
          <c:showCatName val="0"/>
          <c:showSerName val="0"/>
          <c:showPercent val="0"/>
          <c:showBubbleSize val="0"/>
        </c:dLbls>
        <c:marker val="1"/>
        <c:smooth val="0"/>
        <c:axId val="680694648"/>
        <c:axId val="680693336"/>
      </c:lineChart>
      <c:catAx>
        <c:axId val="219463040"/>
        <c:scaling>
          <c:orientation val="minMax"/>
        </c:scaling>
        <c:delete val="0"/>
        <c:axPos val="b"/>
        <c:numFmt formatCode="General" sourceLinked="0"/>
        <c:majorTickMark val="none"/>
        <c:minorTickMark val="none"/>
        <c:tickLblPos val="nextTo"/>
        <c:spPr>
          <a:ln w="2540"/>
        </c:spPr>
        <c:txPr>
          <a:bodyPr/>
          <a:lstStyle/>
          <a:p>
            <a:pPr>
              <a:defRPr>
                <a:solidFill>
                  <a:schemeClr val="bg1"/>
                </a:solidFill>
              </a:defRPr>
            </a:pPr>
            <a:endParaRPr lang="en-US"/>
          </a:p>
        </c:txPr>
        <c:crossAx val="219477120"/>
        <c:crosses val="autoZero"/>
        <c:auto val="1"/>
        <c:lblAlgn val="ctr"/>
        <c:lblOffset val="50"/>
        <c:noMultiLvlLbl val="0"/>
      </c:catAx>
      <c:valAx>
        <c:axId val="219477120"/>
        <c:scaling>
          <c:orientation val="minMax"/>
          <c:max val="5000"/>
        </c:scaling>
        <c:delete val="0"/>
        <c:axPos val="l"/>
        <c:majorGridlines>
          <c:spPr>
            <a:ln w="2540"/>
          </c:spPr>
        </c:majorGridlines>
        <c:title>
          <c:tx>
            <c:rich>
              <a:bodyPr/>
              <a:lstStyle/>
              <a:p>
                <a:pPr>
                  <a:defRPr/>
                </a:pPr>
                <a:r>
                  <a:rPr lang="en-AU"/>
                  <a:t>Kilotonnes (kt)</a:t>
                </a:r>
              </a:p>
            </c:rich>
          </c:tx>
          <c:layout>
            <c:manualLayout>
              <c:xMode val="edge"/>
              <c:yMode val="edge"/>
              <c:x val="7.847543254933767E-2"/>
              <c:y val="0.19628742690058479"/>
            </c:manualLayout>
          </c:layout>
          <c:overlay val="0"/>
        </c:title>
        <c:numFmt formatCode="#,##0" sourceLinked="0"/>
        <c:majorTickMark val="out"/>
        <c:minorTickMark val="none"/>
        <c:tickLblPos val="nextTo"/>
        <c:spPr>
          <a:ln>
            <a:noFill/>
          </a:ln>
        </c:spPr>
        <c:crossAx val="219463040"/>
        <c:crosses val="autoZero"/>
        <c:crossBetween val="between"/>
        <c:majorUnit val="1000"/>
      </c:valAx>
      <c:valAx>
        <c:axId val="680693336"/>
        <c:scaling>
          <c:orientation val="minMax"/>
        </c:scaling>
        <c:delete val="0"/>
        <c:axPos val="r"/>
        <c:title>
          <c:tx>
            <c:rich>
              <a:bodyPr/>
              <a:lstStyle/>
              <a:p>
                <a:pPr>
                  <a:defRPr/>
                </a:pPr>
                <a:r>
                  <a:rPr lang="en-AU"/>
                  <a:t>Kg per capita</a:t>
                </a:r>
              </a:p>
            </c:rich>
          </c:tx>
          <c:layout>
            <c:manualLayout>
              <c:xMode val="edge"/>
              <c:yMode val="edge"/>
              <c:x val="0.96041514598540145"/>
              <c:y val="0.1997678362573099"/>
            </c:manualLayout>
          </c:layout>
          <c:overlay val="0"/>
        </c:title>
        <c:numFmt formatCode="#,##0;\-#,##0;;" sourceLinked="0"/>
        <c:majorTickMark val="out"/>
        <c:minorTickMark val="none"/>
        <c:tickLblPos val="nextTo"/>
        <c:spPr>
          <a:ln>
            <a:noFill/>
          </a:ln>
        </c:spPr>
        <c:crossAx val="680694648"/>
        <c:crosses val="max"/>
        <c:crossBetween val="between"/>
        <c:majorUnit val="170"/>
      </c:valAx>
      <c:catAx>
        <c:axId val="680694648"/>
        <c:scaling>
          <c:orientation val="minMax"/>
        </c:scaling>
        <c:delete val="1"/>
        <c:axPos val="b"/>
        <c:majorTickMark val="out"/>
        <c:minorTickMark val="none"/>
        <c:tickLblPos val="nextTo"/>
        <c:crossAx val="680693336"/>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4074445796161129"/>
          <c:y val="2.3100584795321639E-2"/>
          <c:w val="0.43700656565656565"/>
          <c:h val="7.0880555555555558E-2"/>
        </c:manualLayout>
      </c:layout>
      <c:overlay val="0"/>
    </c:legend>
    <c:plotVisOnly val="1"/>
    <c:dispBlanksAs val="gap"/>
    <c:showDLblsOverMax val="0"/>
  </c:chart>
  <c:spPr>
    <a:ln>
      <a:noFill/>
    </a:ln>
  </c:spPr>
  <c:printSettings>
    <c:headerFooter/>
    <c:pageMargins b="0.75000000000000844" l="0.70000000000000062" r="0.70000000000000062" t="0.750000000000008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130077318187"/>
          <c:y val="0.25430761272649116"/>
          <c:w val="0.718525531651663"/>
          <c:h val="0.13428840426060865"/>
        </c:manualLayout>
      </c:layout>
      <c:barChart>
        <c:barDir val="col"/>
        <c:grouping val="stacked"/>
        <c:varyColors val="0"/>
        <c:ser>
          <c:idx val="0"/>
          <c:order val="0"/>
          <c:tx>
            <c:strRef>
              <c:f>ACT.!$N$75</c:f>
              <c:strCache>
                <c:ptCount val="1"/>
                <c:pt idx="0">
                  <c:v>Disposal (kt)</c:v>
                </c:pt>
              </c:strCache>
            </c:strRef>
          </c:tx>
          <c:spPr>
            <a:noFill/>
          </c:spPr>
          <c:invertIfNegative val="0"/>
          <c:cat>
            <c:strRef>
              <c:f>(ACT.!$D$69,ACT.!$F$69:$G$69)</c:f>
              <c:strCache>
                <c:ptCount val="3"/>
                <c:pt idx="0">
                  <c:v>MSW</c:v>
                </c:pt>
                <c:pt idx="1">
                  <c:v>C&amp;I</c:v>
                </c:pt>
                <c:pt idx="2">
                  <c:v>C&amp;D</c:v>
                </c:pt>
              </c:strCache>
            </c:strRef>
          </c:cat>
          <c:val>
            <c:numRef>
              <c:f>(ACT.!$D$70,ACT.!$F$70:$G$70)</c:f>
              <c:numCache>
                <c:formatCode>#,##0</c:formatCode>
                <c:ptCount val="3"/>
                <c:pt idx="0">
                  <c:v>67.001302711298308</c:v>
                </c:pt>
                <c:pt idx="1">
                  <c:v>103.69036058581079</c:v>
                </c:pt>
                <c:pt idx="2">
                  <c:v>19.83107724066554</c:v>
                </c:pt>
              </c:numCache>
            </c:numRef>
          </c:val>
          <c:extLst>
            <c:ext xmlns:c16="http://schemas.microsoft.com/office/drawing/2014/chart" uri="{C3380CC4-5D6E-409C-BE32-E72D297353CC}">
              <c16:uniqueId val="{00000000-4273-4480-A4A2-68A45E184A4A}"/>
            </c:ext>
          </c:extLst>
        </c:ser>
        <c:ser>
          <c:idx val="1"/>
          <c:order val="1"/>
          <c:tx>
            <c:strRef>
              <c:f>ACT.!$O$75</c:f>
              <c:strCache>
                <c:ptCount val="1"/>
                <c:pt idx="0">
                  <c:v>Recycling (kt)</c:v>
                </c:pt>
              </c:strCache>
            </c:strRef>
          </c:tx>
          <c:spPr>
            <a:noFill/>
            <a:ln>
              <a:noFill/>
            </a:ln>
          </c:spPr>
          <c:invertIfNegative val="0"/>
          <c:cat>
            <c:strRef>
              <c:f>(ACT.!$D$69,ACT.!$F$69:$G$69)</c:f>
              <c:strCache>
                <c:ptCount val="3"/>
                <c:pt idx="0">
                  <c:v>MSW</c:v>
                </c:pt>
                <c:pt idx="1">
                  <c:v>C&amp;I</c:v>
                </c:pt>
                <c:pt idx="2">
                  <c:v>C&amp;D</c:v>
                </c:pt>
              </c:strCache>
            </c:strRef>
          </c:cat>
          <c:val>
            <c:numRef>
              <c:f>(ACT.!$D$71,ACT.!$F$71:$G$71)</c:f>
              <c:numCache>
                <c:formatCode>#,##0</c:formatCode>
                <c:ptCount val="3"/>
                <c:pt idx="0">
                  <c:v>98.60514560578055</c:v>
                </c:pt>
                <c:pt idx="1">
                  <c:v>238.07849464405479</c:v>
                </c:pt>
                <c:pt idx="2">
                  <c:v>210.44695189813496</c:v>
                </c:pt>
              </c:numCache>
            </c:numRef>
          </c:val>
          <c:extLst>
            <c:ext xmlns:c16="http://schemas.microsoft.com/office/drawing/2014/chart" uri="{C3380CC4-5D6E-409C-BE32-E72D297353CC}">
              <c16:uniqueId val="{00000001-4273-4480-A4A2-68A45E184A4A}"/>
            </c:ext>
          </c:extLst>
        </c:ser>
        <c:ser>
          <c:idx val="2"/>
          <c:order val="2"/>
          <c:tx>
            <c:strRef>
              <c:f>ACT.!$P$75</c:f>
              <c:strCache>
                <c:ptCount val="1"/>
                <c:pt idx="0">
                  <c:v>En recovery (kt)</c:v>
                </c:pt>
              </c:strCache>
            </c:strRef>
          </c:tx>
          <c:spPr>
            <a:noFill/>
          </c:spPr>
          <c:invertIfNegative val="0"/>
          <c:cat>
            <c:strRef>
              <c:f>(ACT.!$D$69,ACT.!$F$69:$G$69)</c:f>
              <c:strCache>
                <c:ptCount val="3"/>
                <c:pt idx="0">
                  <c:v>MSW</c:v>
                </c:pt>
                <c:pt idx="1">
                  <c:v>C&amp;I</c:v>
                </c:pt>
                <c:pt idx="2">
                  <c:v>C&amp;D</c:v>
                </c:pt>
              </c:strCache>
            </c:strRef>
          </c:cat>
          <c:val>
            <c:numRef>
              <c:f>(ACT.!$D$72,ACT.!$F$72:$G$72)</c:f>
              <c:numCache>
                <c:formatCode>#,##0</c:formatCode>
                <c:ptCount val="3"/>
                <c:pt idx="0">
                  <c:v>18.458074077713455</c:v>
                </c:pt>
                <c:pt idx="1">
                  <c:v>17.63611597009228</c:v>
                </c:pt>
                <c:pt idx="2">
                  <c:v>0.90879590613944439</c:v>
                </c:pt>
              </c:numCache>
            </c:numRef>
          </c:val>
          <c:extLst>
            <c:ext xmlns:c16="http://schemas.microsoft.com/office/drawing/2014/chart" uri="{C3380CC4-5D6E-409C-BE32-E72D297353CC}">
              <c16:uniqueId val="{00000002-4273-4480-A4A2-68A45E184A4A}"/>
            </c:ext>
          </c:extLst>
        </c:ser>
        <c:ser>
          <c:idx val="4"/>
          <c:order val="3"/>
          <c:tx>
            <c:strRef>
              <c:f>ACT.!$Q$75</c:f>
              <c:strCache>
                <c:ptCount val="1"/>
                <c:pt idx="0">
                  <c:v>Generation (kt)</c:v>
                </c:pt>
              </c:strCache>
            </c:strRef>
          </c:tx>
          <c:spPr>
            <a:noFill/>
          </c:spPr>
          <c:invertIfNegative val="0"/>
          <c:cat>
            <c:strRef>
              <c:f>(ACT.!$D$69,ACT.!$F$69:$G$69)</c:f>
              <c:strCache>
                <c:ptCount val="3"/>
                <c:pt idx="0">
                  <c:v>MSW</c:v>
                </c:pt>
                <c:pt idx="1">
                  <c:v>C&amp;I</c:v>
                </c:pt>
                <c:pt idx="2">
                  <c:v>C&amp;D</c:v>
                </c:pt>
              </c:strCache>
            </c:strRef>
          </c:cat>
          <c:val>
            <c:numRef>
              <c:f>(ACT.!$D$74,ACT.!$F$74:$G$74)</c:f>
              <c:numCache>
                <c:formatCode>#,##0</c:formatCode>
                <c:ptCount val="3"/>
                <c:pt idx="0">
                  <c:v>184.06452239479231</c:v>
                </c:pt>
                <c:pt idx="1">
                  <c:v>359.40497119995791</c:v>
                </c:pt>
                <c:pt idx="2">
                  <c:v>231.18682504493992</c:v>
                </c:pt>
              </c:numCache>
            </c:numRef>
          </c:val>
          <c:extLst>
            <c:ext xmlns:c16="http://schemas.microsoft.com/office/drawing/2014/chart" uri="{C3380CC4-5D6E-409C-BE32-E72D297353CC}">
              <c16:uniqueId val="{00000000-3466-48AA-AEBF-842E559A7BD7}"/>
            </c:ext>
          </c:extLst>
        </c:ser>
        <c:ser>
          <c:idx val="3"/>
          <c:order val="4"/>
          <c:tx>
            <c:strRef>
              <c:f>ACT.!$R$75</c:f>
              <c:strCache>
                <c:ptCount val="1"/>
                <c:pt idx="0">
                  <c:v>Generation (kg/cap)</c:v>
                </c:pt>
              </c:strCache>
            </c:strRef>
          </c:tx>
          <c:spPr>
            <a:noFill/>
            <a:ln>
              <a:noFill/>
            </a:ln>
          </c:spPr>
          <c:invertIfNegative val="0"/>
          <c:val>
            <c:numRef>
              <c:f>(ACT.!$D$75,ACT.!$F$75:$G$75)</c:f>
              <c:numCache>
                <c:formatCode>#,##0</c:formatCode>
                <c:ptCount val="3"/>
                <c:pt idx="0">
                  <c:v>474.70875580873962</c:v>
                </c:pt>
                <c:pt idx="1">
                  <c:v>926.91782473902219</c:v>
                </c:pt>
                <c:pt idx="2">
                  <c:v>596.23880065853052</c:v>
                </c:pt>
              </c:numCache>
            </c:numRef>
          </c:val>
          <c:extLst>
            <c:ext xmlns:c16="http://schemas.microsoft.com/office/drawing/2014/chart" uri="{C3380CC4-5D6E-409C-BE32-E72D297353CC}">
              <c16:uniqueId val="{00000003-58A5-44D2-9FF7-38995FFDC70B}"/>
            </c:ext>
          </c:extLst>
        </c:ser>
        <c:dLbls>
          <c:showLegendKey val="0"/>
          <c:showVal val="0"/>
          <c:showCatName val="0"/>
          <c:showSerName val="0"/>
          <c:showPercent val="0"/>
          <c:showBubbleSize val="0"/>
        </c:dLbls>
        <c:gapWidth val="150"/>
        <c:overlap val="100"/>
        <c:axId val="219432064"/>
        <c:axId val="219433600"/>
      </c:barChart>
      <c:catAx>
        <c:axId val="219432064"/>
        <c:scaling>
          <c:orientation val="minMax"/>
        </c:scaling>
        <c:delete val="1"/>
        <c:axPos val="b"/>
        <c:numFmt formatCode="General" sourceLinked="0"/>
        <c:majorTickMark val="none"/>
        <c:minorTickMark val="none"/>
        <c:tickLblPos val="nextTo"/>
        <c:crossAx val="219433600"/>
        <c:crosses val="autoZero"/>
        <c:auto val="1"/>
        <c:lblAlgn val="ctr"/>
        <c:lblOffset val="100"/>
        <c:noMultiLvlLbl val="0"/>
      </c:catAx>
      <c:valAx>
        <c:axId val="219433600"/>
        <c:scaling>
          <c:orientation val="minMax"/>
        </c:scaling>
        <c:delete val="1"/>
        <c:axPos val="l"/>
        <c:numFmt formatCode="#,##0" sourceLinked="0"/>
        <c:majorTickMark val="out"/>
        <c:minorTickMark val="none"/>
        <c:tickLblPos val="nextTo"/>
        <c:crossAx val="219432064"/>
        <c:crosses val="autoZero"/>
        <c:crossBetween val="between"/>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printSettings>
    <c:headerFooter/>
    <c:pageMargins b="0.75000000000000822" l="0.70000000000000062" r="0.70000000000000062" t="0.75000000000000822"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1535152724705"/>
          <c:y val="8.0557449704387885E-2"/>
          <c:w val="0.72450620821394462"/>
          <c:h val="0.23359453286202525"/>
        </c:manualLayout>
      </c:layout>
      <c:barChart>
        <c:barDir val="col"/>
        <c:grouping val="stacked"/>
        <c:varyColors val="0"/>
        <c:ser>
          <c:idx val="0"/>
          <c:order val="0"/>
          <c:tx>
            <c:strRef>
              <c:f>Vic.!$N$75</c:f>
              <c:strCache>
                <c:ptCount val="1"/>
                <c:pt idx="0">
                  <c:v>Disposal (kt)</c:v>
                </c:pt>
              </c:strCache>
            </c:strRef>
          </c:tx>
          <c:spPr>
            <a:noFill/>
          </c:spPr>
          <c:invertIfNegative val="0"/>
          <c:cat>
            <c:strRef>
              <c:f>Vic.!$B$79:$B$87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Vic.!$D$79:$D$87</c:f>
              <c:numCache>
                <c:formatCode>#,##0</c:formatCode>
                <c:ptCount val="9"/>
                <c:pt idx="0">
                  <c:v>931.66260210602138</c:v>
                </c:pt>
                <c:pt idx="1">
                  <c:v>81.513937488110884</c:v>
                </c:pt>
                <c:pt idx="2">
                  <c:v>1386.5339433509384</c:v>
                </c:pt>
                <c:pt idx="3">
                  <c:v>392.94451245714401</c:v>
                </c:pt>
                <c:pt idx="4">
                  <c:v>488.13175637164886</c:v>
                </c:pt>
                <c:pt idx="5">
                  <c:v>101.2966124508457</c:v>
                </c:pt>
                <c:pt idx="6">
                  <c:v>123.42032413218233</c:v>
                </c:pt>
                <c:pt idx="7">
                  <c:v>667.78422757230999</c:v>
                </c:pt>
                <c:pt idx="8">
                  <c:v>645.18765419283784</c:v>
                </c:pt>
              </c:numCache>
            </c:numRef>
          </c:val>
          <c:extLst>
            <c:ext xmlns:c16="http://schemas.microsoft.com/office/drawing/2014/chart" uri="{C3380CC4-5D6E-409C-BE32-E72D297353CC}">
              <c16:uniqueId val="{00000000-ED5D-4F3A-A63D-D61EFDF4576F}"/>
            </c:ext>
          </c:extLst>
        </c:ser>
        <c:ser>
          <c:idx val="1"/>
          <c:order val="1"/>
          <c:tx>
            <c:strRef>
              <c:f>Vic.!$O$75</c:f>
              <c:strCache>
                <c:ptCount val="1"/>
                <c:pt idx="0">
                  <c:v>Recycling (kt)</c:v>
                </c:pt>
              </c:strCache>
            </c:strRef>
          </c:tx>
          <c:spPr>
            <a:noFill/>
          </c:spPr>
          <c:invertIfNegative val="0"/>
          <c:cat>
            <c:strRef>
              <c:f>Vic.!$B$79:$B$87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Vic.!$E$79:$E$87</c:f>
              <c:numCache>
                <c:formatCode>#,##0</c:formatCode>
                <c:ptCount val="9"/>
                <c:pt idx="0">
                  <c:v>3326.701</c:v>
                </c:pt>
                <c:pt idx="1">
                  <c:v>1413.1569999999999</c:v>
                </c:pt>
                <c:pt idx="2">
                  <c:v>1013.38</c:v>
                </c:pt>
                <c:pt idx="3">
                  <c:v>1443.306</c:v>
                </c:pt>
                <c:pt idx="4">
                  <c:v>160.53384</c:v>
                </c:pt>
                <c:pt idx="5">
                  <c:v>197.02600000000001</c:v>
                </c:pt>
                <c:pt idx="6">
                  <c:v>26.771000000000001</c:v>
                </c:pt>
                <c:pt idx="7">
                  <c:v>830.63045788617615</c:v>
                </c:pt>
                <c:pt idx="8">
                  <c:v>1560.7062309039575</c:v>
                </c:pt>
              </c:numCache>
            </c:numRef>
          </c:val>
          <c:extLst>
            <c:ext xmlns:c16="http://schemas.microsoft.com/office/drawing/2014/chart" uri="{C3380CC4-5D6E-409C-BE32-E72D297353CC}">
              <c16:uniqueId val="{00000001-ED5D-4F3A-A63D-D61EFDF4576F}"/>
            </c:ext>
          </c:extLst>
        </c:ser>
        <c:ser>
          <c:idx val="2"/>
          <c:order val="2"/>
          <c:tx>
            <c:strRef>
              <c:f>Vic.!$P$75</c:f>
              <c:strCache>
                <c:ptCount val="1"/>
                <c:pt idx="0">
                  <c:v>En recovery (kt)</c:v>
                </c:pt>
              </c:strCache>
            </c:strRef>
          </c:tx>
          <c:spPr>
            <a:noFill/>
          </c:spPr>
          <c:invertIfNegative val="0"/>
          <c:cat>
            <c:strRef>
              <c:f>Vic.!$B$79:$B$87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Vic.!$F$79:$F$87</c:f>
              <c:numCache>
                <c:formatCode>#,##0</c:formatCode>
                <c:ptCount val="9"/>
                <c:pt idx="0">
                  <c:v>0</c:v>
                </c:pt>
                <c:pt idx="1">
                  <c:v>0</c:v>
                </c:pt>
                <c:pt idx="2">
                  <c:v>403.09266373858975</c:v>
                </c:pt>
                <c:pt idx="3">
                  <c:v>163.42755823850879</c:v>
                </c:pt>
                <c:pt idx="4">
                  <c:v>0</c:v>
                </c:pt>
                <c:pt idx="5">
                  <c:v>0</c:v>
                </c:pt>
                <c:pt idx="6">
                  <c:v>50.961089666010039</c:v>
                </c:pt>
                <c:pt idx="7">
                  <c:v>7.4278760811697235E-12</c:v>
                </c:pt>
                <c:pt idx="8">
                  <c:v>0</c:v>
                </c:pt>
              </c:numCache>
            </c:numRef>
          </c:val>
          <c:extLst>
            <c:ext xmlns:c16="http://schemas.microsoft.com/office/drawing/2014/chart" uri="{C3380CC4-5D6E-409C-BE32-E72D297353CC}">
              <c16:uniqueId val="{00000002-ED5D-4F3A-A63D-D61EFDF4576F}"/>
            </c:ext>
          </c:extLst>
        </c:ser>
        <c:ser>
          <c:idx val="4"/>
          <c:order val="3"/>
          <c:tx>
            <c:strRef>
              <c:f>Vic.!$Q$75</c:f>
              <c:strCache>
                <c:ptCount val="1"/>
                <c:pt idx="0">
                  <c:v>Generation (kt)</c:v>
                </c:pt>
              </c:strCache>
            </c:strRef>
          </c:tx>
          <c:spPr>
            <a:noFill/>
            <a:ln>
              <a:noFill/>
            </a:ln>
          </c:spPr>
          <c:invertIfNegative val="0"/>
          <c:cat>
            <c:strRef>
              <c:f>Vic.!$B$79:$B$87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Vic.!$G$79:$G$87</c:f>
              <c:numCache>
                <c:formatCode>#,##0</c:formatCode>
                <c:ptCount val="9"/>
                <c:pt idx="0">
                  <c:v>4258.3636021060211</c:v>
                </c:pt>
                <c:pt idx="1">
                  <c:v>1494.6709374881109</c:v>
                </c:pt>
                <c:pt idx="2">
                  <c:v>2803.0066070895282</c:v>
                </c:pt>
                <c:pt idx="3">
                  <c:v>1999.6780706956527</c:v>
                </c:pt>
                <c:pt idx="4">
                  <c:v>648.66559637164892</c:v>
                </c:pt>
                <c:pt idx="5">
                  <c:v>298.32261245084572</c:v>
                </c:pt>
                <c:pt idx="6">
                  <c:v>201.15241379819236</c:v>
                </c:pt>
                <c:pt idx="7">
                  <c:v>1498.4146854584935</c:v>
                </c:pt>
                <c:pt idx="8">
                  <c:v>2205.8938850967952</c:v>
                </c:pt>
              </c:numCache>
            </c:numRef>
          </c:val>
          <c:extLst>
            <c:ext xmlns:c16="http://schemas.microsoft.com/office/drawing/2014/chart" uri="{C3380CC4-5D6E-409C-BE32-E72D297353CC}">
              <c16:uniqueId val="{00000003-ED5D-4F3A-A63D-D61EFDF4576F}"/>
            </c:ext>
          </c:extLst>
        </c:ser>
        <c:ser>
          <c:idx val="3"/>
          <c:order val="4"/>
          <c:tx>
            <c:strRef>
              <c:f>Vic.!$R$75</c:f>
              <c:strCache>
                <c:ptCount val="1"/>
                <c:pt idx="0">
                  <c:v>Generation (kg/cap)</c:v>
                </c:pt>
              </c:strCache>
            </c:strRef>
          </c:tx>
          <c:spPr>
            <a:noFill/>
          </c:spPr>
          <c:invertIfNegative val="0"/>
          <c:cat>
            <c:strRef>
              <c:f>Vic.!$B$79:$B$87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Vic.!$L$79:$L$87</c:f>
              <c:numCache>
                <c:formatCode>#,##0</c:formatCode>
                <c:ptCount val="9"/>
                <c:pt idx="0">
                  <c:v>723.40504796201196</c:v>
                </c:pt>
                <c:pt idx="1">
                  <c:v>253.91267685226944</c:v>
                </c:pt>
                <c:pt idx="2">
                  <c:v>476.17097047246278</c:v>
                </c:pt>
                <c:pt idx="3">
                  <c:v>339.70260546204918</c:v>
                </c:pt>
                <c:pt idx="4">
                  <c:v>110.19443398926009</c:v>
                </c:pt>
                <c:pt idx="5">
                  <c:v>50.67864182885333</c:v>
                </c:pt>
                <c:pt idx="6">
                  <c:v>34.17149993471434</c:v>
                </c:pt>
                <c:pt idx="7">
                  <c:v>227.55592041042684</c:v>
                </c:pt>
                <c:pt idx="8">
                  <c:v>374.73426904136556</c:v>
                </c:pt>
              </c:numCache>
            </c:numRef>
          </c:val>
          <c:extLst>
            <c:ext xmlns:c16="http://schemas.microsoft.com/office/drawing/2014/chart" uri="{C3380CC4-5D6E-409C-BE32-E72D297353CC}">
              <c16:uniqueId val="{00000004-ED5D-4F3A-A63D-D61EFDF4576F}"/>
            </c:ext>
          </c:extLst>
        </c:ser>
        <c:dLbls>
          <c:showLegendKey val="0"/>
          <c:showVal val="0"/>
          <c:showCatName val="0"/>
          <c:showSerName val="0"/>
          <c:showPercent val="0"/>
          <c:showBubbleSize val="0"/>
        </c:dLbls>
        <c:gapWidth val="150"/>
        <c:overlap val="100"/>
        <c:axId val="220093056"/>
        <c:axId val="220111232"/>
      </c:barChart>
      <c:catAx>
        <c:axId val="220093056"/>
        <c:scaling>
          <c:orientation val="minMax"/>
        </c:scaling>
        <c:delete val="1"/>
        <c:axPos val="b"/>
        <c:numFmt formatCode="General" sourceLinked="0"/>
        <c:majorTickMark val="none"/>
        <c:minorTickMark val="none"/>
        <c:tickLblPos val="nextTo"/>
        <c:crossAx val="220111232"/>
        <c:crosses val="autoZero"/>
        <c:auto val="1"/>
        <c:lblAlgn val="ctr"/>
        <c:lblOffset val="100"/>
        <c:noMultiLvlLbl val="0"/>
      </c:catAx>
      <c:valAx>
        <c:axId val="220111232"/>
        <c:scaling>
          <c:orientation val="minMax"/>
        </c:scaling>
        <c:delete val="1"/>
        <c:axPos val="l"/>
        <c:numFmt formatCode="#,##0" sourceLinked="0"/>
        <c:majorTickMark val="out"/>
        <c:minorTickMark val="none"/>
        <c:tickLblPos val="nextTo"/>
        <c:crossAx val="220093056"/>
        <c:crosses val="autoZero"/>
        <c:crossBetween val="between"/>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844" l="0.70000000000000062" r="0.70000000000000062" t="0.75000000000000844"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69535685320356"/>
          <c:y val="8.6951461988304099E-2"/>
          <c:w val="0.63679981075966474"/>
          <c:h val="0.45307953216374275"/>
        </c:manualLayout>
      </c:layout>
      <c:barChart>
        <c:barDir val="col"/>
        <c:grouping val="stacked"/>
        <c:varyColors val="0"/>
        <c:ser>
          <c:idx val="0"/>
          <c:order val="0"/>
          <c:tx>
            <c:strRef>
              <c:f>Vic.!$C$70</c:f>
              <c:strCache>
                <c:ptCount val="1"/>
                <c:pt idx="0">
                  <c:v>Disposal</c:v>
                </c:pt>
              </c:strCache>
            </c:strRef>
          </c:tx>
          <c:spPr>
            <a:solidFill>
              <a:schemeClr val="accent3">
                <a:lumMod val="50000"/>
              </a:schemeClr>
            </a:solidFill>
          </c:spPr>
          <c:invertIfNegative val="0"/>
          <c:cat>
            <c:strRef>
              <c:f>Vic.!$H$67:$J$67</c:f>
              <c:strCache>
                <c:ptCount val="3"/>
                <c:pt idx="0">
                  <c:v>Total</c:v>
                </c:pt>
                <c:pt idx="1">
                  <c:v>Total excl. fly ash</c:v>
                </c:pt>
                <c:pt idx="2">
                  <c:v>Total excl. fly ash &amp; hazwaste</c:v>
                </c:pt>
              </c:strCache>
            </c:strRef>
          </c:cat>
          <c:val>
            <c:numRef>
              <c:f>Vic.!$H$70:$J$70</c:f>
              <c:numCache>
                <c:formatCode>#,##0</c:formatCode>
                <c:ptCount val="3"/>
                <c:pt idx="0">
                  <c:v>4659.5813257351465</c:v>
                </c:pt>
                <c:pt idx="1">
                  <c:v>4014.3936715423083</c:v>
                </c:pt>
                <c:pt idx="2">
                  <c:v>3505.5036883568919</c:v>
                </c:pt>
              </c:numCache>
            </c:numRef>
          </c:val>
          <c:extLst>
            <c:ext xmlns:c16="http://schemas.microsoft.com/office/drawing/2014/chart" uri="{C3380CC4-5D6E-409C-BE32-E72D297353CC}">
              <c16:uniqueId val="{00000000-E299-48F4-B489-626AE91A7B46}"/>
            </c:ext>
          </c:extLst>
        </c:ser>
        <c:ser>
          <c:idx val="1"/>
          <c:order val="1"/>
          <c:tx>
            <c:strRef>
              <c:f>Vic.!$C$71</c:f>
              <c:strCache>
                <c:ptCount val="1"/>
                <c:pt idx="0">
                  <c:v>Recycling</c:v>
                </c:pt>
              </c:strCache>
            </c:strRef>
          </c:tx>
          <c:spPr>
            <a:solidFill>
              <a:srgbClr val="FFFF00"/>
            </a:solidFill>
          </c:spPr>
          <c:invertIfNegative val="0"/>
          <c:cat>
            <c:strRef>
              <c:f>Vic.!$H$67:$J$67</c:f>
              <c:strCache>
                <c:ptCount val="3"/>
                <c:pt idx="0">
                  <c:v>Total</c:v>
                </c:pt>
                <c:pt idx="1">
                  <c:v>Total excl. fly ash</c:v>
                </c:pt>
                <c:pt idx="2">
                  <c:v>Total excl. fly ash &amp; hazwaste</c:v>
                </c:pt>
              </c:strCache>
            </c:strRef>
          </c:cat>
          <c:val>
            <c:numRef>
              <c:f>Vic.!$H$71:$J$71</c:f>
              <c:numCache>
                <c:formatCode>#,##0</c:formatCode>
                <c:ptCount val="3"/>
                <c:pt idx="0">
                  <c:v>9972.2115287901324</c:v>
                </c:pt>
                <c:pt idx="1">
                  <c:v>8411.5052978861768</c:v>
                </c:pt>
                <c:pt idx="2">
                  <c:v>7580.8748399999995</c:v>
                </c:pt>
              </c:numCache>
            </c:numRef>
          </c:val>
          <c:extLst>
            <c:ext xmlns:c16="http://schemas.microsoft.com/office/drawing/2014/chart" uri="{C3380CC4-5D6E-409C-BE32-E72D297353CC}">
              <c16:uniqueId val="{00000001-E299-48F4-B489-626AE91A7B46}"/>
            </c:ext>
          </c:extLst>
        </c:ser>
        <c:ser>
          <c:idx val="2"/>
          <c:order val="2"/>
          <c:tx>
            <c:strRef>
              <c:f>Vic.!$C$72</c:f>
              <c:strCache>
                <c:ptCount val="1"/>
                <c:pt idx="0">
                  <c:v>Energy recovery</c:v>
                </c:pt>
              </c:strCache>
            </c:strRef>
          </c:tx>
          <c:spPr>
            <a:solidFill>
              <a:schemeClr val="accent6">
                <a:lumMod val="75000"/>
              </a:schemeClr>
            </a:solidFill>
          </c:spPr>
          <c:invertIfNegative val="0"/>
          <c:cat>
            <c:strRef>
              <c:f>Vic.!$H$67:$J$67</c:f>
              <c:strCache>
                <c:ptCount val="3"/>
                <c:pt idx="0">
                  <c:v>Total</c:v>
                </c:pt>
                <c:pt idx="1">
                  <c:v>Total excl. fly ash</c:v>
                </c:pt>
                <c:pt idx="2">
                  <c:v>Total excl. fly ash &amp; hazwaste</c:v>
                </c:pt>
              </c:strCache>
            </c:strRef>
          </c:cat>
          <c:val>
            <c:numRef>
              <c:f>Vic.!$H$72:$J$72</c:f>
              <c:numCache>
                <c:formatCode>#,##0</c:formatCode>
                <c:ptCount val="3"/>
                <c:pt idx="0">
                  <c:v>617.48131164311599</c:v>
                </c:pt>
                <c:pt idx="1">
                  <c:v>617.48131164311599</c:v>
                </c:pt>
                <c:pt idx="2">
                  <c:v>617.48131164310848</c:v>
                </c:pt>
              </c:numCache>
            </c:numRef>
          </c:val>
          <c:extLst>
            <c:ext xmlns:c16="http://schemas.microsoft.com/office/drawing/2014/chart" uri="{C3380CC4-5D6E-409C-BE32-E72D297353CC}">
              <c16:uniqueId val="{00000002-E299-48F4-B489-626AE91A7B46}"/>
            </c:ext>
          </c:extLst>
        </c:ser>
        <c:ser>
          <c:idx val="3"/>
          <c:order val="3"/>
          <c:tx>
            <c:strRef>
              <c:f>Vic.!$C$73</c:f>
              <c:strCache>
                <c:ptCount val="1"/>
                <c:pt idx="0">
                  <c:v>Recovery rate</c:v>
                </c:pt>
              </c:strCache>
            </c:strRef>
          </c:tx>
          <c:spPr>
            <a:noFill/>
          </c:spPr>
          <c:invertIfNegative val="0"/>
          <c:dLbls>
            <c:dLbl>
              <c:idx val="1"/>
              <c:layout>
                <c:manualLayout>
                  <c:x val="-7.8680266171218451E-17"/>
                  <c:y val="-1.58061403508771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99-48F4-B489-626AE91A7B4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Vic.!$H$67:$J$67</c:f>
              <c:strCache>
                <c:ptCount val="3"/>
                <c:pt idx="0">
                  <c:v>Total</c:v>
                </c:pt>
                <c:pt idx="1">
                  <c:v>Total excl. fly ash</c:v>
                </c:pt>
                <c:pt idx="2">
                  <c:v>Total excl. fly ash &amp; hazwaste</c:v>
                </c:pt>
              </c:strCache>
            </c:strRef>
          </c:cat>
          <c:val>
            <c:numRef>
              <c:f>Vic.!$O$73:$Q$73</c:f>
              <c:numCache>
                <c:formatCode>0%</c:formatCode>
                <c:ptCount val="3"/>
                <c:pt idx="0">
                  <c:v>694.43914018722535</c:v>
                </c:pt>
                <c:pt idx="1">
                  <c:v>692.22750659444102</c:v>
                </c:pt>
                <c:pt idx="2">
                  <c:v>700.48311101810896</c:v>
                </c:pt>
              </c:numCache>
            </c:numRef>
          </c:val>
          <c:extLst>
            <c:ext xmlns:c16="http://schemas.microsoft.com/office/drawing/2014/chart" uri="{C3380CC4-5D6E-409C-BE32-E72D297353CC}">
              <c16:uniqueId val="{00000004-E299-48F4-B489-626AE91A7B46}"/>
            </c:ext>
          </c:extLst>
        </c:ser>
        <c:dLbls>
          <c:showLegendKey val="0"/>
          <c:showVal val="0"/>
          <c:showCatName val="0"/>
          <c:showSerName val="0"/>
          <c:showPercent val="0"/>
          <c:showBubbleSize val="0"/>
        </c:dLbls>
        <c:gapWidth val="270"/>
        <c:overlap val="100"/>
        <c:axId val="219543040"/>
        <c:axId val="219544576"/>
      </c:barChart>
      <c:lineChart>
        <c:grouping val="stacked"/>
        <c:varyColors val="0"/>
        <c:ser>
          <c:idx val="4"/>
          <c:order val="4"/>
          <c:tx>
            <c:v>disposal per cap</c:v>
          </c:tx>
          <c:spPr>
            <a:ln>
              <a:noFill/>
            </a:ln>
          </c:spPr>
          <c:marker>
            <c:symbol val="none"/>
          </c:marker>
          <c:val>
            <c:numRef>
              <c:f>Vic.!$K$70:$M$70</c:f>
              <c:numCache>
                <c:formatCode>#,##0</c:formatCode>
                <c:ptCount val="3"/>
                <c:pt idx="0">
                  <c:v>791.5633720801294</c:v>
                </c:pt>
                <c:pt idx="1">
                  <c:v>681.95976620320516</c:v>
                </c:pt>
                <c:pt idx="2">
                  <c:v>595.5102242919487</c:v>
                </c:pt>
              </c:numCache>
            </c:numRef>
          </c:val>
          <c:smooth val="0"/>
          <c:extLst>
            <c:ext xmlns:c16="http://schemas.microsoft.com/office/drawing/2014/chart" uri="{C3380CC4-5D6E-409C-BE32-E72D297353CC}">
              <c16:uniqueId val="{00000005-E299-48F4-B489-626AE91A7B46}"/>
            </c:ext>
          </c:extLst>
        </c:ser>
        <c:ser>
          <c:idx val="5"/>
          <c:order val="5"/>
          <c:tx>
            <c:v>recycling per cap</c:v>
          </c:tx>
          <c:spPr>
            <a:ln>
              <a:noFill/>
            </a:ln>
          </c:spPr>
          <c:marker>
            <c:symbol val="none"/>
          </c:marker>
          <c:val>
            <c:numRef>
              <c:f>Vic.!$K$71:$M$71</c:f>
              <c:numCache>
                <c:formatCode>#,##0</c:formatCode>
                <c:ptCount val="3"/>
                <c:pt idx="0">
                  <c:v>1694.0658039872442</c:v>
                </c:pt>
                <c:pt idx="1">
                  <c:v>1428.9351408228033</c:v>
                </c:pt>
                <c:pt idx="2">
                  <c:v>1287.8287623236342</c:v>
                </c:pt>
              </c:numCache>
            </c:numRef>
          </c:val>
          <c:smooth val="0"/>
          <c:extLst>
            <c:ext xmlns:c16="http://schemas.microsoft.com/office/drawing/2014/chart" uri="{C3380CC4-5D6E-409C-BE32-E72D297353CC}">
              <c16:uniqueId val="{00000006-E299-48F4-B489-626AE91A7B46}"/>
            </c:ext>
          </c:extLst>
        </c:ser>
        <c:ser>
          <c:idx val="6"/>
          <c:order val="6"/>
          <c:tx>
            <c:v>en recov per cap</c:v>
          </c:tx>
          <c:spPr>
            <a:ln>
              <a:noFill/>
            </a:ln>
          </c:spPr>
          <c:marker>
            <c:symbol val="none"/>
          </c:marker>
          <c:val>
            <c:numRef>
              <c:f>Vic.!$K$72:$M$72</c:f>
              <c:numCache>
                <c:formatCode>#,##0</c:formatCode>
                <c:ptCount val="3"/>
                <c:pt idx="0">
                  <c:v>104.89688988603916</c:v>
                </c:pt>
                <c:pt idx="1">
                  <c:v>104.8968898860393</c:v>
                </c:pt>
                <c:pt idx="2">
                  <c:v>104.89688988603835</c:v>
                </c:pt>
              </c:numCache>
            </c:numRef>
          </c:val>
          <c:smooth val="0"/>
          <c:extLst>
            <c:ext xmlns:c16="http://schemas.microsoft.com/office/drawing/2014/chart" uri="{C3380CC4-5D6E-409C-BE32-E72D297353CC}">
              <c16:uniqueId val="{00000007-E299-48F4-B489-626AE91A7B46}"/>
            </c:ext>
          </c:extLst>
        </c:ser>
        <c:dLbls>
          <c:showLegendKey val="0"/>
          <c:showVal val="0"/>
          <c:showCatName val="0"/>
          <c:showSerName val="0"/>
          <c:showPercent val="0"/>
          <c:showBubbleSize val="0"/>
        </c:dLbls>
        <c:marker val="1"/>
        <c:smooth val="0"/>
        <c:axId val="219687936"/>
        <c:axId val="219686016"/>
      </c:lineChart>
      <c:catAx>
        <c:axId val="219543040"/>
        <c:scaling>
          <c:orientation val="minMax"/>
        </c:scaling>
        <c:delete val="0"/>
        <c:axPos val="b"/>
        <c:numFmt formatCode="General" sourceLinked="0"/>
        <c:majorTickMark val="none"/>
        <c:minorTickMark val="none"/>
        <c:tickLblPos val="nextTo"/>
        <c:spPr>
          <a:ln w="2540"/>
        </c:spPr>
        <c:crossAx val="219544576"/>
        <c:crosses val="autoZero"/>
        <c:auto val="1"/>
        <c:lblAlgn val="ctr"/>
        <c:lblOffset val="50"/>
        <c:noMultiLvlLbl val="0"/>
      </c:catAx>
      <c:valAx>
        <c:axId val="219544576"/>
        <c:scaling>
          <c:orientation val="minMax"/>
          <c:max val="18000"/>
        </c:scaling>
        <c:delete val="0"/>
        <c:axPos val="l"/>
        <c:majorGridlines>
          <c:spPr>
            <a:ln w="2540"/>
          </c:spPr>
        </c:majorGridlines>
        <c:title>
          <c:tx>
            <c:rich>
              <a:bodyPr/>
              <a:lstStyle/>
              <a:p>
                <a:pPr>
                  <a:defRPr/>
                </a:pPr>
                <a:r>
                  <a:rPr lang="en-US"/>
                  <a:t>Megatonnes</a:t>
                </a:r>
              </a:p>
            </c:rich>
          </c:tx>
          <c:layout>
            <c:manualLayout>
              <c:xMode val="edge"/>
              <c:yMode val="edge"/>
              <c:x val="0.14021289537712894"/>
              <c:y val="0.21867309941520469"/>
            </c:manualLayout>
          </c:layout>
          <c:overlay val="0"/>
        </c:title>
        <c:numFmt formatCode="#,##0" sourceLinked="0"/>
        <c:majorTickMark val="out"/>
        <c:minorTickMark val="none"/>
        <c:tickLblPos val="nextTo"/>
        <c:spPr>
          <a:ln>
            <a:noFill/>
          </a:ln>
        </c:spPr>
        <c:crossAx val="219543040"/>
        <c:crosses val="autoZero"/>
        <c:crossBetween val="between"/>
        <c:majorUnit val="3000"/>
        <c:dispUnits>
          <c:builtInUnit val="thousands"/>
        </c:dispUnits>
      </c:valAx>
      <c:valAx>
        <c:axId val="219686016"/>
        <c:scaling>
          <c:orientation val="minMax"/>
          <c:min val="0"/>
        </c:scaling>
        <c:delete val="0"/>
        <c:axPos val="r"/>
        <c:title>
          <c:tx>
            <c:rich>
              <a:bodyPr/>
              <a:lstStyle/>
              <a:p>
                <a:pPr>
                  <a:defRPr/>
                </a:pPr>
                <a:r>
                  <a:rPr lang="en-US"/>
                  <a:t>Kg per capita</a:t>
                </a:r>
              </a:p>
            </c:rich>
          </c:tx>
          <c:layout>
            <c:manualLayout>
              <c:xMode val="edge"/>
              <c:yMode val="edge"/>
              <c:x val="0.94939037577723706"/>
              <c:y val="0.20802163742690058"/>
            </c:manualLayout>
          </c:layout>
          <c:overlay val="0"/>
        </c:title>
        <c:numFmt formatCode="#,##0" sourceLinked="0"/>
        <c:majorTickMark val="out"/>
        <c:minorTickMark val="none"/>
        <c:tickLblPos val="nextTo"/>
        <c:spPr>
          <a:ln>
            <a:noFill/>
          </a:ln>
        </c:spPr>
        <c:crossAx val="219687936"/>
        <c:crosses val="max"/>
        <c:crossBetween val="between"/>
        <c:majorUnit val="510"/>
      </c:valAx>
      <c:catAx>
        <c:axId val="219687936"/>
        <c:scaling>
          <c:orientation val="minMax"/>
        </c:scaling>
        <c:delete val="1"/>
        <c:axPos val="b"/>
        <c:majorTickMark val="out"/>
        <c:minorTickMark val="none"/>
        <c:tickLblPos val="nextTo"/>
        <c:crossAx val="219686016"/>
        <c:crosses val="autoZero"/>
        <c:auto val="1"/>
        <c:lblAlgn val="ctr"/>
        <c:lblOffset val="100"/>
        <c:noMultiLvlLbl val="0"/>
      </c:catAx>
    </c:plotArea>
    <c:legend>
      <c:legendPos val="t"/>
      <c:legendEntry>
        <c:idx val="3"/>
        <c:delete val="1"/>
      </c:legendEntry>
      <c:legendEntry>
        <c:idx val="4"/>
        <c:delete val="1"/>
      </c:legendEntry>
      <c:legendEntry>
        <c:idx val="5"/>
        <c:delete val="1"/>
      </c:legendEntry>
      <c:legendEntry>
        <c:idx val="6"/>
        <c:delete val="1"/>
      </c:legendEntry>
      <c:layout>
        <c:manualLayout>
          <c:xMode val="edge"/>
          <c:yMode val="edge"/>
          <c:x val="0.30593876723438768"/>
          <c:y val="1.2923391812865496E-2"/>
          <c:w val="0.50702679538284368"/>
          <c:h val="6.0088620727098134E-2"/>
        </c:manualLayout>
      </c:layout>
      <c:overlay val="1"/>
    </c:legend>
    <c:plotVisOnly val="1"/>
    <c:dispBlanksAs val="gap"/>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1047706429997"/>
          <c:y val="9.4592434297069511E-2"/>
          <c:w val="0.71807230014589774"/>
          <c:h val="0.10514317465139436"/>
        </c:manualLayout>
      </c:layout>
      <c:barChart>
        <c:barDir val="col"/>
        <c:grouping val="stacked"/>
        <c:varyColors val="0"/>
        <c:ser>
          <c:idx val="0"/>
          <c:order val="0"/>
          <c:tx>
            <c:strRef>
              <c:f>Vic.!$C$70</c:f>
              <c:strCache>
                <c:ptCount val="1"/>
                <c:pt idx="0">
                  <c:v>Disposal</c:v>
                </c:pt>
              </c:strCache>
            </c:strRef>
          </c:tx>
          <c:spPr>
            <a:noFill/>
          </c:spPr>
          <c:invertIfNegative val="0"/>
          <c:cat>
            <c:strRef>
              <c:f>Vic.!$N$76:$S$76</c:f>
              <c:strCache>
                <c:ptCount val="6"/>
                <c:pt idx="0">
                  <c:v>Mega-tonnes</c:v>
                </c:pt>
                <c:pt idx="1">
                  <c:v>Kg per capita</c:v>
                </c:pt>
                <c:pt idx="2">
                  <c:v>Mega-tonnes</c:v>
                </c:pt>
                <c:pt idx="3">
                  <c:v>Kg per capita</c:v>
                </c:pt>
                <c:pt idx="4">
                  <c:v>Mega-tonnes</c:v>
                </c:pt>
                <c:pt idx="5">
                  <c:v>Kg per capita</c:v>
                </c:pt>
              </c:strCache>
            </c:strRef>
          </c:cat>
          <c:val>
            <c:numRef>
              <c:f>(Vic.!$O$70,Vic.!$K$70,Vic.!$P$70,Vic.!$L$70,Vic.!$Q$70,Vic.!$M$70)</c:f>
              <c:numCache>
                <c:formatCode>#,##0</c:formatCode>
                <c:ptCount val="6"/>
                <c:pt idx="0" formatCode="0.00">
                  <c:v>4.6595813257351466</c:v>
                </c:pt>
                <c:pt idx="1">
                  <c:v>791.5633720801294</c:v>
                </c:pt>
                <c:pt idx="2" formatCode="0.00">
                  <c:v>4.0143936715423081</c:v>
                </c:pt>
                <c:pt idx="3">
                  <c:v>681.95976620320516</c:v>
                </c:pt>
                <c:pt idx="4" formatCode="0.00">
                  <c:v>3.505503688356892</c:v>
                </c:pt>
                <c:pt idx="5">
                  <c:v>595.5102242919487</c:v>
                </c:pt>
              </c:numCache>
            </c:numRef>
          </c:val>
          <c:extLst>
            <c:ext xmlns:c16="http://schemas.microsoft.com/office/drawing/2014/chart" uri="{C3380CC4-5D6E-409C-BE32-E72D297353CC}">
              <c16:uniqueId val="{00000000-A125-4A1D-8DB0-57B56DB39D64}"/>
            </c:ext>
          </c:extLst>
        </c:ser>
        <c:ser>
          <c:idx val="1"/>
          <c:order val="1"/>
          <c:tx>
            <c:strRef>
              <c:f>Vic.!$C$71</c:f>
              <c:strCache>
                <c:ptCount val="1"/>
                <c:pt idx="0">
                  <c:v>Recycling</c:v>
                </c:pt>
              </c:strCache>
            </c:strRef>
          </c:tx>
          <c:spPr>
            <a:noFill/>
          </c:spPr>
          <c:invertIfNegative val="0"/>
          <c:cat>
            <c:strRef>
              <c:f>Vic.!$N$76:$S$76</c:f>
              <c:strCache>
                <c:ptCount val="6"/>
                <c:pt idx="0">
                  <c:v>Mega-tonnes</c:v>
                </c:pt>
                <c:pt idx="1">
                  <c:v>Kg per capita</c:v>
                </c:pt>
                <c:pt idx="2">
                  <c:v>Mega-tonnes</c:v>
                </c:pt>
                <c:pt idx="3">
                  <c:v>Kg per capita</c:v>
                </c:pt>
                <c:pt idx="4">
                  <c:v>Mega-tonnes</c:v>
                </c:pt>
                <c:pt idx="5">
                  <c:v>Kg per capita</c:v>
                </c:pt>
              </c:strCache>
            </c:strRef>
          </c:cat>
          <c:val>
            <c:numRef>
              <c:f>(Vic.!$O$71,Vic.!$K$71,Vic.!$P$71,Vic.!$L$71,Vic.!$Q$71,Vic.!$M$71)</c:f>
              <c:numCache>
                <c:formatCode>#,##0</c:formatCode>
                <c:ptCount val="6"/>
                <c:pt idx="0" formatCode="0.00">
                  <c:v>9.9722115287901332</c:v>
                </c:pt>
                <c:pt idx="1">
                  <c:v>1694.0658039872442</c:v>
                </c:pt>
                <c:pt idx="2" formatCode="0.00">
                  <c:v>8.4115052978861762</c:v>
                </c:pt>
                <c:pt idx="3">
                  <c:v>1428.9351408228033</c:v>
                </c:pt>
                <c:pt idx="4" formatCode="0.00">
                  <c:v>7.5808748399999999</c:v>
                </c:pt>
                <c:pt idx="5">
                  <c:v>1287.8287623236342</c:v>
                </c:pt>
              </c:numCache>
            </c:numRef>
          </c:val>
          <c:extLst>
            <c:ext xmlns:c16="http://schemas.microsoft.com/office/drawing/2014/chart" uri="{C3380CC4-5D6E-409C-BE32-E72D297353CC}">
              <c16:uniqueId val="{00000001-A125-4A1D-8DB0-57B56DB39D64}"/>
            </c:ext>
          </c:extLst>
        </c:ser>
        <c:ser>
          <c:idx val="2"/>
          <c:order val="2"/>
          <c:tx>
            <c:strRef>
              <c:f>Vic.!$C$72</c:f>
              <c:strCache>
                <c:ptCount val="1"/>
                <c:pt idx="0">
                  <c:v>Energy recovery</c:v>
                </c:pt>
              </c:strCache>
            </c:strRef>
          </c:tx>
          <c:spPr>
            <a:noFill/>
          </c:spPr>
          <c:invertIfNegative val="0"/>
          <c:cat>
            <c:strRef>
              <c:f>Vic.!$N$76:$S$76</c:f>
              <c:strCache>
                <c:ptCount val="6"/>
                <c:pt idx="0">
                  <c:v>Mega-tonnes</c:v>
                </c:pt>
                <c:pt idx="1">
                  <c:v>Kg per capita</c:v>
                </c:pt>
                <c:pt idx="2">
                  <c:v>Mega-tonnes</c:v>
                </c:pt>
                <c:pt idx="3">
                  <c:v>Kg per capita</c:v>
                </c:pt>
                <c:pt idx="4">
                  <c:v>Mega-tonnes</c:v>
                </c:pt>
                <c:pt idx="5">
                  <c:v>Kg per capita</c:v>
                </c:pt>
              </c:strCache>
            </c:strRef>
          </c:cat>
          <c:val>
            <c:numRef>
              <c:f>(Vic.!$O$72,Vic.!$K$72,Vic.!$P$72,Vic.!$L$72,Vic.!$Q$72,Vic.!$M$72)</c:f>
              <c:numCache>
                <c:formatCode>#,##0</c:formatCode>
                <c:ptCount val="6"/>
                <c:pt idx="0" formatCode="0.00">
                  <c:v>0.61748131164311604</c:v>
                </c:pt>
                <c:pt idx="1">
                  <c:v>104.89688988603916</c:v>
                </c:pt>
                <c:pt idx="2" formatCode="0.00">
                  <c:v>0.61748131164311604</c:v>
                </c:pt>
                <c:pt idx="3">
                  <c:v>104.8968898860393</c:v>
                </c:pt>
                <c:pt idx="4" formatCode="0.00">
                  <c:v>0.61748131164310849</c:v>
                </c:pt>
                <c:pt idx="5">
                  <c:v>104.89688988603835</c:v>
                </c:pt>
              </c:numCache>
            </c:numRef>
          </c:val>
          <c:extLst>
            <c:ext xmlns:c16="http://schemas.microsoft.com/office/drawing/2014/chart" uri="{C3380CC4-5D6E-409C-BE32-E72D297353CC}">
              <c16:uniqueId val="{00000002-A125-4A1D-8DB0-57B56DB39D64}"/>
            </c:ext>
          </c:extLst>
        </c:ser>
        <c:ser>
          <c:idx val="4"/>
          <c:order val="3"/>
          <c:tx>
            <c:strRef>
              <c:f>Vic.!$C$74</c:f>
              <c:strCache>
                <c:ptCount val="1"/>
                <c:pt idx="0">
                  <c:v>Generation</c:v>
                </c:pt>
              </c:strCache>
            </c:strRef>
          </c:tx>
          <c:spPr>
            <a:noFill/>
            <a:ln>
              <a:noFill/>
            </a:ln>
          </c:spPr>
          <c:invertIfNegative val="0"/>
          <c:cat>
            <c:strRef>
              <c:f>Vic.!$N$76:$S$76</c:f>
              <c:strCache>
                <c:ptCount val="6"/>
                <c:pt idx="0">
                  <c:v>Mega-tonnes</c:v>
                </c:pt>
                <c:pt idx="1">
                  <c:v>Kg per capita</c:v>
                </c:pt>
                <c:pt idx="2">
                  <c:v>Mega-tonnes</c:v>
                </c:pt>
                <c:pt idx="3">
                  <c:v>Kg per capita</c:v>
                </c:pt>
                <c:pt idx="4">
                  <c:v>Mega-tonnes</c:v>
                </c:pt>
                <c:pt idx="5">
                  <c:v>Kg per capita</c:v>
                </c:pt>
              </c:strCache>
            </c:strRef>
          </c:cat>
          <c:val>
            <c:numRef>
              <c:f>(Vic.!$O$74,Vic.!$K$74,Vic.!$P$74,Vic.!$L$74,Vic.!$Q$74,Vic.!$M$74)</c:f>
              <c:numCache>
                <c:formatCode>#,##0</c:formatCode>
                <c:ptCount val="6"/>
                <c:pt idx="0" formatCode="0.00">
                  <c:v>15.249274166168396</c:v>
                </c:pt>
                <c:pt idx="1">
                  <c:v>2590.5260659534124</c:v>
                </c:pt>
                <c:pt idx="2" formatCode="0.00">
                  <c:v>13.043380281071601</c:v>
                </c:pt>
                <c:pt idx="3">
                  <c:v>2215.7917969120481</c:v>
                </c:pt>
                <c:pt idx="4" formatCode="0.00">
                  <c:v>11.70385984</c:v>
                </c:pt>
                <c:pt idx="5">
                  <c:v>1988.2358765016213</c:v>
                </c:pt>
              </c:numCache>
            </c:numRef>
          </c:val>
          <c:extLst>
            <c:ext xmlns:c16="http://schemas.microsoft.com/office/drawing/2014/chart" uri="{C3380CC4-5D6E-409C-BE32-E72D297353CC}">
              <c16:uniqueId val="{00000003-A125-4A1D-8DB0-57B56DB39D64}"/>
            </c:ext>
          </c:extLst>
        </c:ser>
        <c:dLbls>
          <c:showLegendKey val="0"/>
          <c:showVal val="0"/>
          <c:showCatName val="0"/>
          <c:showSerName val="0"/>
          <c:showPercent val="0"/>
          <c:showBubbleSize val="0"/>
        </c:dLbls>
        <c:gapWidth val="150"/>
        <c:overlap val="100"/>
        <c:axId val="219727360"/>
        <c:axId val="219728896"/>
      </c:barChart>
      <c:catAx>
        <c:axId val="219727360"/>
        <c:scaling>
          <c:orientation val="minMax"/>
        </c:scaling>
        <c:delete val="1"/>
        <c:axPos val="b"/>
        <c:numFmt formatCode="General" sourceLinked="0"/>
        <c:majorTickMark val="none"/>
        <c:minorTickMark val="none"/>
        <c:tickLblPos val="nextTo"/>
        <c:crossAx val="219728896"/>
        <c:crosses val="autoZero"/>
        <c:auto val="1"/>
        <c:lblAlgn val="ctr"/>
        <c:lblOffset val="100"/>
        <c:noMultiLvlLbl val="0"/>
      </c:catAx>
      <c:valAx>
        <c:axId val="219728896"/>
        <c:scaling>
          <c:orientation val="minMax"/>
        </c:scaling>
        <c:delete val="1"/>
        <c:axPos val="l"/>
        <c:numFmt formatCode="#,##0" sourceLinked="0"/>
        <c:majorTickMark val="out"/>
        <c:minorTickMark val="none"/>
        <c:tickLblPos val="nextTo"/>
        <c:crossAx val="219727360"/>
        <c:crosses val="autoZero"/>
        <c:crossBetween val="between"/>
      </c:valAx>
      <c:dTable>
        <c:showHorzBorder val="1"/>
        <c:showVertBorder val="1"/>
        <c:showOutline val="1"/>
        <c:showKeys val="0"/>
        <c:spPr>
          <a:ln w="2540"/>
        </c:spPr>
        <c:txPr>
          <a:bodyPr/>
          <a:lstStyle/>
          <a:p>
            <a:pPr rtl="0">
              <a:defRPr sz="900"/>
            </a:pPr>
            <a:endParaRPr lang="en-US"/>
          </a:p>
        </c:txPr>
      </c:dTable>
      <c:spPr>
        <a:noFill/>
        <a:ln>
          <a:noFill/>
        </a:ln>
      </c:spPr>
    </c:plotArea>
    <c:plotVisOnly val="1"/>
    <c:dispBlanksAs val="gap"/>
    <c:showDLblsOverMax val="0"/>
  </c:chart>
  <c:spPr>
    <a:noFill/>
    <a:ln>
      <a:noFill/>
    </a:ln>
  </c:spPr>
  <c:printSettings>
    <c:headerFooter/>
    <c:pageMargins b="0.75000000000000799" l="0.70000000000000062" r="0.70000000000000062" t="0.75000000000000799"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9785077047851"/>
          <c:y val="0.10985614035087721"/>
          <c:w val="0.62359730639730637"/>
          <c:h val="0.48483538011695909"/>
        </c:manualLayout>
      </c:layout>
      <c:barChart>
        <c:barDir val="col"/>
        <c:grouping val="stacked"/>
        <c:varyColors val="0"/>
        <c:ser>
          <c:idx val="0"/>
          <c:order val="0"/>
          <c:tx>
            <c:strRef>
              <c:f>WA.!$C$70</c:f>
              <c:strCache>
                <c:ptCount val="1"/>
                <c:pt idx="0">
                  <c:v>Disposal</c:v>
                </c:pt>
              </c:strCache>
            </c:strRef>
          </c:tx>
          <c:spPr>
            <a:solidFill>
              <a:schemeClr val="accent3">
                <a:lumMod val="50000"/>
              </a:schemeClr>
            </a:solidFill>
          </c:spPr>
          <c:invertIfNegative val="0"/>
          <c:cat>
            <c:strRef>
              <c:f>WA.!$D$67:$G$67</c:f>
              <c:strCache>
                <c:ptCount val="4"/>
                <c:pt idx="0">
                  <c:v>MSW</c:v>
                </c:pt>
                <c:pt idx="1">
                  <c:v>C&amp;I</c:v>
                </c:pt>
                <c:pt idx="2">
                  <c:v>C&amp;I excl. fly ash</c:v>
                </c:pt>
                <c:pt idx="3">
                  <c:v>C&amp;D</c:v>
                </c:pt>
              </c:strCache>
            </c:strRef>
          </c:cat>
          <c:val>
            <c:numRef>
              <c:f>WA.!$D$70:$G$70</c:f>
              <c:numCache>
                <c:formatCode>#,##0</c:formatCode>
                <c:ptCount val="4"/>
                <c:pt idx="0">
                  <c:v>951.85639997335272</c:v>
                </c:pt>
                <c:pt idx="1">
                  <c:v>908.49810311127476</c:v>
                </c:pt>
                <c:pt idx="2">
                  <c:v>748.80135105359386</c:v>
                </c:pt>
                <c:pt idx="3">
                  <c:v>1794.5422302741754</c:v>
                </c:pt>
              </c:numCache>
            </c:numRef>
          </c:val>
          <c:extLst>
            <c:ext xmlns:c16="http://schemas.microsoft.com/office/drawing/2014/chart" uri="{C3380CC4-5D6E-409C-BE32-E72D297353CC}">
              <c16:uniqueId val="{00000000-EF2A-4D73-A1B0-94B71F131FFF}"/>
            </c:ext>
          </c:extLst>
        </c:ser>
        <c:ser>
          <c:idx val="1"/>
          <c:order val="1"/>
          <c:tx>
            <c:strRef>
              <c:f>WA.!$C$71</c:f>
              <c:strCache>
                <c:ptCount val="1"/>
                <c:pt idx="0">
                  <c:v>Recycling</c:v>
                </c:pt>
              </c:strCache>
            </c:strRef>
          </c:tx>
          <c:spPr>
            <a:solidFill>
              <a:srgbClr val="FFFF00"/>
            </a:solidFill>
          </c:spPr>
          <c:invertIfNegative val="0"/>
          <c:cat>
            <c:strRef>
              <c:f>WA.!$D$67:$G$67</c:f>
              <c:strCache>
                <c:ptCount val="4"/>
                <c:pt idx="0">
                  <c:v>MSW</c:v>
                </c:pt>
                <c:pt idx="1">
                  <c:v>C&amp;I</c:v>
                </c:pt>
                <c:pt idx="2">
                  <c:v>C&amp;I excl. fly ash</c:v>
                </c:pt>
                <c:pt idx="3">
                  <c:v>C&amp;D</c:v>
                </c:pt>
              </c:strCache>
            </c:strRef>
          </c:cat>
          <c:val>
            <c:numRef>
              <c:f>WA.!$D$71:$G$71</c:f>
              <c:numCache>
                <c:formatCode>#,##0</c:formatCode>
                <c:ptCount val="4"/>
                <c:pt idx="0">
                  <c:v>550.2052161206617</c:v>
                </c:pt>
                <c:pt idx="1">
                  <c:v>1593.4045906624813</c:v>
                </c:pt>
                <c:pt idx="2">
                  <c:v>1207.0988168742983</c:v>
                </c:pt>
                <c:pt idx="3">
                  <c:v>1267.0647666393183</c:v>
                </c:pt>
              </c:numCache>
            </c:numRef>
          </c:val>
          <c:extLst>
            <c:ext xmlns:c16="http://schemas.microsoft.com/office/drawing/2014/chart" uri="{C3380CC4-5D6E-409C-BE32-E72D297353CC}">
              <c16:uniqueId val="{00000001-EF2A-4D73-A1B0-94B71F131FFF}"/>
            </c:ext>
          </c:extLst>
        </c:ser>
        <c:ser>
          <c:idx val="2"/>
          <c:order val="2"/>
          <c:tx>
            <c:strRef>
              <c:f>WA.!$C$72</c:f>
              <c:strCache>
                <c:ptCount val="1"/>
                <c:pt idx="0">
                  <c:v>Energy recovery</c:v>
                </c:pt>
              </c:strCache>
            </c:strRef>
          </c:tx>
          <c:spPr>
            <a:solidFill>
              <a:schemeClr val="accent6">
                <a:lumMod val="75000"/>
              </a:schemeClr>
            </a:solidFill>
          </c:spPr>
          <c:invertIfNegative val="0"/>
          <c:cat>
            <c:strRef>
              <c:f>WA.!$D$67:$G$67</c:f>
              <c:strCache>
                <c:ptCount val="4"/>
                <c:pt idx="0">
                  <c:v>MSW</c:v>
                </c:pt>
                <c:pt idx="1">
                  <c:v>C&amp;I</c:v>
                </c:pt>
                <c:pt idx="2">
                  <c:v>C&amp;I excl. fly ash</c:v>
                </c:pt>
                <c:pt idx="3">
                  <c:v>C&amp;D</c:v>
                </c:pt>
              </c:strCache>
            </c:strRef>
          </c:cat>
          <c:val>
            <c:numRef>
              <c:f>WA.!$D$72:$G$72</c:f>
              <c:numCache>
                <c:formatCode>#,##0</c:formatCode>
                <c:ptCount val="4"/>
                <c:pt idx="0">
                  <c:v>130.90757351550016</c:v>
                </c:pt>
                <c:pt idx="1">
                  <c:v>79.471296483775191</c:v>
                </c:pt>
                <c:pt idx="2">
                  <c:v>79.471296483775191</c:v>
                </c:pt>
                <c:pt idx="3">
                  <c:v>19.106740102737096</c:v>
                </c:pt>
              </c:numCache>
            </c:numRef>
          </c:val>
          <c:extLst>
            <c:ext xmlns:c16="http://schemas.microsoft.com/office/drawing/2014/chart" uri="{C3380CC4-5D6E-409C-BE32-E72D297353CC}">
              <c16:uniqueId val="{00000002-EF2A-4D73-A1B0-94B71F131FFF}"/>
            </c:ext>
          </c:extLst>
        </c:ser>
        <c:ser>
          <c:idx val="3"/>
          <c:order val="3"/>
          <c:tx>
            <c:strRef>
              <c:f>WA.!$C$73</c:f>
              <c:strCache>
                <c:ptCount val="1"/>
                <c:pt idx="0">
                  <c:v>Recovery rate</c:v>
                </c:pt>
              </c:strCache>
            </c:strRef>
          </c:tx>
          <c:spPr>
            <a:noFill/>
            <a:ln>
              <a:noFill/>
            </a:ln>
          </c:spPr>
          <c:invertIfNegative val="0"/>
          <c:dLbls>
            <c:dLbl>
              <c:idx val="0"/>
              <c:layout>
                <c:manualLayout>
                  <c:x val="0"/>
                  <c:y val="-2.82026315789473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BB-462E-BD18-EE5FF926F366}"/>
                </c:ext>
              </c:extLst>
            </c:dLbl>
            <c:dLbl>
              <c:idx val="1"/>
              <c:layout>
                <c:manualLayout>
                  <c:x val="-7.8680266171218451E-17"/>
                  <c:y val="-2.07888888888888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2A-4D73-A1B0-94B71F131FFF}"/>
                </c:ext>
              </c:extLst>
            </c:dLbl>
            <c:dLbl>
              <c:idx val="2"/>
              <c:layout>
                <c:manualLayout>
                  <c:x val="0"/>
                  <c:y val="-2.4495906432748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2A-4D73-A1B0-94B71F131FFF}"/>
                </c:ext>
              </c:extLst>
            </c:dLbl>
            <c:dLbl>
              <c:idx val="3"/>
              <c:layout>
                <c:manualLayout>
                  <c:x val="0"/>
                  <c:y val="-2.44891812865497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BB-462E-BD18-EE5FF926F366}"/>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WA.!$D$67:$G$67</c:f>
              <c:strCache>
                <c:ptCount val="4"/>
                <c:pt idx="0">
                  <c:v>MSW</c:v>
                </c:pt>
                <c:pt idx="1">
                  <c:v>C&amp;I</c:v>
                </c:pt>
                <c:pt idx="2">
                  <c:v>C&amp;I excl. fly ash</c:v>
                </c:pt>
                <c:pt idx="3">
                  <c:v>C&amp;D</c:v>
                </c:pt>
              </c:strCache>
            </c:strRef>
          </c:cat>
          <c:val>
            <c:numRef>
              <c:f>WA.!$D$73:$G$73</c:f>
              <c:numCache>
                <c:formatCode>0%</c:formatCode>
                <c:ptCount val="4"/>
                <c:pt idx="0">
                  <c:v>0.41710082098917839</c:v>
                </c:pt>
                <c:pt idx="1">
                  <c:v>0.64805638139220634</c:v>
                </c:pt>
                <c:pt idx="2">
                  <c:v>0.63210580272626649</c:v>
                </c:pt>
                <c:pt idx="3">
                  <c:v>0.41749140508840443</c:v>
                </c:pt>
              </c:numCache>
            </c:numRef>
          </c:val>
          <c:extLst>
            <c:ext xmlns:c16="http://schemas.microsoft.com/office/drawing/2014/chart" uri="{C3380CC4-5D6E-409C-BE32-E72D297353CC}">
              <c16:uniqueId val="{00000005-EF2A-4D73-A1B0-94B71F131FFF}"/>
            </c:ext>
          </c:extLst>
        </c:ser>
        <c:dLbls>
          <c:showLegendKey val="0"/>
          <c:showVal val="0"/>
          <c:showCatName val="0"/>
          <c:showSerName val="0"/>
          <c:showPercent val="0"/>
          <c:showBubbleSize val="0"/>
        </c:dLbls>
        <c:gapWidth val="150"/>
        <c:overlap val="100"/>
        <c:axId val="219379584"/>
        <c:axId val="219381120"/>
      </c:barChart>
      <c:lineChart>
        <c:grouping val="standard"/>
        <c:varyColors val="0"/>
        <c:ser>
          <c:idx val="4"/>
          <c:order val="4"/>
          <c:tx>
            <c:strRef>
              <c:f>WA.!$C$75</c:f>
              <c:strCache>
                <c:ptCount val="1"/>
                <c:pt idx="0">
                  <c:v>Generation (kg per capita)</c:v>
                </c:pt>
              </c:strCache>
            </c:strRef>
          </c:tx>
          <c:spPr>
            <a:ln>
              <a:noFill/>
            </a:ln>
          </c:spPr>
          <c:marker>
            <c:symbol val="none"/>
          </c:marker>
          <c:val>
            <c:numRef>
              <c:f>WA.!$D$75:$G$75</c:f>
              <c:numCache>
                <c:formatCode>#,##0</c:formatCode>
                <c:ptCount val="4"/>
                <c:pt idx="0">
                  <c:v>634.67570864435095</c:v>
                </c:pt>
                <c:pt idx="1">
                  <c:v>1003.2861470794579</c:v>
                </c:pt>
                <c:pt idx="2">
                  <c:v>791.07483150914095</c:v>
                </c:pt>
                <c:pt idx="3">
                  <c:v>1197.3613382373214</c:v>
                </c:pt>
              </c:numCache>
            </c:numRef>
          </c:val>
          <c:smooth val="0"/>
          <c:extLst>
            <c:ext xmlns:c16="http://schemas.microsoft.com/office/drawing/2014/chart" uri="{C3380CC4-5D6E-409C-BE32-E72D297353CC}">
              <c16:uniqueId val="{00000006-EF2A-4D73-A1B0-94B71F131FFF}"/>
            </c:ext>
          </c:extLst>
        </c:ser>
        <c:dLbls>
          <c:showLegendKey val="0"/>
          <c:showVal val="0"/>
          <c:showCatName val="0"/>
          <c:showSerName val="0"/>
          <c:showPercent val="0"/>
          <c:showBubbleSize val="0"/>
        </c:dLbls>
        <c:marker val="1"/>
        <c:smooth val="0"/>
        <c:axId val="997660824"/>
        <c:axId val="997657872"/>
      </c:lineChart>
      <c:catAx>
        <c:axId val="219379584"/>
        <c:scaling>
          <c:orientation val="minMax"/>
        </c:scaling>
        <c:delete val="0"/>
        <c:axPos val="b"/>
        <c:numFmt formatCode="General" sourceLinked="0"/>
        <c:majorTickMark val="none"/>
        <c:minorTickMark val="none"/>
        <c:tickLblPos val="nextTo"/>
        <c:spPr>
          <a:ln w="2540"/>
        </c:spPr>
        <c:txPr>
          <a:bodyPr/>
          <a:lstStyle/>
          <a:p>
            <a:pPr>
              <a:defRPr>
                <a:solidFill>
                  <a:schemeClr val="bg1"/>
                </a:solidFill>
              </a:defRPr>
            </a:pPr>
            <a:endParaRPr lang="en-US"/>
          </a:p>
        </c:txPr>
        <c:crossAx val="219381120"/>
        <c:crosses val="autoZero"/>
        <c:auto val="1"/>
        <c:lblAlgn val="ctr"/>
        <c:lblOffset val="100"/>
        <c:noMultiLvlLbl val="0"/>
      </c:catAx>
      <c:valAx>
        <c:axId val="219381120"/>
        <c:scaling>
          <c:orientation val="minMax"/>
          <c:min val="0"/>
        </c:scaling>
        <c:delete val="0"/>
        <c:axPos val="l"/>
        <c:majorGridlines>
          <c:spPr>
            <a:ln w="2540"/>
          </c:spPr>
        </c:majorGridlines>
        <c:title>
          <c:tx>
            <c:rich>
              <a:bodyPr/>
              <a:lstStyle/>
              <a:p>
                <a:pPr>
                  <a:defRPr/>
                </a:pPr>
                <a:r>
                  <a:rPr lang="en-AU"/>
                  <a:t>Kilotonnes</a:t>
                </a:r>
                <a:r>
                  <a:rPr lang="en-AU" baseline="0"/>
                  <a:t> (kt)</a:t>
                </a:r>
                <a:endParaRPr lang="en-AU"/>
              </a:p>
            </c:rich>
          </c:tx>
          <c:layout>
            <c:manualLayout>
              <c:xMode val="edge"/>
              <c:yMode val="edge"/>
              <c:x val="0.15383887537172208"/>
              <c:y val="0.21653801169590645"/>
            </c:manualLayout>
          </c:layout>
          <c:overlay val="0"/>
        </c:title>
        <c:numFmt formatCode="#,##0" sourceLinked="0"/>
        <c:majorTickMark val="out"/>
        <c:minorTickMark val="none"/>
        <c:tickLblPos val="nextTo"/>
        <c:spPr>
          <a:ln>
            <a:noFill/>
          </a:ln>
        </c:spPr>
        <c:crossAx val="219379584"/>
        <c:crosses val="autoZero"/>
        <c:crossBetween val="between"/>
      </c:valAx>
      <c:valAx>
        <c:axId val="997657872"/>
        <c:scaling>
          <c:orientation val="minMax"/>
        </c:scaling>
        <c:delete val="0"/>
        <c:axPos val="r"/>
        <c:title>
          <c:tx>
            <c:rich>
              <a:bodyPr/>
              <a:lstStyle/>
              <a:p>
                <a:pPr>
                  <a:defRPr/>
                </a:pPr>
                <a:r>
                  <a:rPr lang="en-AU" baseline="0"/>
                  <a:t>Kg per capita</a:t>
                </a:r>
                <a:endParaRPr lang="en-AU"/>
              </a:p>
            </c:rich>
          </c:tx>
          <c:layout>
            <c:manualLayout>
              <c:xMode val="edge"/>
              <c:yMode val="edge"/>
              <c:x val="0.95713334685050011"/>
              <c:y val="0.23339707602339183"/>
            </c:manualLayout>
          </c:layout>
          <c:overlay val="0"/>
        </c:title>
        <c:numFmt formatCode="#,##0;\-#,##0;;" sourceLinked="0"/>
        <c:majorTickMark val="out"/>
        <c:minorTickMark val="none"/>
        <c:tickLblPos val="nextTo"/>
        <c:spPr>
          <a:ln>
            <a:noFill/>
          </a:ln>
        </c:spPr>
        <c:crossAx val="997660824"/>
        <c:crosses val="max"/>
        <c:crossBetween val="between"/>
        <c:majorUnit val="194"/>
      </c:valAx>
      <c:catAx>
        <c:axId val="997660824"/>
        <c:scaling>
          <c:orientation val="minMax"/>
        </c:scaling>
        <c:delete val="1"/>
        <c:axPos val="b"/>
        <c:majorTickMark val="out"/>
        <c:minorTickMark val="none"/>
        <c:tickLblPos val="nextTo"/>
        <c:crossAx val="997657872"/>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5616872803460392"/>
          <c:y val="2.5067543859649117E-2"/>
          <c:w val="0.4386014801297648"/>
          <c:h val="6.7150000000000001E-2"/>
        </c:manualLayout>
      </c:layout>
      <c:overlay val="0"/>
    </c:legend>
    <c:plotVisOnly val="1"/>
    <c:dispBlanksAs val="gap"/>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994266403745416"/>
          <c:y val="0.18821678623728794"/>
          <c:w val="0.71272974917535803"/>
          <c:h val="0.13428840426060865"/>
        </c:manualLayout>
      </c:layout>
      <c:barChart>
        <c:barDir val="col"/>
        <c:grouping val="stacked"/>
        <c:varyColors val="0"/>
        <c:ser>
          <c:idx val="0"/>
          <c:order val="0"/>
          <c:tx>
            <c:strRef>
              <c:f>WA.!$N$75</c:f>
              <c:strCache>
                <c:ptCount val="1"/>
                <c:pt idx="0">
                  <c:v>Disposal (kt)</c:v>
                </c:pt>
              </c:strCache>
            </c:strRef>
          </c:tx>
          <c:spPr>
            <a:noFill/>
          </c:spPr>
          <c:invertIfNegative val="0"/>
          <c:cat>
            <c:strRef>
              <c:f>WA.!$D$67:$G$67</c:f>
              <c:strCache>
                <c:ptCount val="4"/>
                <c:pt idx="0">
                  <c:v>MSW</c:v>
                </c:pt>
                <c:pt idx="1">
                  <c:v>C&amp;I</c:v>
                </c:pt>
                <c:pt idx="2">
                  <c:v>C&amp;I excl. fly ash</c:v>
                </c:pt>
                <c:pt idx="3">
                  <c:v>C&amp;D</c:v>
                </c:pt>
              </c:strCache>
            </c:strRef>
          </c:cat>
          <c:val>
            <c:numRef>
              <c:f>WA.!$D$70:$G$70</c:f>
              <c:numCache>
                <c:formatCode>#,##0</c:formatCode>
                <c:ptCount val="4"/>
                <c:pt idx="0">
                  <c:v>951.85639997335272</c:v>
                </c:pt>
                <c:pt idx="1">
                  <c:v>908.49810311127476</c:v>
                </c:pt>
                <c:pt idx="2">
                  <c:v>748.80135105359386</c:v>
                </c:pt>
                <c:pt idx="3">
                  <c:v>1794.5422302741754</c:v>
                </c:pt>
              </c:numCache>
            </c:numRef>
          </c:val>
          <c:extLst>
            <c:ext xmlns:c16="http://schemas.microsoft.com/office/drawing/2014/chart" uri="{C3380CC4-5D6E-409C-BE32-E72D297353CC}">
              <c16:uniqueId val="{00000000-FFC8-4F06-99A6-568A714A92F4}"/>
            </c:ext>
          </c:extLst>
        </c:ser>
        <c:ser>
          <c:idx val="1"/>
          <c:order val="1"/>
          <c:tx>
            <c:strRef>
              <c:f>WA.!$O$75</c:f>
              <c:strCache>
                <c:ptCount val="1"/>
                <c:pt idx="0">
                  <c:v>Recycling (kt)</c:v>
                </c:pt>
              </c:strCache>
            </c:strRef>
          </c:tx>
          <c:spPr>
            <a:noFill/>
            <a:ln>
              <a:noFill/>
            </a:ln>
          </c:spPr>
          <c:invertIfNegative val="0"/>
          <c:cat>
            <c:strRef>
              <c:f>WA.!$D$67:$G$67</c:f>
              <c:strCache>
                <c:ptCount val="4"/>
                <c:pt idx="0">
                  <c:v>MSW</c:v>
                </c:pt>
                <c:pt idx="1">
                  <c:v>C&amp;I</c:v>
                </c:pt>
                <c:pt idx="2">
                  <c:v>C&amp;I excl. fly ash</c:v>
                </c:pt>
                <c:pt idx="3">
                  <c:v>C&amp;D</c:v>
                </c:pt>
              </c:strCache>
            </c:strRef>
          </c:cat>
          <c:val>
            <c:numRef>
              <c:f>WA.!$D$71:$G$71</c:f>
              <c:numCache>
                <c:formatCode>#,##0</c:formatCode>
                <c:ptCount val="4"/>
                <c:pt idx="0">
                  <c:v>550.2052161206617</c:v>
                </c:pt>
                <c:pt idx="1">
                  <c:v>1593.4045906624813</c:v>
                </c:pt>
                <c:pt idx="2">
                  <c:v>1207.0988168742983</c:v>
                </c:pt>
                <c:pt idx="3">
                  <c:v>1267.0647666393183</c:v>
                </c:pt>
              </c:numCache>
            </c:numRef>
          </c:val>
          <c:extLst>
            <c:ext xmlns:c16="http://schemas.microsoft.com/office/drawing/2014/chart" uri="{C3380CC4-5D6E-409C-BE32-E72D297353CC}">
              <c16:uniqueId val="{00000001-FFC8-4F06-99A6-568A714A92F4}"/>
            </c:ext>
          </c:extLst>
        </c:ser>
        <c:ser>
          <c:idx val="2"/>
          <c:order val="2"/>
          <c:tx>
            <c:strRef>
              <c:f>WA.!$P$75</c:f>
              <c:strCache>
                <c:ptCount val="1"/>
                <c:pt idx="0">
                  <c:v>En recovery (kt)</c:v>
                </c:pt>
              </c:strCache>
            </c:strRef>
          </c:tx>
          <c:spPr>
            <a:noFill/>
          </c:spPr>
          <c:invertIfNegative val="0"/>
          <c:cat>
            <c:strRef>
              <c:f>WA.!$D$67:$G$67</c:f>
              <c:strCache>
                <c:ptCount val="4"/>
                <c:pt idx="0">
                  <c:v>MSW</c:v>
                </c:pt>
                <c:pt idx="1">
                  <c:v>C&amp;I</c:v>
                </c:pt>
                <c:pt idx="2">
                  <c:v>C&amp;I excl. fly ash</c:v>
                </c:pt>
                <c:pt idx="3">
                  <c:v>C&amp;D</c:v>
                </c:pt>
              </c:strCache>
            </c:strRef>
          </c:cat>
          <c:val>
            <c:numRef>
              <c:f>WA.!$D$72:$G$72</c:f>
              <c:numCache>
                <c:formatCode>#,##0</c:formatCode>
                <c:ptCount val="4"/>
                <c:pt idx="0">
                  <c:v>130.90757351550016</c:v>
                </c:pt>
                <c:pt idx="1">
                  <c:v>79.471296483775191</c:v>
                </c:pt>
                <c:pt idx="2">
                  <c:v>79.471296483775191</c:v>
                </c:pt>
                <c:pt idx="3">
                  <c:v>19.106740102737096</c:v>
                </c:pt>
              </c:numCache>
            </c:numRef>
          </c:val>
          <c:extLst>
            <c:ext xmlns:c16="http://schemas.microsoft.com/office/drawing/2014/chart" uri="{C3380CC4-5D6E-409C-BE32-E72D297353CC}">
              <c16:uniqueId val="{00000002-FFC8-4F06-99A6-568A714A92F4}"/>
            </c:ext>
          </c:extLst>
        </c:ser>
        <c:ser>
          <c:idx val="4"/>
          <c:order val="3"/>
          <c:tx>
            <c:strRef>
              <c:f>WA.!$Q$75</c:f>
              <c:strCache>
                <c:ptCount val="1"/>
                <c:pt idx="0">
                  <c:v>Generation (kt)</c:v>
                </c:pt>
              </c:strCache>
            </c:strRef>
          </c:tx>
          <c:spPr>
            <a:noFill/>
          </c:spPr>
          <c:invertIfNegative val="0"/>
          <c:cat>
            <c:strRef>
              <c:f>WA.!$D$67:$G$67</c:f>
              <c:strCache>
                <c:ptCount val="4"/>
                <c:pt idx="0">
                  <c:v>MSW</c:v>
                </c:pt>
                <c:pt idx="1">
                  <c:v>C&amp;I</c:v>
                </c:pt>
                <c:pt idx="2">
                  <c:v>C&amp;I excl. fly ash</c:v>
                </c:pt>
                <c:pt idx="3">
                  <c:v>C&amp;D</c:v>
                </c:pt>
              </c:strCache>
            </c:strRef>
          </c:cat>
          <c:val>
            <c:numRef>
              <c:f>WA.!$D$74:$G$74</c:f>
              <c:numCache>
                <c:formatCode>#,##0</c:formatCode>
                <c:ptCount val="4"/>
                <c:pt idx="0">
                  <c:v>1632.9691896095146</c:v>
                </c:pt>
                <c:pt idx="1">
                  <c:v>2581.3739902575317</c:v>
                </c:pt>
                <c:pt idx="2">
                  <c:v>2035.3714644116674</c:v>
                </c:pt>
                <c:pt idx="3">
                  <c:v>3080.7137370162309</c:v>
                </c:pt>
              </c:numCache>
            </c:numRef>
          </c:val>
          <c:extLst>
            <c:ext xmlns:c16="http://schemas.microsoft.com/office/drawing/2014/chart" uri="{C3380CC4-5D6E-409C-BE32-E72D297353CC}">
              <c16:uniqueId val="{00000003-FFC8-4F06-99A6-568A714A92F4}"/>
            </c:ext>
          </c:extLst>
        </c:ser>
        <c:ser>
          <c:idx val="3"/>
          <c:order val="4"/>
          <c:tx>
            <c:strRef>
              <c:f>WA.!$R$75</c:f>
              <c:strCache>
                <c:ptCount val="1"/>
                <c:pt idx="0">
                  <c:v>Generation (kg/cap)</c:v>
                </c:pt>
              </c:strCache>
            </c:strRef>
          </c:tx>
          <c:spPr>
            <a:noFill/>
            <a:ln>
              <a:noFill/>
            </a:ln>
          </c:spPr>
          <c:invertIfNegative val="0"/>
          <c:cat>
            <c:strRef>
              <c:f>WA.!$D$67:$G$67</c:f>
              <c:strCache>
                <c:ptCount val="4"/>
                <c:pt idx="0">
                  <c:v>MSW</c:v>
                </c:pt>
                <c:pt idx="1">
                  <c:v>C&amp;I</c:v>
                </c:pt>
                <c:pt idx="2">
                  <c:v>C&amp;I excl. fly ash</c:v>
                </c:pt>
                <c:pt idx="3">
                  <c:v>C&amp;D</c:v>
                </c:pt>
              </c:strCache>
            </c:strRef>
          </c:cat>
          <c:val>
            <c:numRef>
              <c:f>WA.!$D$75:$G$75</c:f>
              <c:numCache>
                <c:formatCode>#,##0</c:formatCode>
                <c:ptCount val="4"/>
                <c:pt idx="0">
                  <c:v>634.67570864435095</c:v>
                </c:pt>
                <c:pt idx="1">
                  <c:v>1003.2861470794579</c:v>
                </c:pt>
                <c:pt idx="2">
                  <c:v>791.07483150914095</c:v>
                </c:pt>
                <c:pt idx="3">
                  <c:v>1197.3613382373214</c:v>
                </c:pt>
              </c:numCache>
            </c:numRef>
          </c:val>
          <c:extLst>
            <c:ext xmlns:c16="http://schemas.microsoft.com/office/drawing/2014/chart" uri="{C3380CC4-5D6E-409C-BE32-E72D297353CC}">
              <c16:uniqueId val="{00000004-FFC8-4F06-99A6-568A714A92F4}"/>
            </c:ext>
          </c:extLst>
        </c:ser>
        <c:dLbls>
          <c:showLegendKey val="0"/>
          <c:showVal val="0"/>
          <c:showCatName val="0"/>
          <c:showSerName val="0"/>
          <c:showPercent val="0"/>
          <c:showBubbleSize val="0"/>
        </c:dLbls>
        <c:gapWidth val="150"/>
        <c:overlap val="100"/>
        <c:axId val="219432064"/>
        <c:axId val="219433600"/>
      </c:barChart>
      <c:catAx>
        <c:axId val="219432064"/>
        <c:scaling>
          <c:orientation val="minMax"/>
        </c:scaling>
        <c:delete val="1"/>
        <c:axPos val="b"/>
        <c:numFmt formatCode="General" sourceLinked="0"/>
        <c:majorTickMark val="none"/>
        <c:minorTickMark val="none"/>
        <c:tickLblPos val="nextTo"/>
        <c:crossAx val="219433600"/>
        <c:crosses val="autoZero"/>
        <c:auto val="1"/>
        <c:lblAlgn val="ctr"/>
        <c:lblOffset val="100"/>
        <c:noMultiLvlLbl val="0"/>
      </c:catAx>
      <c:valAx>
        <c:axId val="219433600"/>
        <c:scaling>
          <c:orientation val="minMax"/>
        </c:scaling>
        <c:delete val="1"/>
        <c:axPos val="l"/>
        <c:numFmt formatCode="#,##0" sourceLinked="0"/>
        <c:majorTickMark val="out"/>
        <c:minorTickMark val="none"/>
        <c:tickLblPos val="nextTo"/>
        <c:crossAx val="219432064"/>
        <c:crosses val="autoZero"/>
        <c:crossBetween val="between"/>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printSettings>
    <c:headerFooter/>
    <c:pageMargins b="0.75000000000000822" l="0.70000000000000062" r="0.70000000000000062" t="0.75000000000000822"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85306839686398"/>
          <c:y val="0.10541783625730994"/>
          <c:w val="0.70338935238062361"/>
          <c:h val="0.49211666666666665"/>
        </c:manualLayout>
      </c:layout>
      <c:barChart>
        <c:barDir val="col"/>
        <c:grouping val="stacked"/>
        <c:varyColors val="0"/>
        <c:ser>
          <c:idx val="0"/>
          <c:order val="0"/>
          <c:tx>
            <c:strRef>
              <c:f>WA.!$D$78</c:f>
              <c:strCache>
                <c:ptCount val="1"/>
                <c:pt idx="0">
                  <c:v>Disposal</c:v>
                </c:pt>
              </c:strCache>
            </c:strRef>
          </c:tx>
          <c:spPr>
            <a:solidFill>
              <a:schemeClr val="accent3">
                <a:lumMod val="50000"/>
              </a:schemeClr>
            </a:solidFill>
          </c:spPr>
          <c:invertIfNegative val="0"/>
          <c:cat>
            <c:strRef>
              <c:f>WA.!$C$79:$C$87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WA.!$D$79:$D$87</c:f>
              <c:numCache>
                <c:formatCode>#,##0</c:formatCode>
                <c:ptCount val="9"/>
                <c:pt idx="0">
                  <c:v>1577.7691280456972</c:v>
                </c:pt>
                <c:pt idx="1">
                  <c:v>141.53895725206905</c:v>
                </c:pt>
                <c:pt idx="2">
                  <c:v>899.08775052504848</c:v>
                </c:pt>
                <c:pt idx="3">
                  <c:v>247.63303023049085</c:v>
                </c:pt>
                <c:pt idx="4">
                  <c:v>372.81112287130031</c:v>
                </c:pt>
                <c:pt idx="5">
                  <c:v>77.903446852956577</c:v>
                </c:pt>
                <c:pt idx="6">
                  <c:v>67.076824206241071</c:v>
                </c:pt>
                <c:pt idx="7">
                  <c:v>111.37972131731841</c:v>
                </c:pt>
                <c:pt idx="8">
                  <c:v>159.69675205768081</c:v>
                </c:pt>
              </c:numCache>
            </c:numRef>
          </c:val>
          <c:extLst>
            <c:ext xmlns:c16="http://schemas.microsoft.com/office/drawing/2014/chart" uri="{C3380CC4-5D6E-409C-BE32-E72D297353CC}">
              <c16:uniqueId val="{00000000-4354-4482-A81C-35C7B71C7020}"/>
            </c:ext>
          </c:extLst>
        </c:ser>
        <c:ser>
          <c:idx val="1"/>
          <c:order val="1"/>
          <c:tx>
            <c:strRef>
              <c:f>WA.!$E$78</c:f>
              <c:strCache>
                <c:ptCount val="1"/>
                <c:pt idx="0">
                  <c:v>Recycling</c:v>
                </c:pt>
              </c:strCache>
            </c:strRef>
          </c:tx>
          <c:spPr>
            <a:solidFill>
              <a:srgbClr val="FFFF00"/>
            </a:solidFill>
          </c:spPr>
          <c:invertIfNegative val="0"/>
          <c:cat>
            <c:strRef>
              <c:f>WA.!$C$79:$C$87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WA.!$E$79:$E$87</c:f>
              <c:numCache>
                <c:formatCode>#,##0</c:formatCode>
                <c:ptCount val="9"/>
                <c:pt idx="0">
                  <c:v>1314.4385400000001</c:v>
                </c:pt>
                <c:pt idx="1">
                  <c:v>608.92825000000005</c:v>
                </c:pt>
                <c:pt idx="2">
                  <c:v>315.77799999999991</c:v>
                </c:pt>
                <c:pt idx="3">
                  <c:v>245.37734934391986</c:v>
                </c:pt>
                <c:pt idx="4">
                  <c:v>16.399999999999999</c:v>
                </c:pt>
                <c:pt idx="5">
                  <c:v>47.298000000000002</c:v>
                </c:pt>
                <c:pt idx="6">
                  <c:v>3.8557350000000001</c:v>
                </c:pt>
                <c:pt idx="7">
                  <c:v>472.29292529035843</c:v>
                </c:pt>
                <c:pt idx="8">
                  <c:v>386.30577378818305</c:v>
                </c:pt>
              </c:numCache>
            </c:numRef>
          </c:val>
          <c:extLst>
            <c:ext xmlns:c16="http://schemas.microsoft.com/office/drawing/2014/chart" uri="{C3380CC4-5D6E-409C-BE32-E72D297353CC}">
              <c16:uniqueId val="{00000001-4354-4482-A81C-35C7B71C7020}"/>
            </c:ext>
          </c:extLst>
        </c:ser>
        <c:ser>
          <c:idx val="2"/>
          <c:order val="2"/>
          <c:tx>
            <c:strRef>
              <c:f>WA.!$F$78</c:f>
              <c:strCache>
                <c:ptCount val="1"/>
                <c:pt idx="0">
                  <c:v>Energy recovery</c:v>
                </c:pt>
              </c:strCache>
            </c:strRef>
          </c:tx>
          <c:spPr>
            <a:solidFill>
              <a:schemeClr val="accent6">
                <a:lumMod val="75000"/>
              </a:schemeClr>
            </a:solidFill>
          </c:spPr>
          <c:invertIfNegative val="0"/>
          <c:cat>
            <c:strRef>
              <c:f>WA.!$C$79:$C$87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WA.!$F$79:$F$87</c:f>
              <c:numCache>
                <c:formatCode>#,##0</c:formatCode>
                <c:ptCount val="9"/>
                <c:pt idx="0">
                  <c:v>0</c:v>
                </c:pt>
                <c:pt idx="1">
                  <c:v>0</c:v>
                </c:pt>
                <c:pt idx="2">
                  <c:v>146.47868131306879</c:v>
                </c:pt>
                <c:pt idx="3">
                  <c:v>65.404734562054372</c:v>
                </c:pt>
                <c:pt idx="4">
                  <c:v>0</c:v>
                </c:pt>
                <c:pt idx="5">
                  <c:v>0</c:v>
                </c:pt>
                <c:pt idx="6">
                  <c:v>17.602194226886304</c:v>
                </c:pt>
                <c:pt idx="7">
                  <c:v>2.9827759203722678E-12</c:v>
                </c:pt>
                <c:pt idx="8">
                  <c:v>0</c:v>
                </c:pt>
              </c:numCache>
            </c:numRef>
          </c:val>
          <c:extLst>
            <c:ext xmlns:c16="http://schemas.microsoft.com/office/drawing/2014/chart" uri="{C3380CC4-5D6E-409C-BE32-E72D297353CC}">
              <c16:uniqueId val="{00000002-4354-4482-A81C-35C7B71C7020}"/>
            </c:ext>
          </c:extLst>
        </c:ser>
        <c:ser>
          <c:idx val="3"/>
          <c:order val="3"/>
          <c:tx>
            <c:strRef>
              <c:f>WA.!$H$78</c:f>
              <c:strCache>
                <c:ptCount val="1"/>
                <c:pt idx="0">
                  <c:v>Recovery rate</c:v>
                </c:pt>
              </c:strCache>
            </c:strRef>
          </c:tx>
          <c:spPr>
            <a:noFill/>
          </c:spPr>
          <c:invertIfNegative val="0"/>
          <c:dLbls>
            <c:dLbl>
              <c:idx val="0"/>
              <c:layout>
                <c:manualLayout>
                  <c:x val="0"/>
                  <c:y val="-3.93347953216374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54-4482-A81C-35C7B71C7020}"/>
                </c:ext>
              </c:extLst>
            </c:dLbl>
            <c:dLbl>
              <c:idx val="1"/>
              <c:layout>
                <c:manualLayout>
                  <c:x val="0"/>
                  <c:y val="-6.12915204678363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54-4482-A81C-35C7B71C7020}"/>
                </c:ext>
              </c:extLst>
            </c:dLbl>
            <c:dLbl>
              <c:idx val="2"/>
              <c:layout>
                <c:manualLayout>
                  <c:x val="0"/>
                  <c:y val="-4.26912280701754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54-4482-A81C-35C7B71C7020}"/>
                </c:ext>
              </c:extLst>
            </c:dLbl>
            <c:dLbl>
              <c:idx val="3"/>
              <c:layout>
                <c:manualLayout>
                  <c:x val="-7.8680266171218451E-17"/>
                  <c:y val="-3.8911988304093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54-4482-A81C-35C7B71C7020}"/>
                </c:ext>
              </c:extLst>
            </c:dLbl>
            <c:dLbl>
              <c:idx val="4"/>
              <c:layout>
                <c:manualLayout>
                  <c:x val="0"/>
                  <c:y val="-5.7892982456140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54-4482-A81C-35C7B71C7020}"/>
                </c:ext>
              </c:extLst>
            </c:dLbl>
            <c:dLbl>
              <c:idx val="5"/>
              <c:layout>
                <c:manualLayout>
                  <c:x val="0"/>
                  <c:y val="-3.53345029239766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54-4482-A81C-35C7B71C7020}"/>
                </c:ext>
              </c:extLst>
            </c:dLbl>
            <c:dLbl>
              <c:idx val="6"/>
              <c:layout>
                <c:manualLayout>
                  <c:x val="0"/>
                  <c:y val="-3.12935672514619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54-4482-A81C-35C7B71C7020}"/>
                </c:ext>
              </c:extLst>
            </c:dLbl>
            <c:dLbl>
              <c:idx val="7"/>
              <c:layout>
                <c:manualLayout>
                  <c:x val="0"/>
                  <c:y val="-3.0583918128654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54-4482-A81C-35C7B71C7020}"/>
                </c:ext>
              </c:extLst>
            </c:dLbl>
            <c:dLbl>
              <c:idx val="8"/>
              <c:layout>
                <c:manualLayout>
                  <c:x val="0"/>
                  <c:y val="-3.191783625730994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54-4482-A81C-35C7B71C7020}"/>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WA.!$C$79:$C$87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WA.!$H$79:$H$87</c:f>
              <c:numCache>
                <c:formatCode>0%</c:formatCode>
                <c:ptCount val="9"/>
                <c:pt idx="0">
                  <c:v>0.45447585058378032</c:v>
                </c:pt>
                <c:pt idx="1">
                  <c:v>0.81139887807978728</c:v>
                </c:pt>
                <c:pt idx="2">
                  <c:v>0.3395589466575476</c:v>
                </c:pt>
                <c:pt idx="3">
                  <c:v>0.55654310930779272</c:v>
                </c:pt>
                <c:pt idx="4">
                  <c:v>4.2136514185446228E-2</c:v>
                </c:pt>
                <c:pt idx="5">
                  <c:v>0.37777518701959856</c:v>
                </c:pt>
                <c:pt idx="6">
                  <c:v>0.24236730091640274</c:v>
                </c:pt>
                <c:pt idx="7">
                  <c:v>0.80917433433850261</c:v>
                </c:pt>
                <c:pt idx="8">
                  <c:v>0.70751645917703487</c:v>
                </c:pt>
              </c:numCache>
            </c:numRef>
          </c:val>
          <c:extLst>
            <c:ext xmlns:c16="http://schemas.microsoft.com/office/drawing/2014/chart" uri="{C3380CC4-5D6E-409C-BE32-E72D297353CC}">
              <c16:uniqueId val="{0000000C-4354-4482-A81C-35C7B71C7020}"/>
            </c:ext>
          </c:extLst>
        </c:ser>
        <c:dLbls>
          <c:showLegendKey val="0"/>
          <c:showVal val="0"/>
          <c:showCatName val="0"/>
          <c:showSerName val="0"/>
          <c:showPercent val="0"/>
          <c:showBubbleSize val="0"/>
        </c:dLbls>
        <c:gapWidth val="100"/>
        <c:overlap val="100"/>
        <c:axId val="219463040"/>
        <c:axId val="219477120"/>
      </c:barChart>
      <c:lineChart>
        <c:grouping val="stacked"/>
        <c:varyColors val="0"/>
        <c:ser>
          <c:idx val="6"/>
          <c:order val="4"/>
          <c:tx>
            <c:strRef>
              <c:f>WA.!$C$75</c:f>
              <c:strCache>
                <c:ptCount val="1"/>
                <c:pt idx="0">
                  <c:v>Generation (kg per capita)</c:v>
                </c:pt>
              </c:strCache>
            </c:strRef>
          </c:tx>
          <c:spPr>
            <a:ln>
              <a:noFill/>
            </a:ln>
          </c:spPr>
          <c:marker>
            <c:symbol val="none"/>
          </c:marker>
          <c:val>
            <c:numRef>
              <c:f>WA.!$L$79:$L$87</c:f>
              <c:numCache>
                <c:formatCode>#,##0</c:formatCode>
                <c:ptCount val="9"/>
                <c:pt idx="0">
                  <c:v>1124.095887995579</c:v>
                </c:pt>
                <c:pt idx="1">
                  <c:v>291.67929781391058</c:v>
                </c:pt>
                <c:pt idx="2">
                  <c:v>529.10504832764548</c:v>
                </c:pt>
                <c:pt idx="3">
                  <c:v>217.03563700857472</c:v>
                </c:pt>
                <c:pt idx="4">
                  <c:v>151.27220206749621</c:v>
                </c:pt>
                <c:pt idx="5">
                  <c:v>48.661246954512201</c:v>
                </c:pt>
                <c:pt idx="6">
                  <c:v>34.410237334765448</c:v>
                </c:pt>
                <c:pt idx="7">
                  <c:v>226.8523208883295</c:v>
                </c:pt>
                <c:pt idx="8">
                  <c:v>212.21131557031677</c:v>
                </c:pt>
              </c:numCache>
            </c:numRef>
          </c:val>
          <c:smooth val="0"/>
          <c:extLst>
            <c:ext xmlns:c16="http://schemas.microsoft.com/office/drawing/2014/chart" uri="{C3380CC4-5D6E-409C-BE32-E72D297353CC}">
              <c16:uniqueId val="{0000000D-4354-4482-A81C-35C7B71C7020}"/>
            </c:ext>
          </c:extLst>
        </c:ser>
        <c:dLbls>
          <c:showLegendKey val="0"/>
          <c:showVal val="0"/>
          <c:showCatName val="0"/>
          <c:showSerName val="0"/>
          <c:showPercent val="0"/>
          <c:showBubbleSize val="0"/>
        </c:dLbls>
        <c:marker val="1"/>
        <c:smooth val="0"/>
        <c:axId val="680694648"/>
        <c:axId val="680693336"/>
      </c:lineChart>
      <c:catAx>
        <c:axId val="219463040"/>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477120"/>
        <c:crosses val="autoZero"/>
        <c:auto val="1"/>
        <c:lblAlgn val="ctr"/>
        <c:lblOffset val="50"/>
        <c:noMultiLvlLbl val="0"/>
      </c:catAx>
      <c:valAx>
        <c:axId val="219477120"/>
        <c:scaling>
          <c:orientation val="minMax"/>
        </c:scaling>
        <c:delete val="0"/>
        <c:axPos val="l"/>
        <c:majorGridlines>
          <c:spPr>
            <a:ln w="2540"/>
          </c:spPr>
        </c:majorGridlines>
        <c:title>
          <c:tx>
            <c:rich>
              <a:bodyPr/>
              <a:lstStyle/>
              <a:p>
                <a:pPr>
                  <a:defRPr/>
                </a:pPr>
                <a:r>
                  <a:rPr lang="en-AU"/>
                  <a:t>Kilotonnes (kt)</a:t>
                </a:r>
              </a:p>
            </c:rich>
          </c:tx>
          <c:layout>
            <c:manualLayout>
              <c:xMode val="edge"/>
              <c:yMode val="edge"/>
              <c:x val="8.2767133008921343E-2"/>
              <c:y val="0.18143362573099414"/>
            </c:manualLayout>
          </c:layout>
          <c:overlay val="0"/>
        </c:title>
        <c:numFmt formatCode="#,##0" sourceLinked="0"/>
        <c:majorTickMark val="out"/>
        <c:minorTickMark val="none"/>
        <c:tickLblPos val="nextTo"/>
        <c:spPr>
          <a:ln>
            <a:noFill/>
          </a:ln>
        </c:spPr>
        <c:crossAx val="219463040"/>
        <c:crosses val="autoZero"/>
        <c:crossBetween val="between"/>
      </c:valAx>
      <c:valAx>
        <c:axId val="680693336"/>
        <c:scaling>
          <c:orientation val="minMax"/>
        </c:scaling>
        <c:delete val="0"/>
        <c:axPos val="r"/>
        <c:title>
          <c:tx>
            <c:rich>
              <a:bodyPr/>
              <a:lstStyle/>
              <a:p>
                <a:pPr>
                  <a:defRPr/>
                </a:pPr>
                <a:r>
                  <a:rPr lang="en-AU"/>
                  <a:t>Kg per capita</a:t>
                </a:r>
              </a:p>
            </c:rich>
          </c:tx>
          <c:layout>
            <c:manualLayout>
              <c:xMode val="edge"/>
              <c:yMode val="edge"/>
              <c:x val="0.9582692957556096"/>
              <c:y val="0.1997678362573099"/>
            </c:manualLayout>
          </c:layout>
          <c:overlay val="0"/>
        </c:title>
        <c:numFmt formatCode="#,##0;\-#,##0;;" sourceLinked="0"/>
        <c:majorTickMark val="out"/>
        <c:minorTickMark val="none"/>
        <c:tickLblPos val="nextTo"/>
        <c:spPr>
          <a:ln>
            <a:noFill/>
          </a:ln>
        </c:spPr>
        <c:crossAx val="680694648"/>
        <c:crosses val="max"/>
        <c:crossBetween val="between"/>
        <c:majorUnit val="194"/>
      </c:valAx>
      <c:catAx>
        <c:axId val="680694648"/>
        <c:scaling>
          <c:orientation val="minMax"/>
        </c:scaling>
        <c:delete val="1"/>
        <c:axPos val="b"/>
        <c:majorTickMark val="out"/>
        <c:minorTickMark val="none"/>
        <c:tickLblPos val="nextTo"/>
        <c:crossAx val="680693336"/>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3645275750202758"/>
          <c:y val="2.3100584795321639E-2"/>
          <c:w val="0.43700656565656565"/>
          <c:h val="7.0880555555555558E-2"/>
        </c:manualLayout>
      </c:layout>
      <c:overlay val="0"/>
    </c:legend>
    <c:plotVisOnly val="1"/>
    <c:dispBlanksAs val="gap"/>
    <c:showDLblsOverMax val="0"/>
  </c:chart>
  <c:spPr>
    <a:ln>
      <a:noFill/>
    </a:ln>
  </c:spPr>
  <c:printSettings>
    <c:headerFooter/>
    <c:pageMargins b="0.75000000000000844" l="0.70000000000000062" r="0.70000000000000062" t="0.75000000000000844"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1535152724705"/>
          <c:y val="8.0557449704387885E-2"/>
          <c:w val="0.72450620821394462"/>
          <c:h val="0.23359453286202525"/>
        </c:manualLayout>
      </c:layout>
      <c:barChart>
        <c:barDir val="col"/>
        <c:grouping val="stacked"/>
        <c:varyColors val="0"/>
        <c:ser>
          <c:idx val="0"/>
          <c:order val="0"/>
          <c:tx>
            <c:strRef>
              <c:f>WA.!$N$75</c:f>
              <c:strCache>
                <c:ptCount val="1"/>
                <c:pt idx="0">
                  <c:v>Disposal (kt)</c:v>
                </c:pt>
              </c:strCache>
            </c:strRef>
          </c:tx>
          <c:spPr>
            <a:noFill/>
          </c:spPr>
          <c:invertIfNegative val="0"/>
          <c:cat>
            <c:strRef>
              <c:f>WA.!$B$79:$B$87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WA.!$D$79:$D$87</c:f>
              <c:numCache>
                <c:formatCode>#,##0</c:formatCode>
                <c:ptCount val="9"/>
                <c:pt idx="0">
                  <c:v>1577.7691280456972</c:v>
                </c:pt>
                <c:pt idx="1">
                  <c:v>141.53895725206905</c:v>
                </c:pt>
                <c:pt idx="2">
                  <c:v>899.08775052504848</c:v>
                </c:pt>
                <c:pt idx="3">
                  <c:v>247.63303023049085</c:v>
                </c:pt>
                <c:pt idx="4">
                  <c:v>372.81112287130031</c:v>
                </c:pt>
                <c:pt idx="5">
                  <c:v>77.903446852956577</c:v>
                </c:pt>
                <c:pt idx="6">
                  <c:v>67.076824206241071</c:v>
                </c:pt>
                <c:pt idx="7">
                  <c:v>111.37972131731841</c:v>
                </c:pt>
                <c:pt idx="8">
                  <c:v>159.69675205768081</c:v>
                </c:pt>
              </c:numCache>
            </c:numRef>
          </c:val>
          <c:extLst>
            <c:ext xmlns:c16="http://schemas.microsoft.com/office/drawing/2014/chart" uri="{C3380CC4-5D6E-409C-BE32-E72D297353CC}">
              <c16:uniqueId val="{00000000-9549-4805-AD81-CE74A8E6E642}"/>
            </c:ext>
          </c:extLst>
        </c:ser>
        <c:ser>
          <c:idx val="1"/>
          <c:order val="1"/>
          <c:tx>
            <c:strRef>
              <c:f>WA.!$O$75</c:f>
              <c:strCache>
                <c:ptCount val="1"/>
                <c:pt idx="0">
                  <c:v>Recycling (kt)</c:v>
                </c:pt>
              </c:strCache>
            </c:strRef>
          </c:tx>
          <c:spPr>
            <a:noFill/>
          </c:spPr>
          <c:invertIfNegative val="0"/>
          <c:cat>
            <c:strRef>
              <c:f>WA.!$B$79:$B$87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WA.!$E$79:$E$87</c:f>
              <c:numCache>
                <c:formatCode>#,##0</c:formatCode>
                <c:ptCount val="9"/>
                <c:pt idx="0">
                  <c:v>1314.4385400000001</c:v>
                </c:pt>
                <c:pt idx="1">
                  <c:v>608.92825000000005</c:v>
                </c:pt>
                <c:pt idx="2">
                  <c:v>315.77799999999991</c:v>
                </c:pt>
                <c:pt idx="3">
                  <c:v>245.37734934391986</c:v>
                </c:pt>
                <c:pt idx="4">
                  <c:v>16.399999999999999</c:v>
                </c:pt>
                <c:pt idx="5">
                  <c:v>47.298000000000002</c:v>
                </c:pt>
                <c:pt idx="6">
                  <c:v>3.8557350000000001</c:v>
                </c:pt>
                <c:pt idx="7">
                  <c:v>472.29292529035843</c:v>
                </c:pt>
                <c:pt idx="8">
                  <c:v>386.30577378818305</c:v>
                </c:pt>
              </c:numCache>
            </c:numRef>
          </c:val>
          <c:extLst>
            <c:ext xmlns:c16="http://schemas.microsoft.com/office/drawing/2014/chart" uri="{C3380CC4-5D6E-409C-BE32-E72D297353CC}">
              <c16:uniqueId val="{00000001-9549-4805-AD81-CE74A8E6E642}"/>
            </c:ext>
          </c:extLst>
        </c:ser>
        <c:ser>
          <c:idx val="2"/>
          <c:order val="2"/>
          <c:tx>
            <c:strRef>
              <c:f>WA.!$P$75</c:f>
              <c:strCache>
                <c:ptCount val="1"/>
                <c:pt idx="0">
                  <c:v>En recovery (kt)</c:v>
                </c:pt>
              </c:strCache>
            </c:strRef>
          </c:tx>
          <c:spPr>
            <a:noFill/>
          </c:spPr>
          <c:invertIfNegative val="0"/>
          <c:cat>
            <c:strRef>
              <c:f>WA.!$B$79:$B$87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WA.!$F$79:$F$87</c:f>
              <c:numCache>
                <c:formatCode>#,##0</c:formatCode>
                <c:ptCount val="9"/>
                <c:pt idx="0">
                  <c:v>0</c:v>
                </c:pt>
                <c:pt idx="1">
                  <c:v>0</c:v>
                </c:pt>
                <c:pt idx="2">
                  <c:v>146.47868131306879</c:v>
                </c:pt>
                <c:pt idx="3">
                  <c:v>65.404734562054372</c:v>
                </c:pt>
                <c:pt idx="4">
                  <c:v>0</c:v>
                </c:pt>
                <c:pt idx="5">
                  <c:v>0</c:v>
                </c:pt>
                <c:pt idx="6">
                  <c:v>17.602194226886304</c:v>
                </c:pt>
                <c:pt idx="7">
                  <c:v>2.9827759203722678E-12</c:v>
                </c:pt>
                <c:pt idx="8">
                  <c:v>0</c:v>
                </c:pt>
              </c:numCache>
            </c:numRef>
          </c:val>
          <c:extLst>
            <c:ext xmlns:c16="http://schemas.microsoft.com/office/drawing/2014/chart" uri="{C3380CC4-5D6E-409C-BE32-E72D297353CC}">
              <c16:uniqueId val="{00000002-9549-4805-AD81-CE74A8E6E642}"/>
            </c:ext>
          </c:extLst>
        </c:ser>
        <c:ser>
          <c:idx val="4"/>
          <c:order val="3"/>
          <c:tx>
            <c:strRef>
              <c:f>WA.!$Q$75</c:f>
              <c:strCache>
                <c:ptCount val="1"/>
                <c:pt idx="0">
                  <c:v>Generation (kt)</c:v>
                </c:pt>
              </c:strCache>
            </c:strRef>
          </c:tx>
          <c:spPr>
            <a:noFill/>
            <a:ln>
              <a:noFill/>
            </a:ln>
          </c:spPr>
          <c:invertIfNegative val="0"/>
          <c:cat>
            <c:strRef>
              <c:f>WA.!$B$79:$B$87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WA.!$G$79:$G$87</c:f>
              <c:numCache>
                <c:formatCode>#,##0</c:formatCode>
                <c:ptCount val="9"/>
                <c:pt idx="0">
                  <c:v>2892.2076680456976</c:v>
                </c:pt>
                <c:pt idx="1">
                  <c:v>750.4672072520691</c:v>
                </c:pt>
                <c:pt idx="2">
                  <c:v>1361.3444318381173</c:v>
                </c:pt>
                <c:pt idx="3">
                  <c:v>558.41511413646504</c:v>
                </c:pt>
                <c:pt idx="4">
                  <c:v>389.21112287130029</c:v>
                </c:pt>
                <c:pt idx="5">
                  <c:v>125.20144685295658</c:v>
                </c:pt>
                <c:pt idx="6">
                  <c:v>88.534753433127378</c:v>
                </c:pt>
                <c:pt idx="7">
                  <c:v>583.67264660767978</c:v>
                </c:pt>
                <c:pt idx="8">
                  <c:v>546.00252584586383</c:v>
                </c:pt>
              </c:numCache>
            </c:numRef>
          </c:val>
          <c:extLst>
            <c:ext xmlns:c16="http://schemas.microsoft.com/office/drawing/2014/chart" uri="{C3380CC4-5D6E-409C-BE32-E72D297353CC}">
              <c16:uniqueId val="{00000003-9549-4805-AD81-CE74A8E6E642}"/>
            </c:ext>
          </c:extLst>
        </c:ser>
        <c:ser>
          <c:idx val="3"/>
          <c:order val="4"/>
          <c:tx>
            <c:strRef>
              <c:f>WA.!$R$75</c:f>
              <c:strCache>
                <c:ptCount val="1"/>
                <c:pt idx="0">
                  <c:v>Generation (kg/cap)</c:v>
                </c:pt>
              </c:strCache>
            </c:strRef>
          </c:tx>
          <c:spPr>
            <a:noFill/>
          </c:spPr>
          <c:invertIfNegative val="0"/>
          <c:cat>
            <c:strRef>
              <c:f>WA.!$B$79:$B$87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WA.!$L$79:$L$87</c:f>
              <c:numCache>
                <c:formatCode>#,##0</c:formatCode>
                <c:ptCount val="9"/>
                <c:pt idx="0">
                  <c:v>1124.095887995579</c:v>
                </c:pt>
                <c:pt idx="1">
                  <c:v>291.67929781391058</c:v>
                </c:pt>
                <c:pt idx="2">
                  <c:v>529.10504832764548</c:v>
                </c:pt>
                <c:pt idx="3">
                  <c:v>217.03563700857472</c:v>
                </c:pt>
                <c:pt idx="4">
                  <c:v>151.27220206749621</c:v>
                </c:pt>
                <c:pt idx="5">
                  <c:v>48.661246954512201</c:v>
                </c:pt>
                <c:pt idx="6">
                  <c:v>34.410237334765448</c:v>
                </c:pt>
                <c:pt idx="7">
                  <c:v>226.8523208883295</c:v>
                </c:pt>
                <c:pt idx="8">
                  <c:v>212.21131557031677</c:v>
                </c:pt>
              </c:numCache>
            </c:numRef>
          </c:val>
          <c:extLst>
            <c:ext xmlns:c16="http://schemas.microsoft.com/office/drawing/2014/chart" uri="{C3380CC4-5D6E-409C-BE32-E72D297353CC}">
              <c16:uniqueId val="{00000004-9549-4805-AD81-CE74A8E6E642}"/>
            </c:ext>
          </c:extLst>
        </c:ser>
        <c:dLbls>
          <c:showLegendKey val="0"/>
          <c:showVal val="0"/>
          <c:showCatName val="0"/>
          <c:showSerName val="0"/>
          <c:showPercent val="0"/>
          <c:showBubbleSize val="0"/>
        </c:dLbls>
        <c:gapWidth val="150"/>
        <c:overlap val="100"/>
        <c:axId val="220093056"/>
        <c:axId val="220111232"/>
      </c:barChart>
      <c:catAx>
        <c:axId val="220093056"/>
        <c:scaling>
          <c:orientation val="minMax"/>
        </c:scaling>
        <c:delete val="1"/>
        <c:axPos val="b"/>
        <c:numFmt formatCode="General" sourceLinked="0"/>
        <c:majorTickMark val="none"/>
        <c:minorTickMark val="none"/>
        <c:tickLblPos val="nextTo"/>
        <c:crossAx val="220111232"/>
        <c:crosses val="autoZero"/>
        <c:auto val="1"/>
        <c:lblAlgn val="ctr"/>
        <c:lblOffset val="100"/>
        <c:noMultiLvlLbl val="0"/>
      </c:catAx>
      <c:valAx>
        <c:axId val="220111232"/>
        <c:scaling>
          <c:orientation val="minMax"/>
        </c:scaling>
        <c:delete val="1"/>
        <c:axPos val="l"/>
        <c:numFmt formatCode="#,##0" sourceLinked="0"/>
        <c:majorTickMark val="out"/>
        <c:minorTickMark val="none"/>
        <c:tickLblPos val="nextTo"/>
        <c:crossAx val="220093056"/>
        <c:crosses val="autoZero"/>
        <c:crossBetween val="between"/>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844" l="0.70000000000000062" r="0.70000000000000062" t="0.75000000000000844"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69535685320356"/>
          <c:y val="8.6951461988304099E-2"/>
          <c:w val="0.63679981075966474"/>
          <c:h val="0.45307953216374275"/>
        </c:manualLayout>
      </c:layout>
      <c:barChart>
        <c:barDir val="col"/>
        <c:grouping val="stacked"/>
        <c:varyColors val="0"/>
        <c:ser>
          <c:idx val="0"/>
          <c:order val="0"/>
          <c:tx>
            <c:strRef>
              <c:f>WA.!$C$70</c:f>
              <c:strCache>
                <c:ptCount val="1"/>
                <c:pt idx="0">
                  <c:v>Disposal</c:v>
                </c:pt>
              </c:strCache>
            </c:strRef>
          </c:tx>
          <c:spPr>
            <a:solidFill>
              <a:schemeClr val="accent3">
                <a:lumMod val="50000"/>
              </a:schemeClr>
            </a:solidFill>
          </c:spPr>
          <c:invertIfNegative val="0"/>
          <c:cat>
            <c:strRef>
              <c:f>WA.!$H$67:$J$67</c:f>
              <c:strCache>
                <c:ptCount val="3"/>
                <c:pt idx="0">
                  <c:v>Total</c:v>
                </c:pt>
                <c:pt idx="1">
                  <c:v>Total excl. fly ash</c:v>
                </c:pt>
                <c:pt idx="2">
                  <c:v>Total excl. fly ash &amp; hazwaste</c:v>
                </c:pt>
              </c:strCache>
            </c:strRef>
          </c:cat>
          <c:val>
            <c:numRef>
              <c:f>WA.!$H$70:$J$70</c:f>
              <c:numCache>
                <c:formatCode>#,##0</c:formatCode>
                <c:ptCount val="3"/>
                <c:pt idx="0">
                  <c:v>3654.8967333588034</c:v>
                </c:pt>
                <c:pt idx="1">
                  <c:v>3495.1999813011225</c:v>
                </c:pt>
                <c:pt idx="2">
                  <c:v>3383.8202599838041</c:v>
                </c:pt>
              </c:numCache>
            </c:numRef>
          </c:val>
          <c:extLst>
            <c:ext xmlns:c16="http://schemas.microsoft.com/office/drawing/2014/chart" uri="{C3380CC4-5D6E-409C-BE32-E72D297353CC}">
              <c16:uniqueId val="{00000000-C808-457A-B980-8E8F823535D5}"/>
            </c:ext>
          </c:extLst>
        </c:ser>
        <c:ser>
          <c:idx val="1"/>
          <c:order val="1"/>
          <c:tx>
            <c:strRef>
              <c:f>WA.!$C$71</c:f>
              <c:strCache>
                <c:ptCount val="1"/>
                <c:pt idx="0">
                  <c:v>Recycling</c:v>
                </c:pt>
              </c:strCache>
            </c:strRef>
          </c:tx>
          <c:spPr>
            <a:solidFill>
              <a:srgbClr val="FFFF00"/>
            </a:solidFill>
          </c:spPr>
          <c:invertIfNegative val="0"/>
          <c:cat>
            <c:strRef>
              <c:f>WA.!$H$67:$J$67</c:f>
              <c:strCache>
                <c:ptCount val="3"/>
                <c:pt idx="0">
                  <c:v>Total</c:v>
                </c:pt>
                <c:pt idx="1">
                  <c:v>Total excl. fly ash</c:v>
                </c:pt>
                <c:pt idx="2">
                  <c:v>Total excl. fly ash &amp; hazwaste</c:v>
                </c:pt>
              </c:strCache>
            </c:strRef>
          </c:cat>
          <c:val>
            <c:numRef>
              <c:f>WA.!$H$71:$J$71</c:f>
              <c:numCache>
                <c:formatCode>#,##0</c:formatCode>
                <c:ptCount val="3"/>
                <c:pt idx="0">
                  <c:v>3410.6745734224614</c:v>
                </c:pt>
                <c:pt idx="1">
                  <c:v>3024.3687996342783</c:v>
                </c:pt>
                <c:pt idx="2">
                  <c:v>2552.0758743439201</c:v>
                </c:pt>
              </c:numCache>
            </c:numRef>
          </c:val>
          <c:extLst>
            <c:ext xmlns:c16="http://schemas.microsoft.com/office/drawing/2014/chart" uri="{C3380CC4-5D6E-409C-BE32-E72D297353CC}">
              <c16:uniqueId val="{00000001-C808-457A-B980-8E8F823535D5}"/>
            </c:ext>
          </c:extLst>
        </c:ser>
        <c:ser>
          <c:idx val="2"/>
          <c:order val="2"/>
          <c:tx>
            <c:strRef>
              <c:f>WA.!$C$72</c:f>
              <c:strCache>
                <c:ptCount val="1"/>
                <c:pt idx="0">
                  <c:v>Energy recovery</c:v>
                </c:pt>
              </c:strCache>
            </c:strRef>
          </c:tx>
          <c:spPr>
            <a:solidFill>
              <a:schemeClr val="accent6">
                <a:lumMod val="75000"/>
              </a:schemeClr>
            </a:solidFill>
          </c:spPr>
          <c:invertIfNegative val="0"/>
          <c:cat>
            <c:strRef>
              <c:f>WA.!$H$67:$J$67</c:f>
              <c:strCache>
                <c:ptCount val="3"/>
                <c:pt idx="0">
                  <c:v>Total</c:v>
                </c:pt>
                <c:pt idx="1">
                  <c:v>Total excl. fly ash</c:v>
                </c:pt>
                <c:pt idx="2">
                  <c:v>Total excl. fly ash &amp; hazwaste</c:v>
                </c:pt>
              </c:strCache>
            </c:strRef>
          </c:cat>
          <c:val>
            <c:numRef>
              <c:f>WA.!$H$72:$J$72</c:f>
              <c:numCache>
                <c:formatCode>#,##0</c:formatCode>
                <c:ptCount val="3"/>
                <c:pt idx="0">
                  <c:v>229.48561010201246</c:v>
                </c:pt>
                <c:pt idx="1">
                  <c:v>229.48561010201246</c:v>
                </c:pt>
                <c:pt idx="2">
                  <c:v>229.4856101020095</c:v>
                </c:pt>
              </c:numCache>
            </c:numRef>
          </c:val>
          <c:extLst>
            <c:ext xmlns:c16="http://schemas.microsoft.com/office/drawing/2014/chart" uri="{C3380CC4-5D6E-409C-BE32-E72D297353CC}">
              <c16:uniqueId val="{00000002-C808-457A-B980-8E8F823535D5}"/>
            </c:ext>
          </c:extLst>
        </c:ser>
        <c:ser>
          <c:idx val="3"/>
          <c:order val="3"/>
          <c:tx>
            <c:strRef>
              <c:f>WA.!$C$73</c:f>
              <c:strCache>
                <c:ptCount val="1"/>
                <c:pt idx="0">
                  <c:v>Recovery rate</c:v>
                </c:pt>
              </c:strCache>
            </c:strRef>
          </c:tx>
          <c:spPr>
            <a:noFill/>
          </c:spPr>
          <c:invertIfNegative val="0"/>
          <c:dLbls>
            <c:dLbl>
              <c:idx val="0"/>
              <c:layout>
                <c:manualLayout>
                  <c:x val="0"/>
                  <c:y val="-6.67456140350877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08-457A-B980-8E8F823535D5}"/>
                </c:ext>
              </c:extLst>
            </c:dLbl>
            <c:dLbl>
              <c:idx val="1"/>
              <c:layout>
                <c:manualLayout>
                  <c:x val="-7.8680266171218451E-17"/>
                  <c:y val="-1.58061403508771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08-457A-B980-8E8F823535D5}"/>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WA.!$H$67:$J$67</c:f>
              <c:strCache>
                <c:ptCount val="3"/>
                <c:pt idx="0">
                  <c:v>Total</c:v>
                </c:pt>
                <c:pt idx="1">
                  <c:v>Total excl. fly ash</c:v>
                </c:pt>
                <c:pt idx="2">
                  <c:v>Total excl. fly ash &amp; hazwaste</c:v>
                </c:pt>
              </c:strCache>
            </c:strRef>
          </c:cat>
          <c:val>
            <c:numRef>
              <c:f>WA.!$O$73:$Q$73</c:f>
              <c:numCache>
                <c:formatCode>0%</c:formatCode>
                <c:ptCount val="3"/>
                <c:pt idx="0">
                  <c:v>498.98996334077776</c:v>
                </c:pt>
                <c:pt idx="1">
                  <c:v>482.12004544774948</c:v>
                </c:pt>
                <c:pt idx="2">
                  <c:v>451.15803039430608</c:v>
                </c:pt>
              </c:numCache>
            </c:numRef>
          </c:val>
          <c:extLst>
            <c:ext xmlns:c16="http://schemas.microsoft.com/office/drawing/2014/chart" uri="{C3380CC4-5D6E-409C-BE32-E72D297353CC}">
              <c16:uniqueId val="{00000004-C808-457A-B980-8E8F823535D5}"/>
            </c:ext>
          </c:extLst>
        </c:ser>
        <c:dLbls>
          <c:showLegendKey val="0"/>
          <c:showVal val="0"/>
          <c:showCatName val="0"/>
          <c:showSerName val="0"/>
          <c:showPercent val="0"/>
          <c:showBubbleSize val="0"/>
        </c:dLbls>
        <c:gapWidth val="270"/>
        <c:overlap val="100"/>
        <c:axId val="219543040"/>
        <c:axId val="219544576"/>
      </c:barChart>
      <c:lineChart>
        <c:grouping val="stacked"/>
        <c:varyColors val="0"/>
        <c:ser>
          <c:idx val="4"/>
          <c:order val="4"/>
          <c:tx>
            <c:v>disposal per cap</c:v>
          </c:tx>
          <c:spPr>
            <a:ln>
              <a:noFill/>
            </a:ln>
          </c:spPr>
          <c:marker>
            <c:symbol val="none"/>
          </c:marker>
          <c:val>
            <c:numRef>
              <c:f>WA.!$K$70:$M$70</c:f>
              <c:numCache>
                <c:formatCode>#,##0</c:formatCode>
                <c:ptCount val="3"/>
                <c:pt idx="0">
                  <c:v>1420.5253773472089</c:v>
                </c:pt>
                <c:pt idx="1">
                  <c:v>1358.4570603665029</c:v>
                </c:pt>
                <c:pt idx="2">
                  <c:v>1315.167815226132</c:v>
                </c:pt>
              </c:numCache>
            </c:numRef>
          </c:val>
          <c:smooth val="0"/>
          <c:extLst>
            <c:ext xmlns:c16="http://schemas.microsoft.com/office/drawing/2014/chart" uri="{C3380CC4-5D6E-409C-BE32-E72D297353CC}">
              <c16:uniqueId val="{00000005-C808-457A-B980-8E8F823535D5}"/>
            </c:ext>
          </c:extLst>
        </c:ser>
        <c:ser>
          <c:idx val="5"/>
          <c:order val="5"/>
          <c:tx>
            <c:v>recycling per cap</c:v>
          </c:tx>
          <c:spPr>
            <a:ln>
              <a:noFill/>
            </a:ln>
          </c:spPr>
          <c:marker>
            <c:symbol val="none"/>
          </c:marker>
          <c:val>
            <c:numRef>
              <c:f>WA.!$K$71:$M$71</c:f>
              <c:numCache>
                <c:formatCode>#,##0</c:formatCode>
                <c:ptCount val="3"/>
                <c:pt idx="0">
                  <c:v>1325.605109769278</c:v>
                </c:pt>
                <c:pt idx="1">
                  <c:v>1175.4621111796673</c:v>
                </c:pt>
                <c:pt idx="2">
                  <c:v>991.8990354317101</c:v>
                </c:pt>
              </c:numCache>
            </c:numRef>
          </c:val>
          <c:smooth val="0"/>
          <c:extLst>
            <c:ext xmlns:c16="http://schemas.microsoft.com/office/drawing/2014/chart" uri="{C3380CC4-5D6E-409C-BE32-E72D297353CC}">
              <c16:uniqueId val="{00000006-C808-457A-B980-8E8F823535D5}"/>
            </c:ext>
          </c:extLst>
        </c:ser>
        <c:ser>
          <c:idx val="6"/>
          <c:order val="6"/>
          <c:tx>
            <c:v>en recov per cap</c:v>
          </c:tx>
          <c:spPr>
            <a:ln>
              <a:noFill/>
            </a:ln>
          </c:spPr>
          <c:marker>
            <c:symbol val="none"/>
          </c:marker>
          <c:val>
            <c:numRef>
              <c:f>WA.!$K$72:$M$72</c:f>
              <c:numCache>
                <c:formatCode>#,##0</c:formatCode>
                <c:ptCount val="3"/>
                <c:pt idx="0">
                  <c:v>89.192706844643169</c:v>
                </c:pt>
                <c:pt idx="1">
                  <c:v>89.192706844643553</c:v>
                </c:pt>
                <c:pt idx="2">
                  <c:v>89.192706844642018</c:v>
                </c:pt>
              </c:numCache>
            </c:numRef>
          </c:val>
          <c:smooth val="0"/>
          <c:extLst>
            <c:ext xmlns:c16="http://schemas.microsoft.com/office/drawing/2014/chart" uri="{C3380CC4-5D6E-409C-BE32-E72D297353CC}">
              <c16:uniqueId val="{00000007-C808-457A-B980-8E8F823535D5}"/>
            </c:ext>
          </c:extLst>
        </c:ser>
        <c:dLbls>
          <c:showLegendKey val="0"/>
          <c:showVal val="0"/>
          <c:showCatName val="0"/>
          <c:showSerName val="0"/>
          <c:showPercent val="0"/>
          <c:showBubbleSize val="0"/>
        </c:dLbls>
        <c:marker val="1"/>
        <c:smooth val="0"/>
        <c:axId val="219687936"/>
        <c:axId val="219686016"/>
      </c:lineChart>
      <c:catAx>
        <c:axId val="219543040"/>
        <c:scaling>
          <c:orientation val="minMax"/>
        </c:scaling>
        <c:delete val="0"/>
        <c:axPos val="b"/>
        <c:numFmt formatCode="General" sourceLinked="0"/>
        <c:majorTickMark val="none"/>
        <c:minorTickMark val="none"/>
        <c:tickLblPos val="nextTo"/>
        <c:spPr>
          <a:ln w="2540"/>
        </c:spPr>
        <c:crossAx val="219544576"/>
        <c:crosses val="autoZero"/>
        <c:auto val="1"/>
        <c:lblAlgn val="ctr"/>
        <c:lblOffset val="50"/>
        <c:noMultiLvlLbl val="0"/>
      </c:catAx>
      <c:valAx>
        <c:axId val="219544576"/>
        <c:scaling>
          <c:orientation val="minMax"/>
          <c:max val="8000"/>
        </c:scaling>
        <c:delete val="0"/>
        <c:axPos val="l"/>
        <c:majorGridlines>
          <c:spPr>
            <a:ln w="2540"/>
          </c:spPr>
        </c:majorGridlines>
        <c:title>
          <c:tx>
            <c:rich>
              <a:bodyPr/>
              <a:lstStyle/>
              <a:p>
                <a:pPr>
                  <a:defRPr/>
                </a:pPr>
                <a:r>
                  <a:rPr lang="en-US"/>
                  <a:t>Megatonnes</a:t>
                </a:r>
              </a:p>
            </c:rich>
          </c:tx>
          <c:layout>
            <c:manualLayout>
              <c:xMode val="edge"/>
              <c:yMode val="edge"/>
              <c:x val="0.14021289537712894"/>
              <c:y val="0.18525204678362572"/>
            </c:manualLayout>
          </c:layout>
          <c:overlay val="0"/>
        </c:title>
        <c:numFmt formatCode="#,##0" sourceLinked="0"/>
        <c:majorTickMark val="out"/>
        <c:minorTickMark val="none"/>
        <c:tickLblPos val="nextTo"/>
        <c:spPr>
          <a:ln>
            <a:noFill/>
          </a:ln>
        </c:spPr>
        <c:crossAx val="219543040"/>
        <c:crosses val="autoZero"/>
        <c:crossBetween val="between"/>
        <c:majorUnit val="2000"/>
        <c:dispUnits>
          <c:builtInUnit val="thousands"/>
        </c:dispUnits>
      </c:valAx>
      <c:valAx>
        <c:axId val="219686016"/>
        <c:scaling>
          <c:orientation val="minMax"/>
          <c:min val="0"/>
        </c:scaling>
        <c:delete val="0"/>
        <c:axPos val="r"/>
        <c:title>
          <c:tx>
            <c:rich>
              <a:bodyPr/>
              <a:lstStyle/>
              <a:p>
                <a:pPr>
                  <a:defRPr/>
                </a:pPr>
                <a:r>
                  <a:rPr lang="en-US"/>
                  <a:t>Kg per capita</a:t>
                </a:r>
              </a:p>
            </c:rich>
          </c:tx>
          <c:layout>
            <c:manualLayout>
              <c:xMode val="edge"/>
              <c:yMode val="edge"/>
              <c:x val="0.94939037577723706"/>
              <c:y val="0.16717368421052631"/>
            </c:manualLayout>
          </c:layout>
          <c:overlay val="0"/>
        </c:title>
        <c:numFmt formatCode="#,##0" sourceLinked="0"/>
        <c:majorTickMark val="out"/>
        <c:minorTickMark val="none"/>
        <c:tickLblPos val="nextTo"/>
        <c:spPr>
          <a:ln>
            <a:noFill/>
          </a:ln>
        </c:spPr>
        <c:crossAx val="219687936"/>
        <c:crosses val="max"/>
        <c:crossBetween val="between"/>
        <c:majorUnit val="780"/>
      </c:valAx>
      <c:catAx>
        <c:axId val="219687936"/>
        <c:scaling>
          <c:orientation val="minMax"/>
        </c:scaling>
        <c:delete val="1"/>
        <c:axPos val="b"/>
        <c:majorTickMark val="out"/>
        <c:minorTickMark val="none"/>
        <c:tickLblPos val="nextTo"/>
        <c:crossAx val="219686016"/>
        <c:crosses val="autoZero"/>
        <c:auto val="1"/>
        <c:lblAlgn val="ctr"/>
        <c:lblOffset val="100"/>
        <c:noMultiLvlLbl val="0"/>
      </c:catAx>
    </c:plotArea>
    <c:legend>
      <c:legendPos val="t"/>
      <c:legendEntry>
        <c:idx val="3"/>
        <c:delete val="1"/>
      </c:legendEntry>
      <c:legendEntry>
        <c:idx val="4"/>
        <c:delete val="1"/>
      </c:legendEntry>
      <c:legendEntry>
        <c:idx val="5"/>
        <c:delete val="1"/>
      </c:legendEntry>
      <c:legendEntry>
        <c:idx val="6"/>
        <c:delete val="1"/>
      </c:legendEntry>
      <c:layout>
        <c:manualLayout>
          <c:xMode val="edge"/>
          <c:yMode val="edge"/>
          <c:x val="0.30593876723438768"/>
          <c:y val="1.2923391812865496E-2"/>
          <c:w val="0.50702679538284368"/>
          <c:h val="6.0088620727098134E-2"/>
        </c:manualLayout>
      </c:layout>
      <c:overlay val="1"/>
    </c:legend>
    <c:plotVisOnly val="1"/>
    <c:dispBlanksAs val="gap"/>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1047706429997"/>
          <c:y val="9.4592434297069511E-2"/>
          <c:w val="0.71807230014589774"/>
          <c:h val="0.10514317465139436"/>
        </c:manualLayout>
      </c:layout>
      <c:barChart>
        <c:barDir val="col"/>
        <c:grouping val="stacked"/>
        <c:varyColors val="0"/>
        <c:ser>
          <c:idx val="0"/>
          <c:order val="0"/>
          <c:tx>
            <c:strRef>
              <c:f>WA.!$C$70</c:f>
              <c:strCache>
                <c:ptCount val="1"/>
                <c:pt idx="0">
                  <c:v>Disposal</c:v>
                </c:pt>
              </c:strCache>
            </c:strRef>
          </c:tx>
          <c:spPr>
            <a:noFill/>
          </c:spPr>
          <c:invertIfNegative val="0"/>
          <c:cat>
            <c:strRef>
              <c:f>WA.!$N$76:$S$76</c:f>
              <c:strCache>
                <c:ptCount val="6"/>
                <c:pt idx="0">
                  <c:v>Mega-tonnes</c:v>
                </c:pt>
                <c:pt idx="1">
                  <c:v>Kg per capita</c:v>
                </c:pt>
                <c:pt idx="2">
                  <c:v>Mega-tonnes</c:v>
                </c:pt>
                <c:pt idx="3">
                  <c:v>Kg per capita</c:v>
                </c:pt>
                <c:pt idx="4">
                  <c:v>Mega-tonnes</c:v>
                </c:pt>
                <c:pt idx="5">
                  <c:v>Kg per capita</c:v>
                </c:pt>
              </c:strCache>
            </c:strRef>
          </c:cat>
          <c:val>
            <c:numRef>
              <c:f>(WA.!$O$70,WA.!$K$70,WA.!$P$70,WA.!$L$70,WA.!$Q$70,WA.!$M$70)</c:f>
              <c:numCache>
                <c:formatCode>#,##0</c:formatCode>
                <c:ptCount val="6"/>
                <c:pt idx="0" formatCode="0.00">
                  <c:v>3.6548967333588034</c:v>
                </c:pt>
                <c:pt idx="1">
                  <c:v>1420.5253773472089</c:v>
                </c:pt>
                <c:pt idx="2" formatCode="0.00">
                  <c:v>3.4951999813011225</c:v>
                </c:pt>
                <c:pt idx="3">
                  <c:v>1358.4570603665029</c:v>
                </c:pt>
                <c:pt idx="4" formatCode="0.00">
                  <c:v>3.3838202599838043</c:v>
                </c:pt>
                <c:pt idx="5">
                  <c:v>1315.167815226132</c:v>
                </c:pt>
              </c:numCache>
            </c:numRef>
          </c:val>
          <c:extLst>
            <c:ext xmlns:c16="http://schemas.microsoft.com/office/drawing/2014/chart" uri="{C3380CC4-5D6E-409C-BE32-E72D297353CC}">
              <c16:uniqueId val="{00000000-F2F2-4BB9-AE7D-F5C812D680B7}"/>
            </c:ext>
          </c:extLst>
        </c:ser>
        <c:ser>
          <c:idx val="1"/>
          <c:order val="1"/>
          <c:tx>
            <c:strRef>
              <c:f>WA.!$C$71</c:f>
              <c:strCache>
                <c:ptCount val="1"/>
                <c:pt idx="0">
                  <c:v>Recycling</c:v>
                </c:pt>
              </c:strCache>
            </c:strRef>
          </c:tx>
          <c:spPr>
            <a:noFill/>
          </c:spPr>
          <c:invertIfNegative val="0"/>
          <c:cat>
            <c:strRef>
              <c:f>WA.!$N$76:$S$76</c:f>
              <c:strCache>
                <c:ptCount val="6"/>
                <c:pt idx="0">
                  <c:v>Mega-tonnes</c:v>
                </c:pt>
                <c:pt idx="1">
                  <c:v>Kg per capita</c:v>
                </c:pt>
                <c:pt idx="2">
                  <c:v>Mega-tonnes</c:v>
                </c:pt>
                <c:pt idx="3">
                  <c:v>Kg per capita</c:v>
                </c:pt>
                <c:pt idx="4">
                  <c:v>Mega-tonnes</c:v>
                </c:pt>
                <c:pt idx="5">
                  <c:v>Kg per capita</c:v>
                </c:pt>
              </c:strCache>
            </c:strRef>
          </c:cat>
          <c:val>
            <c:numRef>
              <c:f>(WA.!$O$71,WA.!$K$71,WA.!$P$71,WA.!$L$71,WA.!$Q$71,WA.!$M$71)</c:f>
              <c:numCache>
                <c:formatCode>#,##0</c:formatCode>
                <c:ptCount val="6"/>
                <c:pt idx="0" formatCode="0.00">
                  <c:v>3.4106745734224613</c:v>
                </c:pt>
                <c:pt idx="1">
                  <c:v>1325.605109769278</c:v>
                </c:pt>
                <c:pt idx="2" formatCode="0.00">
                  <c:v>3.0243687996342783</c:v>
                </c:pt>
                <c:pt idx="3">
                  <c:v>1175.4621111796673</c:v>
                </c:pt>
                <c:pt idx="4" formatCode="0.00">
                  <c:v>2.5520758743439202</c:v>
                </c:pt>
                <c:pt idx="5">
                  <c:v>991.8990354317101</c:v>
                </c:pt>
              </c:numCache>
            </c:numRef>
          </c:val>
          <c:extLst>
            <c:ext xmlns:c16="http://schemas.microsoft.com/office/drawing/2014/chart" uri="{C3380CC4-5D6E-409C-BE32-E72D297353CC}">
              <c16:uniqueId val="{00000001-F2F2-4BB9-AE7D-F5C812D680B7}"/>
            </c:ext>
          </c:extLst>
        </c:ser>
        <c:ser>
          <c:idx val="2"/>
          <c:order val="2"/>
          <c:tx>
            <c:strRef>
              <c:f>WA.!$C$72</c:f>
              <c:strCache>
                <c:ptCount val="1"/>
                <c:pt idx="0">
                  <c:v>Energy recovery</c:v>
                </c:pt>
              </c:strCache>
            </c:strRef>
          </c:tx>
          <c:spPr>
            <a:noFill/>
          </c:spPr>
          <c:invertIfNegative val="0"/>
          <c:cat>
            <c:strRef>
              <c:f>WA.!$N$76:$S$76</c:f>
              <c:strCache>
                <c:ptCount val="6"/>
                <c:pt idx="0">
                  <c:v>Mega-tonnes</c:v>
                </c:pt>
                <c:pt idx="1">
                  <c:v>Kg per capita</c:v>
                </c:pt>
                <c:pt idx="2">
                  <c:v>Mega-tonnes</c:v>
                </c:pt>
                <c:pt idx="3">
                  <c:v>Kg per capita</c:v>
                </c:pt>
                <c:pt idx="4">
                  <c:v>Mega-tonnes</c:v>
                </c:pt>
                <c:pt idx="5">
                  <c:v>Kg per capita</c:v>
                </c:pt>
              </c:strCache>
            </c:strRef>
          </c:cat>
          <c:val>
            <c:numRef>
              <c:f>(WA.!$O$72,WA.!$K$72,WA.!$P$72,WA.!$L$72,WA.!$Q$72,WA.!$M$72)</c:f>
              <c:numCache>
                <c:formatCode>#,##0</c:formatCode>
                <c:ptCount val="6"/>
                <c:pt idx="0" formatCode="0.00">
                  <c:v>0.22948561010201246</c:v>
                </c:pt>
                <c:pt idx="1">
                  <c:v>89.192706844643169</c:v>
                </c:pt>
                <c:pt idx="2" formatCode="0.00">
                  <c:v>0.22948561010201246</c:v>
                </c:pt>
                <c:pt idx="3">
                  <c:v>89.192706844643553</c:v>
                </c:pt>
                <c:pt idx="4" formatCode="0.00">
                  <c:v>0.22948561010200949</c:v>
                </c:pt>
                <c:pt idx="5">
                  <c:v>89.192706844642018</c:v>
                </c:pt>
              </c:numCache>
            </c:numRef>
          </c:val>
          <c:extLst>
            <c:ext xmlns:c16="http://schemas.microsoft.com/office/drawing/2014/chart" uri="{C3380CC4-5D6E-409C-BE32-E72D297353CC}">
              <c16:uniqueId val="{00000002-F2F2-4BB9-AE7D-F5C812D680B7}"/>
            </c:ext>
          </c:extLst>
        </c:ser>
        <c:ser>
          <c:idx val="4"/>
          <c:order val="3"/>
          <c:tx>
            <c:strRef>
              <c:f>WA.!$C$74</c:f>
              <c:strCache>
                <c:ptCount val="1"/>
                <c:pt idx="0">
                  <c:v>Generation</c:v>
                </c:pt>
              </c:strCache>
            </c:strRef>
          </c:tx>
          <c:spPr>
            <a:noFill/>
            <a:ln>
              <a:noFill/>
            </a:ln>
          </c:spPr>
          <c:invertIfNegative val="0"/>
          <c:cat>
            <c:strRef>
              <c:f>WA.!$N$76:$S$76</c:f>
              <c:strCache>
                <c:ptCount val="6"/>
                <c:pt idx="0">
                  <c:v>Mega-tonnes</c:v>
                </c:pt>
                <c:pt idx="1">
                  <c:v>Kg per capita</c:v>
                </c:pt>
                <c:pt idx="2">
                  <c:v>Mega-tonnes</c:v>
                </c:pt>
                <c:pt idx="3">
                  <c:v>Kg per capita</c:v>
                </c:pt>
                <c:pt idx="4">
                  <c:v>Mega-tonnes</c:v>
                </c:pt>
                <c:pt idx="5">
                  <c:v>Kg per capita</c:v>
                </c:pt>
              </c:strCache>
            </c:strRef>
          </c:cat>
          <c:val>
            <c:numRef>
              <c:f>(WA.!$O$74,WA.!$K$74,WA.!$P$74,WA.!$L$74,WA.!$Q$74,WA.!$M$74)</c:f>
              <c:numCache>
                <c:formatCode>#,##0</c:formatCode>
                <c:ptCount val="6"/>
                <c:pt idx="0" formatCode="0.00">
                  <c:v>7.2950569168832775</c:v>
                </c:pt>
                <c:pt idx="1">
                  <c:v>2835.3231939611296</c:v>
                </c:pt>
                <c:pt idx="2" formatCode="0.00">
                  <c:v>6.7490543910374123</c:v>
                </c:pt>
                <c:pt idx="3">
                  <c:v>2623.1118783908137</c:v>
                </c:pt>
                <c:pt idx="4" formatCode="0.00">
                  <c:v>6.1653817444297339</c:v>
                </c:pt>
                <c:pt idx="5">
                  <c:v>2396.2595575024843</c:v>
                </c:pt>
              </c:numCache>
            </c:numRef>
          </c:val>
          <c:extLst>
            <c:ext xmlns:c16="http://schemas.microsoft.com/office/drawing/2014/chart" uri="{C3380CC4-5D6E-409C-BE32-E72D297353CC}">
              <c16:uniqueId val="{00000003-F2F2-4BB9-AE7D-F5C812D680B7}"/>
            </c:ext>
          </c:extLst>
        </c:ser>
        <c:dLbls>
          <c:showLegendKey val="0"/>
          <c:showVal val="0"/>
          <c:showCatName val="0"/>
          <c:showSerName val="0"/>
          <c:showPercent val="0"/>
          <c:showBubbleSize val="0"/>
        </c:dLbls>
        <c:gapWidth val="150"/>
        <c:overlap val="100"/>
        <c:axId val="219727360"/>
        <c:axId val="219728896"/>
      </c:barChart>
      <c:catAx>
        <c:axId val="219727360"/>
        <c:scaling>
          <c:orientation val="minMax"/>
        </c:scaling>
        <c:delete val="1"/>
        <c:axPos val="b"/>
        <c:numFmt formatCode="General" sourceLinked="0"/>
        <c:majorTickMark val="none"/>
        <c:minorTickMark val="none"/>
        <c:tickLblPos val="nextTo"/>
        <c:crossAx val="219728896"/>
        <c:crosses val="autoZero"/>
        <c:auto val="1"/>
        <c:lblAlgn val="ctr"/>
        <c:lblOffset val="100"/>
        <c:noMultiLvlLbl val="0"/>
      </c:catAx>
      <c:valAx>
        <c:axId val="219728896"/>
        <c:scaling>
          <c:orientation val="minMax"/>
        </c:scaling>
        <c:delete val="1"/>
        <c:axPos val="l"/>
        <c:numFmt formatCode="#,##0" sourceLinked="0"/>
        <c:majorTickMark val="out"/>
        <c:minorTickMark val="none"/>
        <c:tickLblPos val="nextTo"/>
        <c:crossAx val="219727360"/>
        <c:crosses val="autoZero"/>
        <c:crossBetween val="between"/>
      </c:valAx>
      <c:dTable>
        <c:showHorzBorder val="1"/>
        <c:showVertBorder val="1"/>
        <c:showOutline val="1"/>
        <c:showKeys val="0"/>
        <c:spPr>
          <a:ln w="2540"/>
        </c:spPr>
        <c:txPr>
          <a:bodyPr/>
          <a:lstStyle/>
          <a:p>
            <a:pPr rtl="0">
              <a:defRPr sz="900"/>
            </a:pPr>
            <a:endParaRPr lang="en-US"/>
          </a:p>
        </c:txPr>
      </c:dTable>
      <c:spPr>
        <a:noFill/>
        <a:ln>
          <a:noFill/>
        </a:ln>
      </c:spPr>
    </c:plotArea>
    <c:plotVisOnly val="1"/>
    <c:dispBlanksAs val="gap"/>
    <c:showDLblsOverMax val="0"/>
  </c:chart>
  <c:spPr>
    <a:noFill/>
    <a:ln>
      <a:noFill/>
    </a:ln>
  </c:spPr>
  <c:printSettings>
    <c:headerFooter/>
    <c:pageMargins b="0.75000000000000799" l="0.70000000000000062" r="0.70000000000000062" t="0.75000000000000799"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47600702892672"/>
          <c:y val="9.444469696969697E-2"/>
          <c:w val="0.59424810759664781"/>
          <c:h val="0.51782247474747478"/>
        </c:manualLayout>
      </c:layout>
      <c:areaChart>
        <c:grouping val="stacked"/>
        <c:varyColors val="0"/>
        <c:ser>
          <c:idx val="0"/>
          <c:order val="0"/>
          <c:tx>
            <c:strRef>
              <c:f>'Trends and nat. data'!$C$83</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data'!$D$130:$L$130</c:f>
              <c:numCache>
                <c:formatCode>#,##0.00</c:formatCode>
                <c:ptCount val="9"/>
                <c:pt idx="0">
                  <c:v>5.0482439222424089</c:v>
                </c:pt>
                <c:pt idx="1">
                  <c:v>5.7603464536631401</c:v>
                </c:pt>
                <c:pt idx="2">
                  <c:v>6.4724489850838713</c:v>
                </c:pt>
                <c:pt idx="3">
                  <c:v>5.404262991013832</c:v>
                </c:pt>
                <c:pt idx="4">
                  <c:v>4.747002490082564</c:v>
                </c:pt>
                <c:pt idx="5">
                  <c:v>5.0302719966527771</c:v>
                </c:pt>
                <c:pt idx="6">
                  <c:v>5.3135415032229902</c:v>
                </c:pt>
                <c:pt idx="7">
                  <c:v>5.4939875447063589</c:v>
                </c:pt>
                <c:pt idx="8">
                  <c:v>5.8800805163634164</c:v>
                </c:pt>
              </c:numCache>
            </c:numRef>
          </c:val>
          <c:extLst>
            <c:ext xmlns:c16="http://schemas.microsoft.com/office/drawing/2014/chart" uri="{C3380CC4-5D6E-409C-BE32-E72D297353CC}">
              <c16:uniqueId val="{00000000-E5DC-4FC8-809A-65B4DEDF9B0B}"/>
            </c:ext>
          </c:extLst>
        </c:ser>
        <c:ser>
          <c:idx val="1"/>
          <c:order val="1"/>
          <c:tx>
            <c:strRef>
              <c:f>'Trends and nat. data'!$C$84</c:f>
              <c:strCache>
                <c:ptCount val="1"/>
                <c:pt idx="0">
                  <c:v>Recycling</c:v>
                </c:pt>
              </c:strCache>
            </c:strRef>
          </c:tx>
          <c:spPr>
            <a:solidFill>
              <a:srgbClr val="FFFF00"/>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data'!$D$131:$L$131</c:f>
              <c:numCache>
                <c:formatCode>#,##0.00</c:formatCode>
                <c:ptCount val="9"/>
                <c:pt idx="0">
                  <c:v>8.1852141119749326</c:v>
                </c:pt>
                <c:pt idx="1">
                  <c:v>8.835498403066115</c:v>
                </c:pt>
                <c:pt idx="2">
                  <c:v>9.4857826941572991</c:v>
                </c:pt>
                <c:pt idx="3">
                  <c:v>9.5813904587947416</c:v>
                </c:pt>
                <c:pt idx="4">
                  <c:v>9.5210668633488602</c:v>
                </c:pt>
                <c:pt idx="5">
                  <c:v>9.520879098243114</c:v>
                </c:pt>
                <c:pt idx="6">
                  <c:v>9.5206913331373677</c:v>
                </c:pt>
                <c:pt idx="7">
                  <c:v>9.5205035680316215</c:v>
                </c:pt>
                <c:pt idx="8">
                  <c:v>9.520315802925877</c:v>
                </c:pt>
              </c:numCache>
            </c:numRef>
          </c:val>
          <c:extLst>
            <c:ext xmlns:c16="http://schemas.microsoft.com/office/drawing/2014/chart" uri="{C3380CC4-5D6E-409C-BE32-E72D297353CC}">
              <c16:uniqueId val="{00000001-E5DC-4FC8-809A-65B4DEDF9B0B}"/>
            </c:ext>
          </c:extLst>
        </c:ser>
        <c:ser>
          <c:idx val="2"/>
          <c:order val="2"/>
          <c:tx>
            <c:strRef>
              <c:f>'Trends and nat. data'!$C$85</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data'!$D$132:$L$132</c:f>
              <c:numCache>
                <c:formatCode>#,##0.00</c:formatCode>
                <c:ptCount val="9"/>
                <c:pt idx="0">
                  <c:v>0.42137103007476745</c:v>
                </c:pt>
                <c:pt idx="1">
                  <c:v>0.46283253754276654</c:v>
                </c:pt>
                <c:pt idx="2">
                  <c:v>0.50429404501076569</c:v>
                </c:pt>
                <c:pt idx="3">
                  <c:v>0.78893446894330199</c:v>
                </c:pt>
                <c:pt idx="4">
                  <c:v>0.73023872511197774</c:v>
                </c:pt>
                <c:pt idx="5">
                  <c:v>0.74855950700254681</c:v>
                </c:pt>
                <c:pt idx="6">
                  <c:v>0.76688028889311588</c:v>
                </c:pt>
                <c:pt idx="7">
                  <c:v>0.78520107078368506</c:v>
                </c:pt>
                <c:pt idx="8">
                  <c:v>0.82076066229394617</c:v>
                </c:pt>
              </c:numCache>
            </c:numRef>
          </c:val>
          <c:extLst>
            <c:ext xmlns:c16="http://schemas.microsoft.com/office/drawing/2014/chart" uri="{C3380CC4-5D6E-409C-BE32-E72D297353CC}">
              <c16:uniqueId val="{00000002-E5DC-4FC8-809A-65B4DEDF9B0B}"/>
            </c:ext>
          </c:extLst>
        </c:ser>
        <c:dLbls>
          <c:showLegendKey val="0"/>
          <c:showVal val="0"/>
          <c:showCatName val="0"/>
          <c:showSerName val="0"/>
          <c:showPercent val="0"/>
          <c:showBubbleSize val="0"/>
        </c:dLbls>
        <c:axId val="227289344"/>
        <c:axId val="227315712"/>
      </c:areaChart>
      <c:lineChart>
        <c:grouping val="stacked"/>
        <c:varyColors val="0"/>
        <c:ser>
          <c:idx val="3"/>
          <c:order val="3"/>
          <c:tx>
            <c:v>Generation (kg/capita)</c:v>
          </c:tx>
          <c:spPr>
            <a:ln>
              <a:solidFill>
                <a:schemeClr val="tx1"/>
              </a:solidFill>
            </a:ln>
          </c:spPr>
          <c:marker>
            <c:symbol val="circle"/>
            <c:size val="7"/>
            <c:spPr>
              <a:solidFill>
                <a:schemeClr val="bg1"/>
              </a:solidFill>
              <a:ln>
                <a:solidFill>
                  <a:schemeClr val="tx1"/>
                </a:solidFill>
              </a:ln>
            </c:spPr>
          </c:marker>
          <c:val>
            <c:numRef>
              <c:f>'Trends and nat. data'!$Q$133:$Y$133</c:f>
              <c:numCache>
                <c:formatCode>#,##0</c:formatCode>
                <c:ptCount val="9"/>
                <c:pt idx="0">
                  <c:v>2012.1584319102567</c:v>
                </c:pt>
                <c:pt idx="1">
                  <c:v>2187.5364831016154</c:v>
                </c:pt>
                <c:pt idx="2">
                  <c:v>2351.1908431670586</c:v>
                </c:pt>
                <c:pt idx="3">
                  <c:v>2221.3024056244813</c:v>
                </c:pt>
                <c:pt idx="4">
                  <c:v>2088.9325588011575</c:v>
                </c:pt>
                <c:pt idx="5">
                  <c:v>2106.936137681439</c:v>
                </c:pt>
                <c:pt idx="6">
                  <c:v>2120.624061283494</c:v>
                </c:pt>
                <c:pt idx="7">
                  <c:v>2118.0455613240651</c:v>
                </c:pt>
                <c:pt idx="8">
                  <c:v>2144.3435513643685</c:v>
                </c:pt>
              </c:numCache>
            </c:numRef>
          </c:val>
          <c:smooth val="0"/>
          <c:extLst>
            <c:ext xmlns:c16="http://schemas.microsoft.com/office/drawing/2014/chart" uri="{C3380CC4-5D6E-409C-BE32-E72D297353CC}">
              <c16:uniqueId val="{00000000-0296-426B-8C1E-E0B9087B6B4F}"/>
            </c:ext>
          </c:extLst>
        </c:ser>
        <c:dLbls>
          <c:showLegendKey val="0"/>
          <c:showVal val="0"/>
          <c:showCatName val="0"/>
          <c:showSerName val="0"/>
          <c:showPercent val="0"/>
          <c:showBubbleSize val="0"/>
        </c:dLbls>
        <c:marker val="1"/>
        <c:smooth val="0"/>
        <c:axId val="786891184"/>
        <c:axId val="786890200"/>
      </c:lineChart>
      <c:catAx>
        <c:axId val="22728934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27315712"/>
        <c:crosses val="autoZero"/>
        <c:auto val="1"/>
        <c:lblAlgn val="ctr"/>
        <c:lblOffset val="100"/>
        <c:noMultiLvlLbl val="0"/>
      </c:catAx>
      <c:valAx>
        <c:axId val="227315712"/>
        <c:scaling>
          <c:orientation val="minMax"/>
          <c:max val="20"/>
        </c:scaling>
        <c:delete val="0"/>
        <c:axPos val="l"/>
        <c:majorGridlines>
          <c:spPr>
            <a:ln w="2540"/>
          </c:spPr>
        </c:majorGridlines>
        <c:title>
          <c:tx>
            <c:rich>
              <a:bodyPr/>
              <a:lstStyle/>
              <a:p>
                <a:pPr>
                  <a:defRPr/>
                </a:pPr>
                <a:r>
                  <a:rPr lang="en-AU"/>
                  <a:t>Megatonnes (Mt)</a:t>
                </a:r>
              </a:p>
            </c:rich>
          </c:tx>
          <c:layout>
            <c:manualLayout>
              <c:xMode val="edge"/>
              <c:yMode val="edge"/>
              <c:x val="0.17339247093809135"/>
              <c:y val="0.19623282828282829"/>
            </c:manualLayout>
          </c:layout>
          <c:overlay val="0"/>
        </c:title>
        <c:numFmt formatCode="#,##0.0" sourceLinked="0"/>
        <c:majorTickMark val="out"/>
        <c:minorTickMark val="none"/>
        <c:tickLblPos val="nextTo"/>
        <c:spPr>
          <a:ln>
            <a:noFill/>
          </a:ln>
        </c:spPr>
        <c:crossAx val="227289344"/>
        <c:crosses val="autoZero"/>
        <c:crossBetween val="between"/>
        <c:majorUnit val="4"/>
      </c:valAx>
      <c:valAx>
        <c:axId val="786890200"/>
        <c:scaling>
          <c:orientation val="minMax"/>
          <c:min val="0"/>
        </c:scaling>
        <c:delete val="0"/>
        <c:axPos val="r"/>
        <c:title>
          <c:tx>
            <c:rich>
              <a:bodyPr/>
              <a:lstStyle/>
              <a:p>
                <a:pPr>
                  <a:defRPr/>
                </a:pPr>
                <a:r>
                  <a:rPr lang="en-AU"/>
                  <a:t>Generation (kg</a:t>
                </a:r>
                <a:r>
                  <a:rPr lang="en-AU" baseline="0"/>
                  <a:t> per capita)</a:t>
                </a:r>
                <a:endParaRPr lang="en-AU"/>
              </a:p>
            </c:rich>
          </c:tx>
          <c:layout>
            <c:manualLayout>
              <c:xMode val="edge"/>
              <c:yMode val="edge"/>
              <c:x val="0.948537104622871"/>
              <c:y val="0.13522020202020202"/>
            </c:manualLayout>
          </c:layout>
          <c:overlay val="0"/>
        </c:title>
        <c:numFmt formatCode="#,##0;\-#,##0;;" sourceLinked="0"/>
        <c:majorTickMark val="out"/>
        <c:minorTickMark val="none"/>
        <c:tickLblPos val="nextTo"/>
        <c:spPr>
          <a:ln>
            <a:noFill/>
          </a:ln>
        </c:spPr>
        <c:crossAx val="786891184"/>
        <c:crosses val="max"/>
        <c:crossBetween val="between"/>
      </c:valAx>
      <c:catAx>
        <c:axId val="786891184"/>
        <c:scaling>
          <c:orientation val="minMax"/>
        </c:scaling>
        <c:delete val="1"/>
        <c:axPos val="b"/>
        <c:majorTickMark val="out"/>
        <c:minorTickMark val="none"/>
        <c:tickLblPos val="nextTo"/>
        <c:crossAx val="786890200"/>
        <c:crosses val="autoZero"/>
        <c:auto val="1"/>
        <c:lblAlgn val="ctr"/>
        <c:lblOffset val="100"/>
        <c:noMultiLvlLbl val="0"/>
      </c:catAx>
    </c:plotArea>
    <c:legend>
      <c:legendPos val="t"/>
      <c:layout>
        <c:manualLayout>
          <c:xMode val="edge"/>
          <c:yMode val="edge"/>
          <c:x val="0.16583941605839417"/>
          <c:y val="6.7704545454545465E-3"/>
          <c:w val="0.82916615977291164"/>
          <c:h val="4.7300252525252523E-2"/>
        </c:manualLayout>
      </c:layout>
      <c:overlay val="0"/>
    </c:legend>
    <c:plotVisOnly val="1"/>
    <c:dispBlanksAs val="zero"/>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85306839686398"/>
          <c:y val="0.10541783625730994"/>
          <c:w val="0.70338935238062361"/>
          <c:h val="0.49211666666666665"/>
        </c:manualLayout>
      </c:layout>
      <c:barChart>
        <c:barDir val="col"/>
        <c:grouping val="stacked"/>
        <c:varyColors val="0"/>
        <c:ser>
          <c:idx val="0"/>
          <c:order val="0"/>
          <c:tx>
            <c:strRef>
              <c:f>ACT.!$D$78</c:f>
              <c:strCache>
                <c:ptCount val="1"/>
                <c:pt idx="0">
                  <c:v>Disposal</c:v>
                </c:pt>
              </c:strCache>
            </c:strRef>
          </c:tx>
          <c:spPr>
            <a:solidFill>
              <a:schemeClr val="accent3">
                <a:lumMod val="50000"/>
              </a:schemeClr>
            </a:solidFill>
          </c:spPr>
          <c:invertIfNegative val="0"/>
          <c:cat>
            <c:strRef>
              <c:f>ACT.!$C$79:$C$86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ACT.!$D$79:$D$86</c:f>
              <c:numCache>
                <c:formatCode>#,##0</c:formatCode>
                <c:ptCount val="8"/>
                <c:pt idx="0">
                  <c:v>13.920387681885527</c:v>
                </c:pt>
                <c:pt idx="1">
                  <c:v>5.0752453974884624</c:v>
                </c:pt>
                <c:pt idx="2">
                  <c:v>83.146871795306993</c:v>
                </c:pt>
                <c:pt idx="3">
                  <c:v>30.619295371617721</c:v>
                </c:pt>
                <c:pt idx="4">
                  <c:v>32.109434780991826</c:v>
                </c:pt>
                <c:pt idx="5">
                  <c:v>10.176019391666838</c:v>
                </c:pt>
                <c:pt idx="6">
                  <c:v>6.1249008724359468</c:v>
                </c:pt>
                <c:pt idx="7">
                  <c:v>9.3505852463813106</c:v>
                </c:pt>
              </c:numCache>
            </c:numRef>
          </c:val>
          <c:extLst>
            <c:ext xmlns:c16="http://schemas.microsoft.com/office/drawing/2014/chart" uri="{C3380CC4-5D6E-409C-BE32-E72D297353CC}">
              <c16:uniqueId val="{00000000-A1FB-4F7B-8678-38A5C7BA3054}"/>
            </c:ext>
          </c:extLst>
        </c:ser>
        <c:ser>
          <c:idx val="1"/>
          <c:order val="1"/>
          <c:tx>
            <c:strRef>
              <c:f>ACT.!$E$78</c:f>
              <c:strCache>
                <c:ptCount val="1"/>
                <c:pt idx="0">
                  <c:v>Recycling</c:v>
                </c:pt>
              </c:strCache>
            </c:strRef>
          </c:tx>
          <c:spPr>
            <a:solidFill>
              <a:srgbClr val="FFFF00"/>
            </a:solidFill>
          </c:spPr>
          <c:invertIfNegative val="0"/>
          <c:cat>
            <c:strRef>
              <c:f>ACT.!$C$79:$C$86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ACT.!$E$79:$E$86</c:f>
              <c:numCache>
                <c:formatCode>#,##0</c:formatCode>
                <c:ptCount val="8"/>
                <c:pt idx="0">
                  <c:v>184.54906080048073</c:v>
                </c:pt>
                <c:pt idx="1">
                  <c:v>23.885062298835305</c:v>
                </c:pt>
                <c:pt idx="2">
                  <c:v>221.13416251160567</c:v>
                </c:pt>
                <c:pt idx="3">
                  <c:v>30.158441182216528</c:v>
                </c:pt>
                <c:pt idx="4">
                  <c:v>2.7</c:v>
                </c:pt>
                <c:pt idx="5">
                  <c:v>12.837364660457212</c:v>
                </c:pt>
                <c:pt idx="6">
                  <c:v>1.2564656137328429</c:v>
                </c:pt>
                <c:pt idx="7">
                  <c:v>70.234554113723291</c:v>
                </c:pt>
              </c:numCache>
            </c:numRef>
          </c:val>
          <c:extLst>
            <c:ext xmlns:c16="http://schemas.microsoft.com/office/drawing/2014/chart" uri="{C3380CC4-5D6E-409C-BE32-E72D297353CC}">
              <c16:uniqueId val="{00000001-A1FB-4F7B-8678-38A5C7BA3054}"/>
            </c:ext>
          </c:extLst>
        </c:ser>
        <c:ser>
          <c:idx val="2"/>
          <c:order val="2"/>
          <c:tx>
            <c:strRef>
              <c:f>ACT.!$F$78</c:f>
              <c:strCache>
                <c:ptCount val="1"/>
                <c:pt idx="0">
                  <c:v>Energy recovery</c:v>
                </c:pt>
              </c:strCache>
            </c:strRef>
          </c:tx>
          <c:spPr>
            <a:solidFill>
              <a:schemeClr val="accent6">
                <a:lumMod val="75000"/>
              </a:schemeClr>
            </a:solidFill>
          </c:spPr>
          <c:invertIfNegative val="0"/>
          <c:cat>
            <c:strRef>
              <c:f>ACT.!$C$79:$C$86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ACT.!$F$79:$F$86</c:f>
              <c:numCache>
                <c:formatCode>#,##0</c:formatCode>
                <c:ptCount val="8"/>
                <c:pt idx="0">
                  <c:v>0</c:v>
                </c:pt>
                <c:pt idx="1">
                  <c:v>0</c:v>
                </c:pt>
                <c:pt idx="2">
                  <c:v>19.142763444933784</c:v>
                </c:pt>
                <c:pt idx="3">
                  <c:v>14.901891537405007</c:v>
                </c:pt>
                <c:pt idx="4">
                  <c:v>0</c:v>
                </c:pt>
                <c:pt idx="5">
                  <c:v>0</c:v>
                </c:pt>
                <c:pt idx="6">
                  <c:v>2.9583309716062649</c:v>
                </c:pt>
                <c:pt idx="7">
                  <c:v>1.2280384546791715E-13</c:v>
                </c:pt>
              </c:numCache>
            </c:numRef>
          </c:val>
          <c:extLst>
            <c:ext xmlns:c16="http://schemas.microsoft.com/office/drawing/2014/chart" uri="{C3380CC4-5D6E-409C-BE32-E72D297353CC}">
              <c16:uniqueId val="{00000002-A1FB-4F7B-8678-38A5C7BA3054}"/>
            </c:ext>
          </c:extLst>
        </c:ser>
        <c:ser>
          <c:idx val="3"/>
          <c:order val="3"/>
          <c:tx>
            <c:strRef>
              <c:f>ACT.!$H$78</c:f>
              <c:strCache>
                <c:ptCount val="1"/>
                <c:pt idx="0">
                  <c:v>Recovery rate</c:v>
                </c:pt>
              </c:strCache>
            </c:strRef>
          </c:tx>
          <c:spPr>
            <a:noFill/>
          </c:spPr>
          <c:invertIfNegative val="0"/>
          <c:dLbls>
            <c:dLbl>
              <c:idx val="0"/>
              <c:layout>
                <c:manualLayout>
                  <c:x val="0"/>
                  <c:y val="-3.13093567251461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FB-48E8-B24F-146E55E9C32A}"/>
                </c:ext>
              </c:extLst>
            </c:dLbl>
            <c:dLbl>
              <c:idx val="1"/>
              <c:layout>
                <c:manualLayout>
                  <c:x val="0"/>
                  <c:y val="-6.48023391812866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1B-4FBC-93AC-1D9EC07FED6D}"/>
                </c:ext>
              </c:extLst>
            </c:dLbl>
            <c:dLbl>
              <c:idx val="4"/>
              <c:layout>
                <c:manualLayout>
                  <c:x val="-7.8680266171218451E-17"/>
                  <c:y val="-6.53128654970760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1B-4FBC-93AC-1D9EC07FED6D}"/>
                </c:ext>
              </c:extLst>
            </c:dLbl>
            <c:dLbl>
              <c:idx val="5"/>
              <c:layout>
                <c:manualLayout>
                  <c:x val="0"/>
                  <c:y val="-2.7850292397660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1B-4FBC-93AC-1D9EC07FED6D}"/>
                </c:ext>
              </c:extLst>
            </c:dLbl>
            <c:dLbl>
              <c:idx val="7"/>
              <c:layout>
                <c:manualLayout>
                  <c:x val="0"/>
                  <c:y val="-3.134181286549707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46-4BED-9070-1E9E2E848918}"/>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ACT.!$C$79:$C$86</c:f>
              <c:strCache>
                <c:ptCount val="8"/>
                <c:pt idx="0">
                  <c:v>Masonry materials</c:v>
                </c:pt>
                <c:pt idx="1">
                  <c:v>Metals</c:v>
                </c:pt>
                <c:pt idx="2">
                  <c:v>Organics</c:v>
                </c:pt>
                <c:pt idx="3">
                  <c:v>Paper &amp; cardboard</c:v>
                </c:pt>
                <c:pt idx="4">
                  <c:v>Plastics</c:v>
                </c:pt>
                <c:pt idx="5">
                  <c:v>Glass</c:v>
                </c:pt>
                <c:pt idx="6">
                  <c:v>Other</c:v>
                </c:pt>
                <c:pt idx="7">
                  <c:v>Hazardous</c:v>
                </c:pt>
              </c:strCache>
            </c:strRef>
          </c:cat>
          <c:val>
            <c:numRef>
              <c:f>ACT.!$H$79:$H$86</c:f>
              <c:numCache>
                <c:formatCode>0%</c:formatCode>
                <c:ptCount val="8"/>
                <c:pt idx="0">
                  <c:v>0.92986130717684568</c:v>
                </c:pt>
                <c:pt idx="1">
                  <c:v>0.82475167561383622</c:v>
                </c:pt>
                <c:pt idx="2">
                  <c:v>0.74291665494849224</c:v>
                </c:pt>
                <c:pt idx="3">
                  <c:v>0.59540901370837684</c:v>
                </c:pt>
                <c:pt idx="4">
                  <c:v>7.7565177860180953E-2</c:v>
                </c:pt>
                <c:pt idx="5">
                  <c:v>0.55782168460671788</c:v>
                </c:pt>
                <c:pt idx="6">
                  <c:v>0.40763248659367135</c:v>
                </c:pt>
                <c:pt idx="7">
                  <c:v>0.88250840142313458</c:v>
                </c:pt>
              </c:numCache>
            </c:numRef>
          </c:val>
          <c:extLst>
            <c:ext xmlns:c16="http://schemas.microsoft.com/office/drawing/2014/chart" uri="{C3380CC4-5D6E-409C-BE32-E72D297353CC}">
              <c16:uniqueId val="{0000000C-A1FB-4F7B-8678-38A5C7BA3054}"/>
            </c:ext>
          </c:extLst>
        </c:ser>
        <c:dLbls>
          <c:showLegendKey val="0"/>
          <c:showVal val="0"/>
          <c:showCatName val="0"/>
          <c:showSerName val="0"/>
          <c:showPercent val="0"/>
          <c:showBubbleSize val="0"/>
        </c:dLbls>
        <c:gapWidth val="100"/>
        <c:overlap val="100"/>
        <c:axId val="219463040"/>
        <c:axId val="219477120"/>
      </c:barChart>
      <c:lineChart>
        <c:grouping val="stacked"/>
        <c:varyColors val="0"/>
        <c:ser>
          <c:idx val="6"/>
          <c:order val="4"/>
          <c:tx>
            <c:v>Generation per cap</c:v>
          </c:tx>
          <c:spPr>
            <a:ln>
              <a:noFill/>
            </a:ln>
          </c:spPr>
          <c:marker>
            <c:symbol val="none"/>
          </c:marker>
          <c:val>
            <c:numRef>
              <c:f>ACT.!$L$79:$L$86</c:f>
              <c:numCache>
                <c:formatCode>#,##0</c:formatCode>
                <c:ptCount val="8"/>
                <c:pt idx="0">
                  <c:v>511.85955734061889</c:v>
                </c:pt>
                <c:pt idx="1">
                  <c:v>74.689633045488421</c:v>
                </c:pt>
                <c:pt idx="2">
                  <c:v>834.12113661106207</c:v>
                </c:pt>
                <c:pt idx="3">
                  <c:v>195.18037275105422</c:v>
                </c:pt>
                <c:pt idx="4">
                  <c:v>89.774733665663831</c:v>
                </c:pt>
                <c:pt idx="5">
                  <c:v>59.352311723063394</c:v>
                </c:pt>
                <c:pt idx="6">
                  <c:v>26.666436593856364</c:v>
                </c:pt>
                <c:pt idx="7">
                  <c:v>205.25282110296209</c:v>
                </c:pt>
              </c:numCache>
            </c:numRef>
          </c:val>
          <c:smooth val="0"/>
          <c:extLst>
            <c:ext xmlns:c16="http://schemas.microsoft.com/office/drawing/2014/chart" uri="{C3380CC4-5D6E-409C-BE32-E72D297353CC}">
              <c16:uniqueId val="{00000003-DCB6-456E-80BB-05D619FFB106}"/>
            </c:ext>
          </c:extLst>
        </c:ser>
        <c:dLbls>
          <c:showLegendKey val="0"/>
          <c:showVal val="0"/>
          <c:showCatName val="0"/>
          <c:showSerName val="0"/>
          <c:showPercent val="0"/>
          <c:showBubbleSize val="0"/>
        </c:dLbls>
        <c:marker val="1"/>
        <c:smooth val="0"/>
        <c:axId val="680694648"/>
        <c:axId val="680693336"/>
      </c:lineChart>
      <c:catAx>
        <c:axId val="219463040"/>
        <c:scaling>
          <c:orientation val="minMax"/>
        </c:scaling>
        <c:delete val="0"/>
        <c:axPos val="b"/>
        <c:numFmt formatCode="General" sourceLinked="0"/>
        <c:majorTickMark val="none"/>
        <c:minorTickMark val="none"/>
        <c:tickLblPos val="nextTo"/>
        <c:spPr>
          <a:ln w="2540"/>
        </c:spPr>
        <c:txPr>
          <a:bodyPr/>
          <a:lstStyle/>
          <a:p>
            <a:pPr>
              <a:defRPr>
                <a:solidFill>
                  <a:schemeClr val="bg1"/>
                </a:solidFill>
              </a:defRPr>
            </a:pPr>
            <a:endParaRPr lang="en-US"/>
          </a:p>
        </c:txPr>
        <c:crossAx val="219477120"/>
        <c:crosses val="autoZero"/>
        <c:auto val="1"/>
        <c:lblAlgn val="ctr"/>
        <c:lblOffset val="50"/>
        <c:noMultiLvlLbl val="0"/>
      </c:catAx>
      <c:valAx>
        <c:axId val="219477120"/>
        <c:scaling>
          <c:orientation val="minMax"/>
          <c:max val="360"/>
        </c:scaling>
        <c:delete val="0"/>
        <c:axPos val="l"/>
        <c:majorGridlines>
          <c:spPr>
            <a:ln w="2540"/>
          </c:spPr>
        </c:majorGridlines>
        <c:title>
          <c:tx>
            <c:rich>
              <a:bodyPr/>
              <a:lstStyle/>
              <a:p>
                <a:pPr>
                  <a:defRPr/>
                </a:pPr>
                <a:r>
                  <a:rPr lang="en-AU"/>
                  <a:t>Kilotonnes (kt)</a:t>
                </a:r>
              </a:p>
            </c:rich>
          </c:tx>
          <c:layout>
            <c:manualLayout>
              <c:xMode val="edge"/>
              <c:yMode val="edge"/>
              <c:x val="9.1350533928088673E-2"/>
              <c:y val="0.20000087719298246"/>
            </c:manualLayout>
          </c:layout>
          <c:overlay val="0"/>
        </c:title>
        <c:numFmt formatCode="#,##0" sourceLinked="0"/>
        <c:majorTickMark val="out"/>
        <c:minorTickMark val="none"/>
        <c:tickLblPos val="nextTo"/>
        <c:spPr>
          <a:ln>
            <a:noFill/>
          </a:ln>
        </c:spPr>
        <c:crossAx val="219463040"/>
        <c:crosses val="autoZero"/>
        <c:crossBetween val="between"/>
        <c:majorUnit val="60"/>
      </c:valAx>
      <c:valAx>
        <c:axId val="680693336"/>
        <c:scaling>
          <c:orientation val="minMax"/>
        </c:scaling>
        <c:delete val="0"/>
        <c:axPos val="r"/>
        <c:title>
          <c:tx>
            <c:rich>
              <a:bodyPr/>
              <a:lstStyle/>
              <a:p>
                <a:pPr>
                  <a:defRPr/>
                </a:pPr>
                <a:r>
                  <a:rPr lang="en-AU"/>
                  <a:t>Kg per capita</a:t>
                </a:r>
              </a:p>
            </c:rich>
          </c:tx>
          <c:layout>
            <c:manualLayout>
              <c:xMode val="edge"/>
              <c:yMode val="edge"/>
              <c:x val="0.95397759529602599"/>
              <c:y val="0.19605438596491229"/>
            </c:manualLayout>
          </c:layout>
          <c:overlay val="0"/>
        </c:title>
        <c:numFmt formatCode="#,##0;\-#,##0;;" sourceLinked="0"/>
        <c:majorTickMark val="out"/>
        <c:minorTickMark val="none"/>
        <c:tickLblPos val="nextTo"/>
        <c:spPr>
          <a:ln>
            <a:noFill/>
          </a:ln>
        </c:spPr>
        <c:crossAx val="680694648"/>
        <c:crosses val="max"/>
        <c:crossBetween val="between"/>
        <c:majorUnit val="155"/>
      </c:valAx>
      <c:catAx>
        <c:axId val="680694648"/>
        <c:scaling>
          <c:orientation val="minMax"/>
        </c:scaling>
        <c:delete val="1"/>
        <c:axPos val="b"/>
        <c:majorTickMark val="out"/>
        <c:minorTickMark val="none"/>
        <c:tickLblPos val="nextTo"/>
        <c:crossAx val="680693336"/>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4289030819140315"/>
          <c:y val="2.3100584795321639E-2"/>
          <c:w val="0.43700656565656565"/>
          <c:h val="7.0880555555555558E-2"/>
        </c:manualLayout>
      </c:layout>
      <c:overlay val="0"/>
    </c:legend>
    <c:plotVisOnly val="1"/>
    <c:dispBlanksAs val="gap"/>
    <c:showDLblsOverMax val="0"/>
  </c:chart>
  <c:spPr>
    <a:ln>
      <a:noFill/>
    </a:ln>
  </c:spPr>
  <c:printSettings>
    <c:headerFooter/>
    <c:pageMargins b="0.75000000000000844" l="0.70000000000000062" r="0.70000000000000062" t="0.75000000000000844"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01024548589977"/>
          <c:y val="2.7426660747161588E-2"/>
          <c:w val="0.75854808732089751"/>
          <c:h val="0.54452994265738164"/>
        </c:manualLayout>
      </c:layout>
      <c:lineChart>
        <c:grouping val="standard"/>
        <c:varyColors val="0"/>
        <c:ser>
          <c:idx val="0"/>
          <c:order val="0"/>
          <c:tx>
            <c:strRef>
              <c:f>'Trends and nat. data'!$B$78</c:f>
              <c:strCache>
                <c:ptCount val="1"/>
                <c:pt idx="0">
                  <c:v>ACT</c:v>
                </c:pt>
              </c:strCache>
            </c:strRef>
          </c:tx>
          <c:spPr>
            <a:ln w="31750">
              <a:solidFill>
                <a:schemeClr val="tx1">
                  <a:lumMod val="85000"/>
                  <a:lumOff val="15000"/>
                </a:schemeClr>
              </a:solidFill>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data'!$Q$81:$Y$81</c:f>
              <c:numCache>
                <c:formatCode>#,##0</c:formatCode>
                <c:ptCount val="9"/>
                <c:pt idx="0">
                  <c:v>2157.2347670841614</c:v>
                </c:pt>
                <c:pt idx="1">
                  <c:v>2147.94968405793</c:v>
                </c:pt>
                <c:pt idx="2">
                  <c:v>2132.0879268356921</c:v>
                </c:pt>
                <c:pt idx="3">
                  <c:v>2070.8709261776853</c:v>
                </c:pt>
                <c:pt idx="4">
                  <c:v>2501.6162026164648</c:v>
                </c:pt>
                <c:pt idx="5">
                  <c:v>2414.0171021734782</c:v>
                </c:pt>
                <c:pt idx="6">
                  <c:v>2325.9782271645522</c:v>
                </c:pt>
                <c:pt idx="7">
                  <c:v>2249.4557620772753</c:v>
                </c:pt>
                <c:pt idx="8">
                  <c:v>1997.8653812062921</c:v>
                </c:pt>
              </c:numCache>
            </c:numRef>
          </c:val>
          <c:smooth val="0"/>
          <c:extLst>
            <c:ext xmlns:c16="http://schemas.microsoft.com/office/drawing/2014/chart" uri="{C3380CC4-5D6E-409C-BE32-E72D297353CC}">
              <c16:uniqueId val="{00000000-3C4F-4E58-8B2F-65B1195E5379}"/>
            </c:ext>
          </c:extLst>
        </c:ser>
        <c:ser>
          <c:idx val="1"/>
          <c:order val="1"/>
          <c:tx>
            <c:strRef>
              <c:f>'Trends and nat. data'!$B$83</c:f>
              <c:strCache>
                <c:ptCount val="1"/>
                <c:pt idx="0">
                  <c:v>NSW</c:v>
                </c:pt>
              </c:strCache>
            </c:strRef>
          </c:tx>
          <c:spPr>
            <a:ln w="19050">
              <a:solidFill>
                <a:srgbClr val="00B0F0"/>
              </a:solidFill>
              <a:prstDash val="sysDash"/>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data'!$Q$86:$Y$86</c:f>
              <c:numCache>
                <c:formatCode>#,##0</c:formatCode>
                <c:ptCount val="9"/>
                <c:pt idx="0">
                  <c:v>2741.7377500101261</c:v>
                </c:pt>
                <c:pt idx="1">
                  <c:v>2897.2542858023571</c:v>
                </c:pt>
                <c:pt idx="2">
                  <c:v>3039.6073985236239</c:v>
                </c:pt>
                <c:pt idx="3">
                  <c:v>2885.648161764117</c:v>
                </c:pt>
                <c:pt idx="4">
                  <c:v>2716.413051921545</c:v>
                </c:pt>
                <c:pt idx="5">
                  <c:v>2648.4030368471381</c:v>
                </c:pt>
                <c:pt idx="6">
                  <c:v>2577.148506020339</c:v>
                </c:pt>
                <c:pt idx="7">
                  <c:v>2505.2097787895023</c:v>
                </c:pt>
                <c:pt idx="8">
                  <c:v>2506.5590249459233</c:v>
                </c:pt>
              </c:numCache>
            </c:numRef>
          </c:val>
          <c:smooth val="0"/>
          <c:extLst>
            <c:ext xmlns:c16="http://schemas.microsoft.com/office/drawing/2014/chart" uri="{C3380CC4-5D6E-409C-BE32-E72D297353CC}">
              <c16:uniqueId val="{00000001-3C4F-4E58-8B2F-65B1195E5379}"/>
            </c:ext>
          </c:extLst>
        </c:ser>
        <c:ser>
          <c:idx val="8"/>
          <c:order val="2"/>
          <c:tx>
            <c:strRef>
              <c:f>'Trends and nat. data'!$B$130</c:f>
              <c:strCache>
                <c:ptCount val="1"/>
                <c:pt idx="0">
                  <c:v>NSW excl. fly ash</c:v>
                </c:pt>
              </c:strCache>
            </c:strRef>
          </c:tx>
          <c:spPr>
            <a:ln w="19050">
              <a:solidFill>
                <a:srgbClr val="00B0F0"/>
              </a:solidFill>
              <a:prstDash val="solid"/>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data'!$Q$133:$Y$133</c:f>
              <c:numCache>
                <c:formatCode>#,##0</c:formatCode>
                <c:ptCount val="9"/>
                <c:pt idx="0">
                  <c:v>2012.1584319102567</c:v>
                </c:pt>
                <c:pt idx="1">
                  <c:v>2187.5364831016154</c:v>
                </c:pt>
                <c:pt idx="2">
                  <c:v>2351.1908431670586</c:v>
                </c:pt>
                <c:pt idx="3">
                  <c:v>2221.3024056244813</c:v>
                </c:pt>
                <c:pt idx="4">
                  <c:v>2088.9325588011575</c:v>
                </c:pt>
                <c:pt idx="5">
                  <c:v>2106.936137681439</c:v>
                </c:pt>
                <c:pt idx="6">
                  <c:v>2120.624061283494</c:v>
                </c:pt>
                <c:pt idx="7">
                  <c:v>2118.0455613240651</c:v>
                </c:pt>
                <c:pt idx="8">
                  <c:v>2144.3435513643685</c:v>
                </c:pt>
              </c:numCache>
            </c:numRef>
          </c:val>
          <c:smooth val="0"/>
          <c:extLst>
            <c:ext xmlns:c16="http://schemas.microsoft.com/office/drawing/2014/chart" uri="{C3380CC4-5D6E-409C-BE32-E72D297353CC}">
              <c16:uniqueId val="{00000000-4034-4EBD-BE12-3A0C78B5E05A}"/>
            </c:ext>
          </c:extLst>
        </c:ser>
        <c:ser>
          <c:idx val="2"/>
          <c:order val="3"/>
          <c:tx>
            <c:strRef>
              <c:f>'Trends and nat. data'!$B$88</c:f>
              <c:strCache>
                <c:ptCount val="1"/>
                <c:pt idx="0">
                  <c:v>NT</c:v>
                </c:pt>
              </c:strCache>
            </c:strRef>
          </c:tx>
          <c:spPr>
            <a:ln w="19050">
              <a:solidFill>
                <a:srgbClr val="FFC000"/>
              </a:solidFill>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data'!$Q$91:$Y$91</c:f>
              <c:numCache>
                <c:formatCode>#,##0</c:formatCode>
                <c:ptCount val="9"/>
                <c:pt idx="0">
                  <c:v>1456.1534581465894</c:v>
                </c:pt>
                <c:pt idx="1">
                  <c:v>1452.8978799754045</c:v>
                </c:pt>
                <c:pt idx="2">
                  <c:v>1447.7277163558765</c:v>
                </c:pt>
                <c:pt idx="3">
                  <c:v>1450.0794784712657</c:v>
                </c:pt>
                <c:pt idx="4">
                  <c:v>1462.3641476074083</c:v>
                </c:pt>
                <c:pt idx="5">
                  <c:v>1731.6943010245329</c:v>
                </c:pt>
                <c:pt idx="6">
                  <c:v>1960.6004205403619</c:v>
                </c:pt>
                <c:pt idx="7">
                  <c:v>2204.5353942277166</c:v>
                </c:pt>
                <c:pt idx="8">
                  <c:v>2099.2478027822935</c:v>
                </c:pt>
              </c:numCache>
            </c:numRef>
          </c:val>
          <c:smooth val="0"/>
          <c:extLst>
            <c:ext xmlns:c16="http://schemas.microsoft.com/office/drawing/2014/chart" uri="{C3380CC4-5D6E-409C-BE32-E72D297353CC}">
              <c16:uniqueId val="{00000002-3C4F-4E58-8B2F-65B1195E5379}"/>
            </c:ext>
          </c:extLst>
        </c:ser>
        <c:ser>
          <c:idx val="3"/>
          <c:order val="4"/>
          <c:tx>
            <c:strRef>
              <c:f>'Trends and nat. data'!$B$93</c:f>
              <c:strCache>
                <c:ptCount val="1"/>
                <c:pt idx="0">
                  <c:v>Qld</c:v>
                </c:pt>
              </c:strCache>
            </c:strRef>
          </c:tx>
          <c:spPr>
            <a:ln w="19050">
              <a:solidFill>
                <a:srgbClr val="73182C"/>
              </a:solidFill>
              <a:prstDash val="sysDash"/>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data'!$Q$96:$Y$96</c:f>
              <c:numCache>
                <c:formatCode>#,##0</c:formatCode>
                <c:ptCount val="9"/>
                <c:pt idx="0">
                  <c:v>3499.2548231071114</c:v>
                </c:pt>
                <c:pt idx="1">
                  <c:v>3488.3893956197362</c:v>
                </c:pt>
                <c:pt idx="2">
                  <c:v>3468.7680782531729</c:v>
                </c:pt>
                <c:pt idx="3">
                  <c:v>3233.8386408034585</c:v>
                </c:pt>
                <c:pt idx="4">
                  <c:v>3166.3250813039181</c:v>
                </c:pt>
                <c:pt idx="5">
                  <c:v>3202.1514943718007</c:v>
                </c:pt>
                <c:pt idx="6">
                  <c:v>3230.6949547170166</c:v>
                </c:pt>
                <c:pt idx="7">
                  <c:v>3267.9381656035521</c:v>
                </c:pt>
                <c:pt idx="8">
                  <c:v>3308.604478391866</c:v>
                </c:pt>
              </c:numCache>
            </c:numRef>
          </c:val>
          <c:smooth val="0"/>
          <c:extLst>
            <c:ext xmlns:c16="http://schemas.microsoft.com/office/drawing/2014/chart" uri="{C3380CC4-5D6E-409C-BE32-E72D297353CC}">
              <c16:uniqueId val="{00000003-3C4F-4E58-8B2F-65B1195E5379}"/>
            </c:ext>
          </c:extLst>
        </c:ser>
        <c:ser>
          <c:idx val="9"/>
          <c:order val="5"/>
          <c:tx>
            <c:strRef>
              <c:f>'Trends and nat. data'!$B$140</c:f>
              <c:strCache>
                <c:ptCount val="1"/>
                <c:pt idx="0">
                  <c:v>Qld excl. fly ash</c:v>
                </c:pt>
              </c:strCache>
            </c:strRef>
          </c:tx>
          <c:spPr>
            <a:ln w="19050">
              <a:solidFill>
                <a:srgbClr val="73182C"/>
              </a:solidFill>
              <a:prstDash val="solid"/>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data'!$Q$143:$Y$143</c:f>
              <c:numCache>
                <c:formatCode>#,##0</c:formatCode>
                <c:ptCount val="9"/>
                <c:pt idx="0">
                  <c:v>2089.5075734727284</c:v>
                </c:pt>
                <c:pt idx="1">
                  <c:v>2098.7975536088938</c:v>
                </c:pt>
                <c:pt idx="2">
                  <c:v>2102.0062269736536</c:v>
                </c:pt>
                <c:pt idx="3">
                  <c:v>1923.2881461674531</c:v>
                </c:pt>
                <c:pt idx="4">
                  <c:v>1875.7322731111381</c:v>
                </c:pt>
                <c:pt idx="5">
                  <c:v>1997.5049275663378</c:v>
                </c:pt>
                <c:pt idx="6">
                  <c:v>2111.0239539589156</c:v>
                </c:pt>
                <c:pt idx="7">
                  <c:v>2226.8566899403822</c:v>
                </c:pt>
                <c:pt idx="8">
                  <c:v>2210.3567631086007</c:v>
                </c:pt>
              </c:numCache>
            </c:numRef>
          </c:val>
          <c:smooth val="0"/>
          <c:extLst>
            <c:ext xmlns:c16="http://schemas.microsoft.com/office/drawing/2014/chart" uri="{C3380CC4-5D6E-409C-BE32-E72D297353CC}">
              <c16:uniqueId val="{00000001-4034-4EBD-BE12-3A0C78B5E05A}"/>
            </c:ext>
          </c:extLst>
        </c:ser>
        <c:ser>
          <c:idx val="4"/>
          <c:order val="6"/>
          <c:tx>
            <c:strRef>
              <c:f>'Trends and nat. data'!$B$98</c:f>
              <c:strCache>
                <c:ptCount val="1"/>
                <c:pt idx="0">
                  <c:v>SA</c:v>
                </c:pt>
              </c:strCache>
            </c:strRef>
          </c:tx>
          <c:spPr>
            <a:ln w="19050">
              <a:solidFill>
                <a:srgbClr val="FF0000"/>
              </a:solidFill>
              <a:prstDash val="sysDash"/>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data'!$Q$101:$Y$101</c:f>
              <c:numCache>
                <c:formatCode>#,##0</c:formatCode>
                <c:ptCount val="9"/>
                <c:pt idx="0">
                  <c:v>2070.7626879212476</c:v>
                </c:pt>
                <c:pt idx="1">
                  <c:v>2081.3864424701828</c:v>
                </c:pt>
                <c:pt idx="2">
                  <c:v>2088.8986805800109</c:v>
                </c:pt>
                <c:pt idx="3">
                  <c:v>2041.8190568223033</c:v>
                </c:pt>
                <c:pt idx="4">
                  <c:v>2486.9364728975174</c:v>
                </c:pt>
                <c:pt idx="5">
                  <c:v>2550.8846272999563</c:v>
                </c:pt>
                <c:pt idx="6">
                  <c:v>2612.4971639847122</c:v>
                </c:pt>
                <c:pt idx="7">
                  <c:v>2674.2204696994827</c:v>
                </c:pt>
                <c:pt idx="8">
                  <c:v>2613.7927592279875</c:v>
                </c:pt>
              </c:numCache>
            </c:numRef>
          </c:val>
          <c:smooth val="0"/>
          <c:extLst>
            <c:ext xmlns:c16="http://schemas.microsoft.com/office/drawing/2014/chart" uri="{C3380CC4-5D6E-409C-BE32-E72D297353CC}">
              <c16:uniqueId val="{00000004-3C4F-4E58-8B2F-65B1195E5379}"/>
            </c:ext>
          </c:extLst>
        </c:ser>
        <c:ser>
          <c:idx val="10"/>
          <c:order val="7"/>
          <c:tx>
            <c:strRef>
              <c:f>'Trends and nat. data'!$B$145</c:f>
              <c:strCache>
                <c:ptCount val="1"/>
                <c:pt idx="0">
                  <c:v>SA excl. fly ash</c:v>
                </c:pt>
              </c:strCache>
            </c:strRef>
          </c:tx>
          <c:spPr>
            <a:ln w="19050">
              <a:solidFill>
                <a:srgbClr val="FF0000"/>
              </a:solidFill>
              <a:prstDash val="solid"/>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data'!$Q$148:$Y$148</c:f>
              <c:numCache>
                <c:formatCode>#,##0</c:formatCode>
                <c:ptCount val="9"/>
                <c:pt idx="0">
                  <c:v>1903.6500253964284</c:v>
                </c:pt>
                <c:pt idx="1">
                  <c:v>1928.1028275701103</c:v>
                </c:pt>
                <c:pt idx="2">
                  <c:v>1949.3387636901323</c:v>
                </c:pt>
                <c:pt idx="3">
                  <c:v>1936.7885918091868</c:v>
                </c:pt>
                <c:pt idx="4">
                  <c:v>2364.4236366150958</c:v>
                </c:pt>
                <c:pt idx="5">
                  <c:v>2446.8540074859284</c:v>
                </c:pt>
                <c:pt idx="6">
                  <c:v>2526.6669846096643</c:v>
                </c:pt>
                <c:pt idx="7">
                  <c:v>2606.2285977102852</c:v>
                </c:pt>
                <c:pt idx="8">
                  <c:v>2527.4841942852258</c:v>
                </c:pt>
              </c:numCache>
            </c:numRef>
          </c:val>
          <c:smooth val="0"/>
          <c:extLst>
            <c:ext xmlns:c16="http://schemas.microsoft.com/office/drawing/2014/chart" uri="{C3380CC4-5D6E-409C-BE32-E72D297353CC}">
              <c16:uniqueId val="{00000002-4034-4EBD-BE12-3A0C78B5E05A}"/>
            </c:ext>
          </c:extLst>
        </c:ser>
        <c:ser>
          <c:idx val="5"/>
          <c:order val="8"/>
          <c:tx>
            <c:strRef>
              <c:f>'Trends and nat. data'!$B$103</c:f>
              <c:strCache>
                <c:ptCount val="1"/>
                <c:pt idx="0">
                  <c:v>Tas</c:v>
                </c:pt>
              </c:strCache>
            </c:strRef>
          </c:tx>
          <c:spPr>
            <a:ln w="19050">
              <a:solidFill>
                <a:srgbClr val="00B050"/>
              </a:solidFill>
              <a:prstDash val="solid"/>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data'!$Q$106:$Y$106</c:f>
              <c:numCache>
                <c:formatCode>#,##0</c:formatCode>
                <c:ptCount val="9"/>
                <c:pt idx="0">
                  <c:v>1150.1868031839372</c:v>
                </c:pt>
                <c:pt idx="1">
                  <c:v>1083.4772648166661</c:v>
                </c:pt>
                <c:pt idx="2">
                  <c:v>1014.7350651647396</c:v>
                </c:pt>
                <c:pt idx="3">
                  <c:v>1107.8702631510882</c:v>
                </c:pt>
                <c:pt idx="4">
                  <c:v>1238.2848754352469</c:v>
                </c:pt>
                <c:pt idx="5">
                  <c:v>1374.9669558331866</c:v>
                </c:pt>
                <c:pt idx="6">
                  <c:v>1514.2508329468433</c:v>
                </c:pt>
                <c:pt idx="7">
                  <c:v>1650.2161852790596</c:v>
                </c:pt>
                <c:pt idx="8">
                  <c:v>1837.035070040585</c:v>
                </c:pt>
              </c:numCache>
            </c:numRef>
          </c:val>
          <c:smooth val="0"/>
          <c:extLst>
            <c:ext xmlns:c16="http://schemas.microsoft.com/office/drawing/2014/chart" uri="{C3380CC4-5D6E-409C-BE32-E72D297353CC}">
              <c16:uniqueId val="{00000005-3C4F-4E58-8B2F-65B1195E5379}"/>
            </c:ext>
          </c:extLst>
        </c:ser>
        <c:ser>
          <c:idx val="6"/>
          <c:order val="9"/>
          <c:tx>
            <c:strRef>
              <c:f>'Trends and nat. data'!$B$108</c:f>
              <c:strCache>
                <c:ptCount val="1"/>
                <c:pt idx="0">
                  <c:v>Vic</c:v>
                </c:pt>
              </c:strCache>
            </c:strRef>
          </c:tx>
          <c:spPr>
            <a:ln w="19050">
              <a:solidFill>
                <a:schemeClr val="tx2">
                  <a:lumMod val="50000"/>
                </a:schemeClr>
              </a:solidFill>
              <a:prstDash val="sysDash"/>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data'!$Q$111:$Y$111</c:f>
              <c:numCache>
                <c:formatCode>#,##0</c:formatCode>
                <c:ptCount val="9"/>
                <c:pt idx="0">
                  <c:v>2661.7761637219946</c:v>
                </c:pt>
                <c:pt idx="1">
                  <c:v>2602.9590826442914</c:v>
                </c:pt>
                <c:pt idx="2">
                  <c:v>2537.5214656659964</c:v>
                </c:pt>
                <c:pt idx="3">
                  <c:v>2728.6328187594345</c:v>
                </c:pt>
                <c:pt idx="4">
                  <c:v>2730.2029091462059</c:v>
                </c:pt>
                <c:pt idx="5">
                  <c:v>2672.3397309137986</c:v>
                </c:pt>
                <c:pt idx="6">
                  <c:v>2611.2437828794482</c:v>
                </c:pt>
                <c:pt idx="7">
                  <c:v>2549.3740236984081</c:v>
                </c:pt>
                <c:pt idx="8">
                  <c:v>2590.5260659534138</c:v>
                </c:pt>
              </c:numCache>
            </c:numRef>
          </c:val>
          <c:smooth val="0"/>
          <c:extLst>
            <c:ext xmlns:c16="http://schemas.microsoft.com/office/drawing/2014/chart" uri="{C3380CC4-5D6E-409C-BE32-E72D297353CC}">
              <c16:uniqueId val="{00000006-3C4F-4E58-8B2F-65B1195E5379}"/>
            </c:ext>
          </c:extLst>
        </c:ser>
        <c:ser>
          <c:idx val="11"/>
          <c:order val="10"/>
          <c:tx>
            <c:strRef>
              <c:f>'Trends and nat. data'!$B$155</c:f>
              <c:strCache>
                <c:ptCount val="1"/>
                <c:pt idx="0">
                  <c:v>Vic excl. fly ash</c:v>
                </c:pt>
              </c:strCache>
            </c:strRef>
          </c:tx>
          <c:spPr>
            <a:ln w="19050">
              <a:solidFill>
                <a:srgbClr val="002060"/>
              </a:solidFill>
              <a:prstDash val="solid"/>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data'!$Q$158:$Y$158</c:f>
              <c:numCache>
                <c:formatCode>#,##0</c:formatCode>
                <c:ptCount val="9"/>
                <c:pt idx="0">
                  <c:v>2119.69588760324</c:v>
                </c:pt>
                <c:pt idx="1">
                  <c:v>2077.873523303982</c:v>
                </c:pt>
                <c:pt idx="2">
                  <c:v>2030.5640700825149</c:v>
                </c:pt>
                <c:pt idx="3">
                  <c:v>2244.8989323609017</c:v>
                </c:pt>
                <c:pt idx="4">
                  <c:v>2274.6956417842812</c:v>
                </c:pt>
                <c:pt idx="5">
                  <c:v>2231.2692568281645</c:v>
                </c:pt>
                <c:pt idx="6">
                  <c:v>2184.9847115321577</c:v>
                </c:pt>
                <c:pt idx="7">
                  <c:v>2137.8836393587512</c:v>
                </c:pt>
                <c:pt idx="8">
                  <c:v>2215.7917969120481</c:v>
                </c:pt>
              </c:numCache>
            </c:numRef>
          </c:val>
          <c:smooth val="0"/>
          <c:extLst>
            <c:ext xmlns:c16="http://schemas.microsoft.com/office/drawing/2014/chart" uri="{C3380CC4-5D6E-409C-BE32-E72D297353CC}">
              <c16:uniqueId val="{00000003-4034-4EBD-BE12-3A0C78B5E05A}"/>
            </c:ext>
          </c:extLst>
        </c:ser>
        <c:ser>
          <c:idx val="7"/>
          <c:order val="11"/>
          <c:tx>
            <c:strRef>
              <c:f>'Trends and nat. data'!$B$113</c:f>
              <c:strCache>
                <c:ptCount val="1"/>
                <c:pt idx="0">
                  <c:v>WA</c:v>
                </c:pt>
              </c:strCache>
            </c:strRef>
          </c:tx>
          <c:spPr>
            <a:ln w="19050">
              <a:solidFill>
                <a:schemeClr val="accent6">
                  <a:lumMod val="75000"/>
                </a:schemeClr>
              </a:solidFill>
              <a:prstDash val="sysDash"/>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data'!$Q$116:$Y$116</c:f>
              <c:numCache>
                <c:formatCode>#,##0</c:formatCode>
                <c:ptCount val="9"/>
                <c:pt idx="0">
                  <c:v>2975.6350784040883</c:v>
                </c:pt>
                <c:pt idx="1">
                  <c:v>2950.7884663369023</c:v>
                </c:pt>
                <c:pt idx="2">
                  <c:v>2906.3436482946959</c:v>
                </c:pt>
                <c:pt idx="3">
                  <c:v>2943.1319755914287</c:v>
                </c:pt>
                <c:pt idx="4">
                  <c:v>2933.0156551505906</c:v>
                </c:pt>
                <c:pt idx="5">
                  <c:v>2983.9911420240087</c:v>
                </c:pt>
                <c:pt idx="6">
                  <c:v>3013.1528628648089</c:v>
                </c:pt>
                <c:pt idx="7">
                  <c:v>3077.5391668107536</c:v>
                </c:pt>
                <c:pt idx="8">
                  <c:v>2835.3231939611301</c:v>
                </c:pt>
              </c:numCache>
            </c:numRef>
          </c:val>
          <c:smooth val="0"/>
          <c:extLst>
            <c:ext xmlns:c16="http://schemas.microsoft.com/office/drawing/2014/chart" uri="{C3380CC4-5D6E-409C-BE32-E72D297353CC}">
              <c16:uniqueId val="{00000007-3C4F-4E58-8B2F-65B1195E5379}"/>
            </c:ext>
          </c:extLst>
        </c:ser>
        <c:ser>
          <c:idx val="12"/>
          <c:order val="12"/>
          <c:tx>
            <c:strRef>
              <c:f>'Trends and nat. data'!$B$160</c:f>
              <c:strCache>
                <c:ptCount val="1"/>
                <c:pt idx="0">
                  <c:v>WA excl. fly ash</c:v>
                </c:pt>
              </c:strCache>
            </c:strRef>
          </c:tx>
          <c:spPr>
            <a:ln w="19050">
              <a:solidFill>
                <a:schemeClr val="accent6">
                  <a:lumMod val="75000"/>
                </a:schemeClr>
              </a:solidFill>
              <a:prstDash val="solid"/>
            </a:ln>
          </c:spPr>
          <c:marker>
            <c:symbol val="none"/>
          </c:marker>
          <c:cat>
            <c:strRef>
              <c:f>'Trends and nat. data'!$Q$77:$Y$77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data'!$Q$163:$Y$163</c:f>
              <c:numCache>
                <c:formatCode>#,##0</c:formatCode>
                <c:ptCount val="9"/>
                <c:pt idx="0">
                  <c:v>2705.5411060009778</c:v>
                </c:pt>
                <c:pt idx="1">
                  <c:v>2671.505881933731</c:v>
                </c:pt>
                <c:pt idx="2">
                  <c:v>2620.417294602034</c:v>
                </c:pt>
                <c:pt idx="3">
                  <c:v>2646.3439859974255</c:v>
                </c:pt>
                <c:pt idx="4">
                  <c:v>2645.6536236109132</c:v>
                </c:pt>
                <c:pt idx="5">
                  <c:v>2716.1064526066843</c:v>
                </c:pt>
                <c:pt idx="6">
                  <c:v>2765.1473709170518</c:v>
                </c:pt>
                <c:pt idx="7">
                  <c:v>2845.2419092748319</c:v>
                </c:pt>
                <c:pt idx="8">
                  <c:v>2623.1118783908132</c:v>
                </c:pt>
              </c:numCache>
            </c:numRef>
          </c:val>
          <c:smooth val="0"/>
          <c:extLst>
            <c:ext xmlns:c16="http://schemas.microsoft.com/office/drawing/2014/chart" uri="{C3380CC4-5D6E-409C-BE32-E72D297353CC}">
              <c16:uniqueId val="{00000004-4034-4EBD-BE12-3A0C78B5E05A}"/>
            </c:ext>
          </c:extLst>
        </c:ser>
        <c:dLbls>
          <c:showLegendKey val="0"/>
          <c:showVal val="0"/>
          <c:showCatName val="0"/>
          <c:showSerName val="0"/>
          <c:showPercent val="0"/>
          <c:showBubbleSize val="0"/>
        </c:dLbls>
        <c:smooth val="0"/>
        <c:axId val="226444032"/>
        <c:axId val="226445568"/>
      </c:lineChart>
      <c:catAx>
        <c:axId val="226444032"/>
        <c:scaling>
          <c:orientation val="minMax"/>
        </c:scaling>
        <c:delete val="0"/>
        <c:axPos val="b"/>
        <c:numFmt formatCode="General" sourceLinked="0"/>
        <c:majorTickMark val="none"/>
        <c:minorTickMark val="none"/>
        <c:tickLblPos val="nextTo"/>
        <c:txPr>
          <a:bodyPr/>
          <a:lstStyle/>
          <a:p>
            <a:pPr>
              <a:defRPr>
                <a:solidFill>
                  <a:schemeClr val="bg1"/>
                </a:solidFill>
              </a:defRPr>
            </a:pPr>
            <a:endParaRPr lang="en-US"/>
          </a:p>
        </c:txPr>
        <c:crossAx val="226445568"/>
        <c:crosses val="autoZero"/>
        <c:auto val="1"/>
        <c:lblAlgn val="ctr"/>
        <c:lblOffset val="100"/>
        <c:noMultiLvlLbl val="0"/>
      </c:catAx>
      <c:valAx>
        <c:axId val="226445568"/>
        <c:scaling>
          <c:orientation val="minMax"/>
          <c:max val="3600"/>
          <c:min val="1000"/>
        </c:scaling>
        <c:delete val="0"/>
        <c:axPos val="l"/>
        <c:majorGridlines>
          <c:spPr>
            <a:ln w="2540"/>
          </c:spPr>
        </c:majorGridlines>
        <c:title>
          <c:tx>
            <c:rich>
              <a:bodyPr rot="-5400000" vert="horz"/>
              <a:lstStyle/>
              <a:p>
                <a:pPr>
                  <a:defRPr/>
                </a:pPr>
                <a:r>
                  <a:rPr lang="en-US"/>
                  <a:t>Kg per capita</a:t>
                </a:r>
              </a:p>
            </c:rich>
          </c:tx>
          <c:layout>
            <c:manualLayout>
              <c:xMode val="edge"/>
              <c:yMode val="edge"/>
              <c:x val="0.11914865783214405"/>
              <c:y val="0.16448203703703704"/>
            </c:manualLayout>
          </c:layout>
          <c:overlay val="0"/>
        </c:title>
        <c:numFmt formatCode="#,##0" sourceLinked="0"/>
        <c:majorTickMark val="out"/>
        <c:minorTickMark val="none"/>
        <c:tickLblPos val="nextTo"/>
        <c:spPr>
          <a:ln>
            <a:noFill/>
          </a:ln>
        </c:spPr>
        <c:crossAx val="226444032"/>
        <c:crosses val="autoZero"/>
        <c:crossBetween val="between"/>
      </c:valAx>
      <c:dTable>
        <c:showHorzBorder val="1"/>
        <c:showVertBorder val="1"/>
        <c:showOutline val="1"/>
        <c:showKeys val="1"/>
        <c:spPr>
          <a:ln w="2540"/>
        </c:spPr>
        <c:txPr>
          <a:bodyPr/>
          <a:lstStyle/>
          <a:p>
            <a:pPr rtl="0">
              <a:defRPr sz="900"/>
            </a:pPr>
            <a:endParaRPr lang="en-US"/>
          </a:p>
        </c:txPr>
      </c:dTable>
    </c:plotArea>
    <c:plotVisOnly val="1"/>
    <c:dispBlanksAs val="gap"/>
    <c:showDLblsOverMax val="0"/>
  </c:chart>
  <c:spPr>
    <a:ln>
      <a:noFill/>
    </a:ln>
  </c:spPr>
  <c:printSettings>
    <c:headerFooter/>
    <c:pageMargins b="0.75000000000000466" l="0.70000000000000062" r="0.70000000000000062" t="0.75000000000000466"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403081914030819"/>
          <c:y val="9.6542982456140347E-2"/>
          <c:w val="0.66250811030008105"/>
          <c:h val="0.41481328687526614"/>
        </c:manualLayout>
      </c:layout>
      <c:barChart>
        <c:barDir val="col"/>
        <c:grouping val="stacked"/>
        <c:varyColors val="0"/>
        <c:ser>
          <c:idx val="0"/>
          <c:order val="0"/>
          <c:tx>
            <c:strRef>
              <c:f>'Trends and nat. data'!$C$40</c:f>
              <c:strCache>
                <c:ptCount val="1"/>
                <c:pt idx="0">
                  <c:v>Disposal</c:v>
                </c:pt>
              </c:strCache>
            </c:strRef>
          </c:tx>
          <c:spPr>
            <a:solidFill>
              <a:schemeClr val="accent3">
                <a:lumMod val="50000"/>
              </a:schemeClr>
            </a:solidFill>
          </c:spPr>
          <c:invertIfNegative val="0"/>
          <c:cat>
            <c:strRef>
              <c:f>'Trends and nat. data'!$P$5:$R$5</c:f>
              <c:strCache>
                <c:ptCount val="3"/>
                <c:pt idx="0">
                  <c:v>Total incl. fly ash &amp; hazwaste</c:v>
                </c:pt>
                <c:pt idx="1">
                  <c:v>Total excl. fly ash</c:v>
                </c:pt>
                <c:pt idx="2">
                  <c:v>Total excl. fly ash &amp; hazwaste</c:v>
                </c:pt>
              </c:strCache>
            </c:strRef>
          </c:cat>
          <c:val>
            <c:numRef>
              <c:f>'Trends and nat. data'!$H$40:$J$40</c:f>
              <c:numCache>
                <c:formatCode>#,##0</c:formatCode>
                <c:ptCount val="3"/>
                <c:pt idx="0">
                  <c:v>26789.670052573729</c:v>
                </c:pt>
                <c:pt idx="1">
                  <c:v>20851.354552573728</c:v>
                </c:pt>
                <c:pt idx="2">
                  <c:v>17812.443999407529</c:v>
                </c:pt>
              </c:numCache>
            </c:numRef>
          </c:val>
          <c:extLst>
            <c:ext xmlns:c16="http://schemas.microsoft.com/office/drawing/2014/chart" uri="{C3380CC4-5D6E-409C-BE32-E72D297353CC}">
              <c16:uniqueId val="{00000000-CAD2-4D92-A29F-9FE9E8B64034}"/>
            </c:ext>
          </c:extLst>
        </c:ser>
        <c:ser>
          <c:idx val="1"/>
          <c:order val="1"/>
          <c:tx>
            <c:strRef>
              <c:f>'Trends and nat. data'!$C$41</c:f>
              <c:strCache>
                <c:ptCount val="1"/>
                <c:pt idx="0">
                  <c:v>Recycling</c:v>
                </c:pt>
              </c:strCache>
            </c:strRef>
          </c:tx>
          <c:spPr>
            <a:solidFill>
              <a:srgbClr val="FFFF00"/>
            </a:solidFill>
          </c:spPr>
          <c:invertIfNegative val="0"/>
          <c:cat>
            <c:strRef>
              <c:f>'Trends and nat. data'!$P$5:$R$5</c:f>
              <c:strCache>
                <c:ptCount val="3"/>
                <c:pt idx="0">
                  <c:v>Total incl. fly ash &amp; hazwaste</c:v>
                </c:pt>
                <c:pt idx="1">
                  <c:v>Total excl. fly ash</c:v>
                </c:pt>
                <c:pt idx="2">
                  <c:v>Total excl. fly ash &amp; hazwaste</c:v>
                </c:pt>
              </c:strCache>
            </c:strRef>
          </c:cat>
          <c:val>
            <c:numRef>
              <c:f>'Trends and nat. data'!$H$41:$J$41</c:f>
              <c:numCache>
                <c:formatCode>#,##0</c:formatCode>
                <c:ptCount val="3"/>
                <c:pt idx="0">
                  <c:v>34770.604924866653</c:v>
                </c:pt>
                <c:pt idx="1">
                  <c:v>29855.358424866659</c:v>
                </c:pt>
                <c:pt idx="2">
                  <c:v>26003.038885589624</c:v>
                </c:pt>
              </c:numCache>
            </c:numRef>
          </c:val>
          <c:extLst>
            <c:ext xmlns:c16="http://schemas.microsoft.com/office/drawing/2014/chart" uri="{C3380CC4-5D6E-409C-BE32-E72D297353CC}">
              <c16:uniqueId val="{00000001-CAD2-4D92-A29F-9FE9E8B64034}"/>
            </c:ext>
          </c:extLst>
        </c:ser>
        <c:ser>
          <c:idx val="2"/>
          <c:order val="2"/>
          <c:tx>
            <c:strRef>
              <c:f>'Trends and nat. data'!$C$42</c:f>
              <c:strCache>
                <c:ptCount val="1"/>
                <c:pt idx="0">
                  <c:v>Energy recovery</c:v>
                </c:pt>
              </c:strCache>
            </c:strRef>
          </c:tx>
          <c:spPr>
            <a:solidFill>
              <a:schemeClr val="accent6">
                <a:lumMod val="75000"/>
              </a:schemeClr>
            </a:solidFill>
          </c:spPr>
          <c:invertIfNegative val="0"/>
          <c:cat>
            <c:strRef>
              <c:f>'Trends and nat. data'!$P$5:$R$5</c:f>
              <c:strCache>
                <c:ptCount val="3"/>
                <c:pt idx="0">
                  <c:v>Total incl. fly ash &amp; hazwaste</c:v>
                </c:pt>
                <c:pt idx="1">
                  <c:v>Total excl. fly ash</c:v>
                </c:pt>
                <c:pt idx="2">
                  <c:v>Total excl. fly ash &amp; hazwaste</c:v>
                </c:pt>
              </c:strCache>
            </c:strRef>
          </c:cat>
          <c:val>
            <c:numRef>
              <c:f>'Trends and nat. data'!$H$42:$J$42</c:f>
              <c:numCache>
                <c:formatCode>#,##0</c:formatCode>
                <c:ptCount val="3"/>
                <c:pt idx="0">
                  <c:v>2311.2814754915848</c:v>
                </c:pt>
                <c:pt idx="1">
                  <c:v>2311.2814754915848</c:v>
                </c:pt>
                <c:pt idx="2">
                  <c:v>2311.2814754915507</c:v>
                </c:pt>
              </c:numCache>
            </c:numRef>
          </c:val>
          <c:extLst>
            <c:ext xmlns:c16="http://schemas.microsoft.com/office/drawing/2014/chart" uri="{C3380CC4-5D6E-409C-BE32-E72D297353CC}">
              <c16:uniqueId val="{00000002-CAD2-4D92-A29F-9FE9E8B64034}"/>
            </c:ext>
          </c:extLst>
        </c:ser>
        <c:ser>
          <c:idx val="3"/>
          <c:order val="3"/>
          <c:tx>
            <c:strRef>
              <c:f>'Trends and nat. data'!$C$44</c:f>
              <c:strCache>
                <c:ptCount val="1"/>
                <c:pt idx="0">
                  <c:v>Recovery rate</c:v>
                </c:pt>
              </c:strCache>
            </c:strRef>
          </c:tx>
          <c:spPr>
            <a:noFill/>
            <a:ln>
              <a:noFill/>
            </a:ln>
          </c:spPr>
          <c:invertIfNegative val="0"/>
          <c:dLbls>
            <c:dLbl>
              <c:idx val="0"/>
              <c:layout>
                <c:manualLayout>
                  <c:x val="2.1353744255204108E-3"/>
                  <c:y val="-1.7310526315789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D2-4D92-A29F-9FE9E8B64034}"/>
                </c:ext>
              </c:extLst>
            </c:dLbl>
            <c:dLbl>
              <c:idx val="1"/>
              <c:layout>
                <c:manualLayout>
                  <c:x val="-7.8680266171218451E-17"/>
                  <c:y val="-1.9268518518518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D2-4D92-A29F-9FE9E8B64034}"/>
                </c:ext>
              </c:extLst>
            </c:dLbl>
            <c:dLbl>
              <c:idx val="2"/>
              <c:layout>
                <c:manualLayout>
                  <c:x val="-1.573605323424369E-16"/>
                  <c:y val="-4.3117283950617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4B-4C06-B3F5-1CA3737473EA}"/>
                </c:ext>
              </c:extLst>
            </c:dLbl>
            <c:numFmt formatCode="0%" sourceLinked="0"/>
            <c:spPr>
              <a:noFill/>
              <a:ln>
                <a:noFill/>
              </a:ln>
              <a:effectLst/>
            </c:spPr>
            <c:txPr>
              <a:bodyPr wrap="square" lIns="38100" tIns="19050" rIns="38100" bIns="19050" anchor="ctr">
                <a:spAutoFit/>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'Trends and nat. data'!$P$5:$R$5</c:f>
              <c:strCache>
                <c:ptCount val="3"/>
                <c:pt idx="0">
                  <c:v>Total incl. fly ash &amp; hazwaste</c:v>
                </c:pt>
                <c:pt idx="1">
                  <c:v>Total excl. fly ash</c:v>
                </c:pt>
                <c:pt idx="2">
                  <c:v>Total excl. fly ash &amp; hazwaste</c:v>
                </c:pt>
              </c:strCache>
            </c:strRef>
          </c:cat>
          <c:val>
            <c:numRef>
              <c:f>('Trends and nat. data'!$W$10,'Trends and nat. data'!$Y$10,'Trends and nat. data'!$AA$10)</c:f>
              <c:numCache>
                <c:formatCode>0%</c:formatCode>
                <c:ptCount val="3"/>
                <c:pt idx="0">
                  <c:v>580.56963787448194</c:v>
                </c:pt>
                <c:pt idx="1">
                  <c:v>606.71174442320648</c:v>
                </c:pt>
                <c:pt idx="2">
                  <c:v>613.83712370977992</c:v>
                </c:pt>
              </c:numCache>
            </c:numRef>
          </c:val>
          <c:extLst>
            <c:ext xmlns:c16="http://schemas.microsoft.com/office/drawing/2014/chart" uri="{C3380CC4-5D6E-409C-BE32-E72D297353CC}">
              <c16:uniqueId val="{00000005-CAD2-4D92-A29F-9FE9E8B64034}"/>
            </c:ext>
          </c:extLst>
        </c:ser>
        <c:dLbls>
          <c:showLegendKey val="0"/>
          <c:showVal val="0"/>
          <c:showCatName val="0"/>
          <c:showSerName val="0"/>
          <c:showPercent val="0"/>
          <c:showBubbleSize val="0"/>
        </c:dLbls>
        <c:gapWidth val="150"/>
        <c:overlap val="100"/>
        <c:axId val="220173440"/>
        <c:axId val="220174976"/>
      </c:barChart>
      <c:lineChart>
        <c:grouping val="stacked"/>
        <c:varyColors val="0"/>
        <c:ser>
          <c:idx val="4"/>
          <c:order val="4"/>
          <c:tx>
            <c:v>Disposal per cap</c:v>
          </c:tx>
          <c:spPr>
            <a:ln>
              <a:noFill/>
            </a:ln>
          </c:spPr>
          <c:marker>
            <c:symbol val="none"/>
          </c:marker>
          <c:val>
            <c:numRef>
              <c:f>'Trends and nat. data'!$P$40:$Q$40</c:f>
              <c:numCache>
                <c:formatCode>#,##0</c:formatCode>
                <c:ptCount val="2"/>
                <c:pt idx="0">
                  <c:v>1134.4726639145265</c:v>
                </c:pt>
                <c:pt idx="1">
                  <c:v>883.00048858615935</c:v>
                </c:pt>
              </c:numCache>
            </c:numRef>
          </c:val>
          <c:smooth val="0"/>
          <c:extLst>
            <c:ext xmlns:c16="http://schemas.microsoft.com/office/drawing/2014/chart" uri="{C3380CC4-5D6E-409C-BE32-E72D297353CC}">
              <c16:uniqueId val="{00000006-CAD2-4D92-A29F-9FE9E8B64034}"/>
            </c:ext>
          </c:extLst>
        </c:ser>
        <c:ser>
          <c:idx val="5"/>
          <c:order val="5"/>
          <c:tx>
            <c:v>Recycling per cap</c:v>
          </c:tx>
          <c:spPr>
            <a:ln>
              <a:noFill/>
            </a:ln>
          </c:spPr>
          <c:marker>
            <c:symbol val="none"/>
          </c:marker>
          <c:val>
            <c:numRef>
              <c:f>'Trends and nat. data'!$P$41:$Q$41</c:f>
              <c:numCache>
                <c:formatCode>#,##0</c:formatCode>
                <c:ptCount val="2"/>
                <c:pt idx="0">
                  <c:v>1472.4444428625336</c:v>
                </c:pt>
                <c:pt idx="1">
                  <c:v>1264.2965716976989</c:v>
                </c:pt>
              </c:numCache>
            </c:numRef>
          </c:val>
          <c:smooth val="0"/>
          <c:extLst>
            <c:ext xmlns:c16="http://schemas.microsoft.com/office/drawing/2014/chart" uri="{C3380CC4-5D6E-409C-BE32-E72D297353CC}">
              <c16:uniqueId val="{00000007-CAD2-4D92-A29F-9FE9E8B64034}"/>
            </c:ext>
          </c:extLst>
        </c:ser>
        <c:ser>
          <c:idx val="6"/>
          <c:order val="6"/>
          <c:tx>
            <c:v>Energy rec per cap</c:v>
          </c:tx>
          <c:spPr>
            <a:ln>
              <a:noFill/>
            </a:ln>
          </c:spPr>
          <c:marker>
            <c:symbol val="none"/>
          </c:marker>
          <c:val>
            <c:numRef>
              <c:f>'Trends and nat. data'!$P$42:$Q$42</c:f>
              <c:numCache>
                <c:formatCode>#,##0</c:formatCode>
                <c:ptCount val="2"/>
                <c:pt idx="0">
                  <c:v>97.876743065946314</c:v>
                </c:pt>
                <c:pt idx="1">
                  <c:v>97.876743065946314</c:v>
                </c:pt>
              </c:numCache>
            </c:numRef>
          </c:val>
          <c:smooth val="0"/>
          <c:extLst>
            <c:ext xmlns:c16="http://schemas.microsoft.com/office/drawing/2014/chart" uri="{C3380CC4-5D6E-409C-BE32-E72D297353CC}">
              <c16:uniqueId val="{00000008-CAD2-4D92-A29F-9FE9E8B64034}"/>
            </c:ext>
          </c:extLst>
        </c:ser>
        <c:dLbls>
          <c:showLegendKey val="0"/>
          <c:showVal val="0"/>
          <c:showCatName val="0"/>
          <c:showSerName val="0"/>
          <c:showPercent val="0"/>
          <c:showBubbleSize val="0"/>
        </c:dLbls>
        <c:marker val="1"/>
        <c:smooth val="0"/>
        <c:axId val="573573064"/>
        <c:axId val="573578640"/>
      </c:lineChart>
      <c:catAx>
        <c:axId val="220173440"/>
        <c:scaling>
          <c:orientation val="minMax"/>
        </c:scaling>
        <c:delete val="0"/>
        <c:axPos val="b"/>
        <c:numFmt formatCode="General" sourceLinked="0"/>
        <c:majorTickMark val="none"/>
        <c:minorTickMark val="none"/>
        <c:tickLblPos val="nextTo"/>
        <c:spPr>
          <a:ln w="2540"/>
        </c:spPr>
        <c:crossAx val="220174976"/>
        <c:crosses val="autoZero"/>
        <c:auto val="1"/>
        <c:lblAlgn val="ctr"/>
        <c:lblOffset val="50"/>
        <c:noMultiLvlLbl val="0"/>
      </c:catAx>
      <c:valAx>
        <c:axId val="220174976"/>
        <c:scaling>
          <c:orientation val="minMax"/>
        </c:scaling>
        <c:delete val="0"/>
        <c:axPos val="l"/>
        <c:majorGridlines>
          <c:spPr>
            <a:ln w="2540"/>
          </c:spPr>
        </c:majorGridlines>
        <c:title>
          <c:tx>
            <c:rich>
              <a:bodyPr/>
              <a:lstStyle/>
              <a:p>
                <a:pPr>
                  <a:defRPr/>
                </a:pPr>
                <a:r>
                  <a:rPr lang="en-AU"/>
                  <a:t>Megatonnes</a:t>
                </a:r>
              </a:p>
            </c:rich>
          </c:tx>
          <c:layout>
            <c:manualLayout>
              <c:xMode val="edge"/>
              <c:yMode val="edge"/>
              <c:x val="0.12084279535009462"/>
              <c:y val="0.1851859649122807"/>
            </c:manualLayout>
          </c:layout>
          <c:overlay val="0"/>
        </c:title>
        <c:numFmt formatCode="#,##0" sourceLinked="0"/>
        <c:majorTickMark val="out"/>
        <c:minorTickMark val="none"/>
        <c:tickLblPos val="nextTo"/>
        <c:spPr>
          <a:ln>
            <a:noFill/>
          </a:ln>
        </c:spPr>
        <c:crossAx val="220173440"/>
        <c:crosses val="autoZero"/>
        <c:crossBetween val="between"/>
        <c:dispUnits>
          <c:builtInUnit val="thousands"/>
        </c:dispUnits>
      </c:valAx>
      <c:valAx>
        <c:axId val="573578640"/>
        <c:scaling>
          <c:orientation val="minMax"/>
        </c:scaling>
        <c:delete val="0"/>
        <c:axPos val="r"/>
        <c:title>
          <c:tx>
            <c:rich>
              <a:bodyPr/>
              <a:lstStyle/>
              <a:p>
                <a:pPr>
                  <a:defRPr/>
                </a:pPr>
                <a:r>
                  <a:rPr lang="en-AU"/>
                  <a:t>Kg</a:t>
                </a:r>
                <a:r>
                  <a:rPr lang="en-AU" baseline="0"/>
                  <a:t> per capita</a:t>
                </a:r>
                <a:endParaRPr lang="en-AU"/>
              </a:p>
            </c:rich>
          </c:tx>
          <c:layout>
            <c:manualLayout>
              <c:xMode val="edge"/>
              <c:yMode val="edge"/>
              <c:x val="0.9472043119762098"/>
              <c:y val="0.17422719298245615"/>
            </c:manualLayout>
          </c:layout>
          <c:overlay val="0"/>
        </c:title>
        <c:numFmt formatCode="#,##0" sourceLinked="1"/>
        <c:majorTickMark val="out"/>
        <c:minorTickMark val="none"/>
        <c:tickLblPos val="nextTo"/>
        <c:spPr>
          <a:ln>
            <a:noFill/>
          </a:ln>
        </c:spPr>
        <c:crossAx val="573573064"/>
        <c:crosses val="max"/>
        <c:crossBetween val="between"/>
        <c:majorUnit val="420"/>
      </c:valAx>
      <c:catAx>
        <c:axId val="573573064"/>
        <c:scaling>
          <c:orientation val="minMax"/>
        </c:scaling>
        <c:delete val="1"/>
        <c:axPos val="b"/>
        <c:majorTickMark val="out"/>
        <c:minorTickMark val="none"/>
        <c:tickLblPos val="nextTo"/>
        <c:crossAx val="573578640"/>
        <c:crosses val="autoZero"/>
        <c:auto val="1"/>
        <c:lblAlgn val="ctr"/>
        <c:lblOffset val="100"/>
        <c:noMultiLvlLbl val="0"/>
      </c:catAx>
    </c:plotArea>
    <c:legend>
      <c:legendPos val="t"/>
      <c:legendEntry>
        <c:idx val="3"/>
        <c:delete val="1"/>
      </c:legendEntry>
      <c:legendEntry>
        <c:idx val="4"/>
        <c:delete val="1"/>
      </c:legendEntry>
      <c:legendEntry>
        <c:idx val="5"/>
        <c:delete val="1"/>
      </c:legendEntry>
      <c:legendEntry>
        <c:idx val="6"/>
        <c:delete val="1"/>
      </c:legendEntry>
      <c:layout>
        <c:manualLayout>
          <c:xMode val="edge"/>
          <c:yMode val="edge"/>
          <c:x val="0.3239858585858586"/>
          <c:y val="1.5679012345679012E-2"/>
          <c:w val="0.43700656565656565"/>
          <c:h val="7.0880555555555558E-2"/>
        </c:manualLayout>
      </c:layout>
      <c:overlay val="0"/>
    </c:legend>
    <c:plotVisOnly val="1"/>
    <c:dispBlanksAs val="gap"/>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56689784713192"/>
          <c:y val="0.19789721752645442"/>
          <c:w val="0.71772648461205024"/>
          <c:h val="0.17567814277013022"/>
        </c:manualLayout>
      </c:layout>
      <c:barChart>
        <c:barDir val="col"/>
        <c:grouping val="stacked"/>
        <c:varyColors val="0"/>
        <c:ser>
          <c:idx val="0"/>
          <c:order val="0"/>
          <c:tx>
            <c:strRef>
              <c:f>'Trends and nat. data'!$C$40</c:f>
              <c:strCache>
                <c:ptCount val="1"/>
                <c:pt idx="0">
                  <c:v>Disposal</c:v>
                </c:pt>
              </c:strCache>
            </c:strRef>
          </c:tx>
          <c:spPr>
            <a:noFill/>
          </c:spPr>
          <c:invertIfNegative val="0"/>
          <c:cat>
            <c:strRef>
              <c:f>'Trends and nat. data'!$W$9:$AB$9</c:f>
              <c:strCache>
                <c:ptCount val="6"/>
                <c:pt idx="0">
                  <c:v>Mega-tonnes</c:v>
                </c:pt>
                <c:pt idx="1">
                  <c:v>Kg per capita</c:v>
                </c:pt>
                <c:pt idx="2">
                  <c:v>Mega-tonnes</c:v>
                </c:pt>
                <c:pt idx="3">
                  <c:v>Kg per capita</c:v>
                </c:pt>
                <c:pt idx="4">
                  <c:v>Mega-tonnes</c:v>
                </c:pt>
                <c:pt idx="5">
                  <c:v>Kg per capita</c:v>
                </c:pt>
              </c:strCache>
            </c:strRef>
          </c:cat>
          <c:val>
            <c:numRef>
              <c:f>('Trends and nat. data'!$H$46,'Trends and nat. data'!$P$40,'Trends and nat. data'!$I$46,'Trends and nat. data'!$Q$40,'Trends and nat. data'!$J$46,'Trends and nat. data'!$R$40)</c:f>
              <c:numCache>
                <c:formatCode>#,##0</c:formatCode>
                <c:ptCount val="6"/>
                <c:pt idx="0">
                  <c:v>26.789670052573729</c:v>
                </c:pt>
                <c:pt idx="1">
                  <c:v>1134.4726639145265</c:v>
                </c:pt>
                <c:pt idx="2">
                  <c:v>20.851354552573728</c:v>
                </c:pt>
                <c:pt idx="3">
                  <c:v>883.00048858615935</c:v>
                </c:pt>
                <c:pt idx="4">
                  <c:v>17.812443999407527</c:v>
                </c:pt>
                <c:pt idx="5">
                  <c:v>754.31055161109714</c:v>
                </c:pt>
              </c:numCache>
            </c:numRef>
          </c:val>
          <c:extLst>
            <c:ext xmlns:c16="http://schemas.microsoft.com/office/drawing/2014/chart" uri="{C3380CC4-5D6E-409C-BE32-E72D297353CC}">
              <c16:uniqueId val="{00000000-13BD-4F97-858B-488FA7473D79}"/>
            </c:ext>
          </c:extLst>
        </c:ser>
        <c:ser>
          <c:idx val="1"/>
          <c:order val="1"/>
          <c:tx>
            <c:strRef>
              <c:f>'Trends and nat. data'!$C$41</c:f>
              <c:strCache>
                <c:ptCount val="1"/>
                <c:pt idx="0">
                  <c:v>Recycling</c:v>
                </c:pt>
              </c:strCache>
            </c:strRef>
          </c:tx>
          <c:spPr>
            <a:noFill/>
          </c:spPr>
          <c:invertIfNegative val="0"/>
          <c:cat>
            <c:strRef>
              <c:f>'Trends and nat. data'!$W$9:$AB$9</c:f>
              <c:strCache>
                <c:ptCount val="6"/>
                <c:pt idx="0">
                  <c:v>Mega-tonnes</c:v>
                </c:pt>
                <c:pt idx="1">
                  <c:v>Kg per capita</c:v>
                </c:pt>
                <c:pt idx="2">
                  <c:v>Mega-tonnes</c:v>
                </c:pt>
                <c:pt idx="3">
                  <c:v>Kg per capita</c:v>
                </c:pt>
                <c:pt idx="4">
                  <c:v>Mega-tonnes</c:v>
                </c:pt>
                <c:pt idx="5">
                  <c:v>Kg per capita</c:v>
                </c:pt>
              </c:strCache>
            </c:strRef>
          </c:cat>
          <c:val>
            <c:numRef>
              <c:f>('Trends and nat. data'!$H$47,'Trends and nat. data'!$P$41,'Trends and nat. data'!$I$47,'Trends and nat. data'!$Q$41,'Trends and nat. data'!$J$47,'Trends and nat. data'!$R$41)</c:f>
              <c:numCache>
                <c:formatCode>#,##0</c:formatCode>
                <c:ptCount val="6"/>
                <c:pt idx="0">
                  <c:v>34.770604924866653</c:v>
                </c:pt>
                <c:pt idx="1">
                  <c:v>1472.4444428625336</c:v>
                </c:pt>
                <c:pt idx="2">
                  <c:v>29.855358424866658</c:v>
                </c:pt>
                <c:pt idx="3">
                  <c:v>1264.2965716976989</c:v>
                </c:pt>
                <c:pt idx="4">
                  <c:v>26.003038885589625</c:v>
                </c:pt>
                <c:pt idx="5">
                  <c:v>1101.1608853903667</c:v>
                </c:pt>
              </c:numCache>
            </c:numRef>
          </c:val>
          <c:extLst>
            <c:ext xmlns:c16="http://schemas.microsoft.com/office/drawing/2014/chart" uri="{C3380CC4-5D6E-409C-BE32-E72D297353CC}">
              <c16:uniqueId val="{00000001-13BD-4F97-858B-488FA7473D79}"/>
            </c:ext>
          </c:extLst>
        </c:ser>
        <c:ser>
          <c:idx val="2"/>
          <c:order val="2"/>
          <c:tx>
            <c:strRef>
              <c:f>'Trends and nat. data'!$C$42</c:f>
              <c:strCache>
                <c:ptCount val="1"/>
                <c:pt idx="0">
                  <c:v>Energy recovery</c:v>
                </c:pt>
              </c:strCache>
            </c:strRef>
          </c:tx>
          <c:spPr>
            <a:noFill/>
          </c:spPr>
          <c:invertIfNegative val="0"/>
          <c:cat>
            <c:strRef>
              <c:f>'Trends and nat. data'!$W$9:$AB$9</c:f>
              <c:strCache>
                <c:ptCount val="6"/>
                <c:pt idx="0">
                  <c:v>Mega-tonnes</c:v>
                </c:pt>
                <c:pt idx="1">
                  <c:v>Kg per capita</c:v>
                </c:pt>
                <c:pt idx="2">
                  <c:v>Mega-tonnes</c:v>
                </c:pt>
                <c:pt idx="3">
                  <c:v>Kg per capita</c:v>
                </c:pt>
                <c:pt idx="4">
                  <c:v>Mega-tonnes</c:v>
                </c:pt>
                <c:pt idx="5">
                  <c:v>Kg per capita</c:v>
                </c:pt>
              </c:strCache>
            </c:strRef>
          </c:cat>
          <c:val>
            <c:numRef>
              <c:f>('Trends and nat. data'!$H$48,'Trends and nat. data'!$P$42,'Trends and nat. data'!$I$48,'Trends and nat. data'!$Q$42,'Trends and nat. data'!$J$48,'Trends and nat. data'!$R$42)</c:f>
              <c:numCache>
                <c:formatCode>#,##0</c:formatCode>
                <c:ptCount val="6"/>
                <c:pt idx="0" formatCode="#,##0.0">
                  <c:v>2.3112814754915849</c:v>
                </c:pt>
                <c:pt idx="1">
                  <c:v>97.876743065946314</c:v>
                </c:pt>
                <c:pt idx="2" formatCode="#,##0.0">
                  <c:v>2.3112814754915849</c:v>
                </c:pt>
                <c:pt idx="3">
                  <c:v>97.876743065946314</c:v>
                </c:pt>
                <c:pt idx="4" formatCode="#,##0.0">
                  <c:v>2.3112814754915507</c:v>
                </c:pt>
                <c:pt idx="5">
                  <c:v>97.876743065944879</c:v>
                </c:pt>
              </c:numCache>
            </c:numRef>
          </c:val>
          <c:extLst>
            <c:ext xmlns:c16="http://schemas.microsoft.com/office/drawing/2014/chart" uri="{C3380CC4-5D6E-409C-BE32-E72D297353CC}">
              <c16:uniqueId val="{00000002-13BD-4F97-858B-488FA7473D79}"/>
            </c:ext>
          </c:extLst>
        </c:ser>
        <c:ser>
          <c:idx val="3"/>
          <c:order val="3"/>
          <c:tx>
            <c:strRef>
              <c:f>'Trends and nat. data'!$C$43</c:f>
              <c:strCache>
                <c:ptCount val="1"/>
                <c:pt idx="0">
                  <c:v>Generation</c:v>
                </c:pt>
              </c:strCache>
            </c:strRef>
          </c:tx>
          <c:spPr>
            <a:noFill/>
          </c:spPr>
          <c:invertIfNegative val="0"/>
          <c:cat>
            <c:strRef>
              <c:f>'Trends and nat. data'!$W$9:$AB$9</c:f>
              <c:strCache>
                <c:ptCount val="6"/>
                <c:pt idx="0">
                  <c:v>Mega-tonnes</c:v>
                </c:pt>
                <c:pt idx="1">
                  <c:v>Kg per capita</c:v>
                </c:pt>
                <c:pt idx="2">
                  <c:v>Mega-tonnes</c:v>
                </c:pt>
                <c:pt idx="3">
                  <c:v>Kg per capita</c:v>
                </c:pt>
                <c:pt idx="4">
                  <c:v>Mega-tonnes</c:v>
                </c:pt>
                <c:pt idx="5">
                  <c:v>Kg per capita</c:v>
                </c:pt>
              </c:strCache>
            </c:strRef>
          </c:cat>
          <c:val>
            <c:numRef>
              <c:f>('Trends and nat. data'!$H$50,'Trends and nat. data'!$P$43,'Trends and nat. data'!$I$50,'Trends and nat. data'!$Q$43,'Trends and nat. data'!$J$50,'Trends and nat. data'!$R$43)</c:f>
              <c:numCache>
                <c:formatCode>#,##0</c:formatCode>
                <c:ptCount val="6"/>
                <c:pt idx="0">
                  <c:v>63.871556452931969</c:v>
                </c:pt>
                <c:pt idx="1">
                  <c:v>2704.7938498430067</c:v>
                </c:pt>
                <c:pt idx="2">
                  <c:v>53.017994452931973</c:v>
                </c:pt>
                <c:pt idx="3">
                  <c:v>2245.1738033498045</c:v>
                </c:pt>
                <c:pt idx="4">
                  <c:v>46.1267643604887</c:v>
                </c:pt>
                <c:pt idx="5">
                  <c:v>1953.348180067409</c:v>
                </c:pt>
              </c:numCache>
            </c:numRef>
          </c:val>
          <c:extLst>
            <c:ext xmlns:c16="http://schemas.microsoft.com/office/drawing/2014/chart" uri="{C3380CC4-5D6E-409C-BE32-E72D297353CC}">
              <c16:uniqueId val="{00000003-13BD-4F97-858B-488FA7473D79}"/>
            </c:ext>
          </c:extLst>
        </c:ser>
        <c:dLbls>
          <c:showLegendKey val="0"/>
          <c:showVal val="0"/>
          <c:showCatName val="0"/>
          <c:showSerName val="0"/>
          <c:showPercent val="0"/>
          <c:showBubbleSize val="0"/>
        </c:dLbls>
        <c:gapWidth val="150"/>
        <c:overlap val="100"/>
        <c:axId val="220173440"/>
        <c:axId val="220174976"/>
      </c:barChart>
      <c:catAx>
        <c:axId val="220173440"/>
        <c:scaling>
          <c:orientation val="minMax"/>
        </c:scaling>
        <c:delete val="1"/>
        <c:axPos val="b"/>
        <c:numFmt formatCode="General" sourceLinked="0"/>
        <c:majorTickMark val="none"/>
        <c:minorTickMark val="none"/>
        <c:tickLblPos val="nextTo"/>
        <c:crossAx val="220174976"/>
        <c:crosses val="autoZero"/>
        <c:auto val="1"/>
        <c:lblAlgn val="ctr"/>
        <c:lblOffset val="100"/>
        <c:noMultiLvlLbl val="0"/>
      </c:catAx>
      <c:valAx>
        <c:axId val="220174976"/>
        <c:scaling>
          <c:orientation val="minMax"/>
          <c:max val="21000"/>
        </c:scaling>
        <c:delete val="1"/>
        <c:axPos val="l"/>
        <c:numFmt formatCode="#,##0" sourceLinked="0"/>
        <c:majorTickMark val="out"/>
        <c:minorTickMark val="none"/>
        <c:tickLblPos val="nextTo"/>
        <c:crossAx val="220173440"/>
        <c:crosses val="autoZero"/>
        <c:crossBetween val="between"/>
        <c:majorUnit val="3000"/>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799" l="0.70000000000000062" r="0.70000000000000062" t="0.75000000000000799"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26654589371983"/>
          <c:y val="8.8649206349206353E-2"/>
          <c:w val="0.84498345410628017"/>
          <c:h val="0.4635347222222222"/>
        </c:manualLayout>
      </c:layout>
      <c:barChart>
        <c:barDir val="col"/>
        <c:grouping val="stacked"/>
        <c:varyColors val="0"/>
        <c:ser>
          <c:idx val="0"/>
          <c:order val="0"/>
          <c:tx>
            <c:strRef>
              <c:f>'Trends and nat. data'!$C$40</c:f>
              <c:strCache>
                <c:ptCount val="1"/>
                <c:pt idx="0">
                  <c:v>Disposal</c:v>
                </c:pt>
              </c:strCache>
            </c:strRef>
          </c:tx>
          <c:spPr>
            <a:solidFill>
              <a:schemeClr val="accent3">
                <a:lumMod val="50000"/>
              </a:schemeClr>
            </a:solidFill>
          </c:spPr>
          <c:invertIfNegative val="0"/>
          <c:cat>
            <c:strRef>
              <c:f>('Trends and nat. data'!$B$8,'Trends and nat. data'!$B$12,'Trends and nat. data'!$B$16,'Trends and nat. data'!$B$20,'Trends and nat. data'!$B$24,'Trends and nat. data'!$B$28,'Trends and nat. data'!$B$32,'Trends and nat. data'!$B$36)</c:f>
              <c:strCache>
                <c:ptCount val="8"/>
                <c:pt idx="0">
                  <c:v>ACT</c:v>
                </c:pt>
                <c:pt idx="1">
                  <c:v>NSW</c:v>
                </c:pt>
                <c:pt idx="2">
                  <c:v>NT</c:v>
                </c:pt>
                <c:pt idx="3">
                  <c:v>Qld</c:v>
                </c:pt>
                <c:pt idx="4">
                  <c:v>SA</c:v>
                </c:pt>
                <c:pt idx="5">
                  <c:v>Tas</c:v>
                </c:pt>
                <c:pt idx="6">
                  <c:v>Vic</c:v>
                </c:pt>
                <c:pt idx="7">
                  <c:v>WA</c:v>
                </c:pt>
              </c:strCache>
            </c:strRef>
          </c:cat>
          <c:val>
            <c:numRef>
              <c:f>('Trends and nat. data'!$L$78,'Trends and nat. data'!$L$83,'Trends and nat. data'!$L$130,'Trends and nat. data'!$L$88,'Trends and nat. data'!$L$93,'Trends and nat. data'!$L$140,'Trends and nat. data'!$L$98,'Trends and nat. data'!$L$145,'Trends and nat. data'!$L$103,'Trends and nat. data'!$L$108,'Trends and nat. data'!$L$155,'Trends and nat. data'!$L$113,'Trends and nat. data'!$L$160)</c:f>
              <c:numCache>
                <c:formatCode>#,##0.00</c:formatCode>
                <c:ptCount val="13"/>
                <c:pt idx="0">
                  <c:v>0.19052274053777465</c:v>
                </c:pt>
                <c:pt idx="1">
                  <c:v>6.6814926101128975</c:v>
                </c:pt>
                <c:pt idx="2">
                  <c:v>5.8800805163634164</c:v>
                </c:pt>
                <c:pt idx="3">
                  <c:v>0.36759793527423562</c:v>
                </c:pt>
                <c:pt idx="4">
                  <c:v>9.7978713923763188</c:v>
                </c:pt>
                <c:pt idx="5">
                  <c:v>5.4658523923763189</c:v>
                </c:pt>
                <c:pt idx="6">
                  <c:v>0.96778534280928685</c:v>
                </c:pt>
                <c:pt idx="7">
                  <c:v>0.96778534280928685</c:v>
                </c:pt>
                <c:pt idx="8">
                  <c:v>0.46992197236926575</c:v>
                </c:pt>
                <c:pt idx="9">
                  <c:v>4.6595813257351466</c:v>
                </c:pt>
                <c:pt idx="10">
                  <c:v>4.0143936715423081</c:v>
                </c:pt>
                <c:pt idx="11">
                  <c:v>3.6548967333588034</c:v>
                </c:pt>
                <c:pt idx="12">
                  <c:v>3.4951999813011225</c:v>
                </c:pt>
              </c:numCache>
            </c:numRef>
          </c:val>
          <c:extLst>
            <c:ext xmlns:c16="http://schemas.microsoft.com/office/drawing/2014/chart" uri="{C3380CC4-5D6E-409C-BE32-E72D297353CC}">
              <c16:uniqueId val="{00000000-7AC4-4A76-B96D-BB4A51F0E2E2}"/>
            </c:ext>
          </c:extLst>
        </c:ser>
        <c:ser>
          <c:idx val="1"/>
          <c:order val="1"/>
          <c:tx>
            <c:strRef>
              <c:f>'Trends and nat. data'!$C$41</c:f>
              <c:strCache>
                <c:ptCount val="1"/>
                <c:pt idx="0">
                  <c:v>Recycling</c:v>
                </c:pt>
              </c:strCache>
            </c:strRef>
          </c:tx>
          <c:spPr>
            <a:solidFill>
              <a:srgbClr val="FFFF00"/>
            </a:solidFill>
          </c:spPr>
          <c:invertIfNegative val="0"/>
          <c:cat>
            <c:strRef>
              <c:f>('Trends and nat. data'!$B$8,'Trends and nat. data'!$B$12,'Trends and nat. data'!$B$16,'Trends and nat. data'!$B$20,'Trends and nat. data'!$B$24,'Trends and nat. data'!$B$28,'Trends and nat. data'!$B$32,'Trends and nat. data'!$B$36)</c:f>
              <c:strCache>
                <c:ptCount val="8"/>
                <c:pt idx="0">
                  <c:v>ACT</c:v>
                </c:pt>
                <c:pt idx="1">
                  <c:v>NSW</c:v>
                </c:pt>
                <c:pt idx="2">
                  <c:v>NT</c:v>
                </c:pt>
                <c:pt idx="3">
                  <c:v>Qld</c:v>
                </c:pt>
                <c:pt idx="4">
                  <c:v>SA</c:v>
                </c:pt>
                <c:pt idx="5">
                  <c:v>Tas</c:v>
                </c:pt>
                <c:pt idx="6">
                  <c:v>Vic</c:v>
                </c:pt>
                <c:pt idx="7">
                  <c:v>WA</c:v>
                </c:pt>
              </c:strCache>
            </c:strRef>
          </c:cat>
          <c:val>
            <c:numRef>
              <c:f>('Trends and nat. data'!$L$79,'Trends and nat. data'!$L$84,'Trends and nat. data'!$L$131,'Trends and nat. data'!$L$89,'Trends and nat. data'!$L$94,'Trends and nat. data'!$L$141,'Trends and nat. data'!$L$99,'Trends and nat. data'!$L$146,'Trends and nat. data'!$L$104,'Trends and nat. data'!$L$109,'Trends and nat. data'!$L$156,'Trends and nat. data'!$L$114,'Trends and nat. data'!$L$161)</c:f>
              <c:numCache>
                <c:formatCode>#,##0.00</c:formatCode>
                <c:ptCount val="13"/>
                <c:pt idx="0">
                  <c:v>0.54713059214797033</c:v>
                </c:pt>
                <c:pt idx="1">
                  <c:v>11.458928298233735</c:v>
                </c:pt>
                <c:pt idx="2">
                  <c:v>9.520315802925877</c:v>
                </c:pt>
                <c:pt idx="3">
                  <c:v>0.1288763836096127</c:v>
                </c:pt>
                <c:pt idx="4">
                  <c:v>5.5250203412112686</c:v>
                </c:pt>
                <c:pt idx="5">
                  <c:v>4.6413983412112687</c:v>
                </c:pt>
                <c:pt idx="6">
                  <c:v>3.3042971812369095</c:v>
                </c:pt>
                <c:pt idx="7">
                  <c:v>3.1582971812369096</c:v>
                </c:pt>
                <c:pt idx="8">
                  <c:v>0.42346602621456086</c:v>
                </c:pt>
                <c:pt idx="9">
                  <c:v>9.9722115287901332</c:v>
                </c:pt>
                <c:pt idx="10">
                  <c:v>8.4115052978861762</c:v>
                </c:pt>
                <c:pt idx="11">
                  <c:v>3.4106745734224613</c:v>
                </c:pt>
                <c:pt idx="12">
                  <c:v>3.0243687996342783</c:v>
                </c:pt>
              </c:numCache>
            </c:numRef>
          </c:val>
          <c:extLst>
            <c:ext xmlns:c16="http://schemas.microsoft.com/office/drawing/2014/chart" uri="{C3380CC4-5D6E-409C-BE32-E72D297353CC}">
              <c16:uniqueId val="{00000001-7AC4-4A76-B96D-BB4A51F0E2E2}"/>
            </c:ext>
          </c:extLst>
        </c:ser>
        <c:ser>
          <c:idx val="2"/>
          <c:order val="2"/>
          <c:tx>
            <c:strRef>
              <c:f>'Trends and nat. data'!$C$42</c:f>
              <c:strCache>
                <c:ptCount val="1"/>
                <c:pt idx="0">
                  <c:v>Energy recovery</c:v>
                </c:pt>
              </c:strCache>
            </c:strRef>
          </c:tx>
          <c:spPr>
            <a:solidFill>
              <a:schemeClr val="accent6">
                <a:lumMod val="75000"/>
              </a:schemeClr>
            </a:solidFill>
          </c:spPr>
          <c:invertIfNegative val="0"/>
          <c:cat>
            <c:strRef>
              <c:f>('Trends and nat. data'!$B$8,'Trends and nat. data'!$B$12,'Trends and nat. data'!$B$16,'Trends and nat. data'!$B$20,'Trends and nat. data'!$B$24,'Trends and nat. data'!$B$28,'Trends and nat. data'!$B$32,'Trends and nat. data'!$B$36)</c:f>
              <c:strCache>
                <c:ptCount val="8"/>
                <c:pt idx="0">
                  <c:v>ACT</c:v>
                </c:pt>
                <c:pt idx="1">
                  <c:v>NSW</c:v>
                </c:pt>
                <c:pt idx="2">
                  <c:v>NT</c:v>
                </c:pt>
                <c:pt idx="3">
                  <c:v>Qld</c:v>
                </c:pt>
                <c:pt idx="4">
                  <c:v>SA</c:v>
                </c:pt>
                <c:pt idx="5">
                  <c:v>Tas</c:v>
                </c:pt>
                <c:pt idx="6">
                  <c:v>Vic</c:v>
                </c:pt>
                <c:pt idx="7">
                  <c:v>WA</c:v>
                </c:pt>
              </c:strCache>
            </c:strRef>
          </c:cat>
          <c:val>
            <c:numRef>
              <c:f>('Trends and nat. data'!$L$80,'Trends and nat. data'!$L$85,'Trends and nat. data'!$L$132,'Trends and nat. data'!$L$90,'Trends and nat. data'!$L$95,'Trends and nat. data'!$L$142,'Trends and nat. data'!$L$100,'Trends and nat. data'!$L$147,'Trends and nat. data'!$L$105,'Trends and nat. data'!$L$110,'Trends and nat. data'!$L$157,'Trends and nat. data'!$L$115,'Trends and nat. data'!$L$162)</c:f>
              <c:numCache>
                <c:formatCode>#,##0.00</c:formatCode>
                <c:ptCount val="13"/>
                <c:pt idx="0">
                  <c:v>3.7002985953945175E-2</c:v>
                </c:pt>
                <c:pt idx="1">
                  <c:v>0.82076066229394617</c:v>
                </c:pt>
                <c:pt idx="2">
                  <c:v>0.82076066229394617</c:v>
                </c:pt>
                <c:pt idx="3">
                  <c:v>1.4043853522580496E-2</c:v>
                </c:pt>
                <c:pt idx="4">
                  <c:v>0.38985952475065444</c:v>
                </c:pt>
                <c:pt idx="5">
                  <c:v>0.38985952475065444</c:v>
                </c:pt>
                <c:pt idx="6">
                  <c:v>0.14942237642766357</c:v>
                </c:pt>
                <c:pt idx="7">
                  <c:v>0.14942237642766357</c:v>
                </c:pt>
                <c:pt idx="8">
                  <c:v>5.3225150797666647E-2</c:v>
                </c:pt>
                <c:pt idx="9">
                  <c:v>0.61748131164311604</c:v>
                </c:pt>
                <c:pt idx="10">
                  <c:v>0.61748131164311604</c:v>
                </c:pt>
                <c:pt idx="11">
                  <c:v>0.22948561010201246</c:v>
                </c:pt>
                <c:pt idx="12">
                  <c:v>0.22948561010201246</c:v>
                </c:pt>
              </c:numCache>
            </c:numRef>
          </c:val>
          <c:extLst>
            <c:ext xmlns:c16="http://schemas.microsoft.com/office/drawing/2014/chart" uri="{C3380CC4-5D6E-409C-BE32-E72D297353CC}">
              <c16:uniqueId val="{00000002-7AC4-4A76-B96D-BB4A51F0E2E2}"/>
            </c:ext>
          </c:extLst>
        </c:ser>
        <c:ser>
          <c:idx val="3"/>
          <c:order val="3"/>
          <c:tx>
            <c:strRef>
              <c:f>'Trends and nat. data'!$C$44</c:f>
              <c:strCache>
                <c:ptCount val="1"/>
                <c:pt idx="0">
                  <c:v>Recovery rate</c:v>
                </c:pt>
              </c:strCache>
            </c:strRef>
          </c:tx>
          <c:spPr>
            <a:noFill/>
            <a:ln>
              <a:noFill/>
            </a:ln>
          </c:spPr>
          <c:invertIfNegative val="0"/>
          <c:dLbls>
            <c:dLbl>
              <c:idx val="0"/>
              <c:layout>
                <c:manualLayout>
                  <c:x val="0"/>
                  <c:y val="-6.49980158730158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6D-4BFA-BC36-6B1F69C3A2C0}"/>
                </c:ext>
              </c:extLst>
            </c:dLbl>
            <c:dLbl>
              <c:idx val="1"/>
              <c:layout>
                <c:manualLayout>
                  <c:x val="-2.8119642953365897E-17"/>
                  <c:y val="-1.6060317460317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C4-4A76-B96D-BB4A51F0E2E2}"/>
                </c:ext>
              </c:extLst>
            </c:dLbl>
            <c:dLbl>
              <c:idx val="2"/>
              <c:layout>
                <c:manualLayout>
                  <c:x val="0"/>
                  <c:y val="-5.64920634920634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C4-4A76-B96D-BB4A51F0E2E2}"/>
                </c:ext>
              </c:extLst>
            </c:dLbl>
            <c:dLbl>
              <c:idx val="3"/>
              <c:layout>
                <c:manualLayout>
                  <c:x val="-5.6239285906731795E-17"/>
                  <c:y val="-8.072301587301587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6D-4BFA-BC36-6B1F69C3A2C0}"/>
                </c:ext>
              </c:extLst>
            </c:dLbl>
            <c:dLbl>
              <c:idx val="4"/>
              <c:layout>
                <c:manualLayout>
                  <c:x val="0"/>
                  <c:y val="-1.90404761904761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6D-4BFA-BC36-6B1F69C3A2C0}"/>
                </c:ext>
              </c:extLst>
            </c:dLbl>
            <c:dLbl>
              <c:idx val="5"/>
              <c:layout>
                <c:manualLayout>
                  <c:x val="0"/>
                  <c:y val="-5.318293650793655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C4-4A76-B96D-BB4A51F0E2E2}"/>
                </c:ext>
              </c:extLst>
            </c:dLbl>
            <c:dLbl>
              <c:idx val="6"/>
              <c:layout>
                <c:manualLayout>
                  <c:x val="-1.5338164251207729E-3"/>
                  <c:y val="-6.00206349206349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C4-4A76-B96D-BB4A51F0E2E2}"/>
                </c:ext>
              </c:extLst>
            </c:dLbl>
            <c:dLbl>
              <c:idx val="7"/>
              <c:layout>
                <c:manualLayout>
                  <c:x val="0"/>
                  <c:y val="-6.01095238095238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AC4-4A76-B96D-BB4A51F0E2E2}"/>
                </c:ext>
              </c:extLst>
            </c:dLbl>
            <c:dLbl>
              <c:idx val="8"/>
              <c:layout>
                <c:manualLayout>
                  <c:x val="0"/>
                  <c:y val="-6.3311111111111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6D-4BFA-BC36-6B1F69C3A2C0}"/>
                </c:ext>
              </c:extLst>
            </c:dLbl>
            <c:dLbl>
              <c:idx val="9"/>
              <c:layout>
                <c:manualLayout>
                  <c:x val="-1.1247857181346359E-16"/>
                  <c:y val="-2.56103174603174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6D-4BFA-BC36-6B1F69C3A2C0}"/>
                </c:ext>
              </c:extLst>
            </c:dLbl>
            <c:dLbl>
              <c:idx val="10"/>
              <c:layout>
                <c:manualLayout>
                  <c:x val="0"/>
                  <c:y val="-6.09123015873016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EF-40CD-9023-0CE7C4D31016}"/>
                </c:ext>
              </c:extLst>
            </c:dLbl>
            <c:dLbl>
              <c:idx val="11"/>
              <c:layout>
                <c:manualLayout>
                  <c:x val="0"/>
                  <c:y val="-6.30452380952380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EF-40CD-9023-0CE7C4D31016}"/>
                </c:ext>
              </c:extLst>
            </c:dLbl>
            <c:dLbl>
              <c:idx val="12"/>
              <c:layout>
                <c:manualLayout>
                  <c:x val="0"/>
                  <c:y val="-2.29138888888889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EF-40CD-9023-0CE7C4D31016}"/>
                </c:ext>
              </c:extLst>
            </c:dLbl>
            <c:numFmt formatCode="0%" sourceLinked="0"/>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('Trends and nat. data'!$B$8,'Trends and nat. data'!$B$12,'Trends and nat. data'!$B$16,'Trends and nat. data'!$B$20,'Trends and nat. data'!$B$24,'Trends and nat. data'!$B$28,'Trends and nat. data'!$B$32,'Trends and nat. data'!$B$36)</c:f>
              <c:strCache>
                <c:ptCount val="8"/>
                <c:pt idx="0">
                  <c:v>ACT</c:v>
                </c:pt>
                <c:pt idx="1">
                  <c:v>NSW</c:v>
                </c:pt>
                <c:pt idx="2">
                  <c:v>NT</c:v>
                </c:pt>
                <c:pt idx="3">
                  <c:v>Qld</c:v>
                </c:pt>
                <c:pt idx="4">
                  <c:v>SA</c:v>
                </c:pt>
                <c:pt idx="5">
                  <c:v>Tas</c:v>
                </c:pt>
                <c:pt idx="6">
                  <c:v>Vic</c:v>
                </c:pt>
                <c:pt idx="7">
                  <c:v>WA</c:v>
                </c:pt>
              </c:strCache>
            </c:strRef>
          </c:cat>
          <c:val>
            <c:numRef>
              <c:f>('Trends and nat. data'!$H$11,'Trends and nat. data'!$H$15,'Trends and nat. data'!$I$15,'Trends and nat. data'!$H$19,'Trends and nat. data'!$H$23,'Trends and nat. data'!$I$23,'Trends and nat. data'!$H$27,'Trends and nat. data'!$I$27,'Trends and nat. data'!$H$31,'Trends and nat. data'!$H$35,'Trends and nat. data'!$I$35,'Trends and nat. data'!$H$39,'Trends and nat. data'!$I$39)</c:f>
              <c:numCache>
                <c:formatCode>0%</c:formatCode>
                <c:ptCount val="13"/>
                <c:pt idx="0">
                  <c:v>0.75405513909402322</c:v>
                </c:pt>
                <c:pt idx="1">
                  <c:v>0.64762256058670442</c:v>
                </c:pt>
                <c:pt idx="2">
                  <c:v>0.63750547984712858</c:v>
                </c:pt>
                <c:pt idx="3">
                  <c:v>0.27995132172966586</c:v>
                </c:pt>
                <c:pt idx="4">
                  <c:v>0.37643820415110879</c:v>
                </c:pt>
                <c:pt idx="5">
                  <c:v>0.47929932544677328</c:v>
                </c:pt>
                <c:pt idx="6">
                  <c:v>0.78111856379361522</c:v>
                </c:pt>
                <c:pt idx="7">
                  <c:v>0.77364419750705327</c:v>
                </c:pt>
                <c:pt idx="8">
                  <c:v>0.50357548627302751</c:v>
                </c:pt>
                <c:pt idx="9">
                  <c:v>0.6944391401872253</c:v>
                </c:pt>
                <c:pt idx="10">
                  <c:v>0.69222750659444099</c:v>
                </c:pt>
                <c:pt idx="11">
                  <c:v>0.49898996334077778</c:v>
                </c:pt>
                <c:pt idx="12">
                  <c:v>0.4821200454477495</c:v>
                </c:pt>
              </c:numCache>
            </c:numRef>
          </c:val>
          <c:extLst>
            <c:ext xmlns:c16="http://schemas.microsoft.com/office/drawing/2014/chart" uri="{C3380CC4-5D6E-409C-BE32-E72D297353CC}">
              <c16:uniqueId val="{00000005-7AC4-4A76-B96D-BB4A51F0E2E2}"/>
            </c:ext>
          </c:extLst>
        </c:ser>
        <c:dLbls>
          <c:showLegendKey val="0"/>
          <c:showVal val="0"/>
          <c:showCatName val="0"/>
          <c:showSerName val="0"/>
          <c:showPercent val="0"/>
          <c:showBubbleSize val="0"/>
        </c:dLbls>
        <c:gapWidth val="150"/>
        <c:overlap val="100"/>
        <c:axId val="220173440"/>
        <c:axId val="220174976"/>
      </c:barChart>
      <c:catAx>
        <c:axId val="220173440"/>
        <c:scaling>
          <c:orientation val="minMax"/>
        </c:scaling>
        <c:delete val="0"/>
        <c:axPos val="b"/>
        <c:numFmt formatCode="General" sourceLinked="0"/>
        <c:majorTickMark val="none"/>
        <c:minorTickMark val="none"/>
        <c:tickLblPos val="nextTo"/>
        <c:spPr>
          <a:ln>
            <a:noFill/>
          </a:ln>
        </c:spPr>
        <c:txPr>
          <a:bodyPr/>
          <a:lstStyle/>
          <a:p>
            <a:pPr>
              <a:defRPr>
                <a:solidFill>
                  <a:schemeClr val="bg1"/>
                </a:solidFill>
              </a:defRPr>
            </a:pPr>
            <a:endParaRPr lang="en-US"/>
          </a:p>
        </c:txPr>
        <c:crossAx val="220174976"/>
        <c:crosses val="autoZero"/>
        <c:auto val="1"/>
        <c:lblAlgn val="ctr"/>
        <c:lblOffset val="50"/>
        <c:noMultiLvlLbl val="0"/>
      </c:catAx>
      <c:valAx>
        <c:axId val="220174976"/>
        <c:scaling>
          <c:orientation val="minMax"/>
        </c:scaling>
        <c:delete val="0"/>
        <c:axPos val="l"/>
        <c:majorGridlines>
          <c:spPr>
            <a:ln w="2540"/>
          </c:spPr>
        </c:majorGridlines>
        <c:title>
          <c:tx>
            <c:rich>
              <a:bodyPr/>
              <a:lstStyle/>
              <a:p>
                <a:pPr>
                  <a:defRPr/>
                </a:pPr>
                <a:r>
                  <a:rPr lang="en-AU"/>
                  <a:t>Megatonnes</a:t>
                </a:r>
              </a:p>
            </c:rich>
          </c:tx>
          <c:layout>
            <c:manualLayout>
              <c:xMode val="edge"/>
              <c:yMode val="edge"/>
              <c:x val="6.7002053140096621E-2"/>
              <c:y val="0.18260912698412696"/>
            </c:manualLayout>
          </c:layout>
          <c:overlay val="0"/>
        </c:title>
        <c:numFmt formatCode="#,##0" sourceLinked="0"/>
        <c:majorTickMark val="out"/>
        <c:minorTickMark val="none"/>
        <c:tickLblPos val="nextTo"/>
        <c:spPr>
          <a:ln>
            <a:noFill/>
          </a:ln>
        </c:spPr>
        <c:crossAx val="220173440"/>
        <c:crosses val="autoZero"/>
        <c:crossBetween val="between"/>
        <c:majorUnit val="3"/>
      </c:valAx>
    </c:plotArea>
    <c:legend>
      <c:legendPos val="t"/>
      <c:legendEntry>
        <c:idx val="3"/>
        <c:delete val="1"/>
      </c:legendEntry>
      <c:layout>
        <c:manualLayout>
          <c:xMode val="edge"/>
          <c:yMode val="edge"/>
          <c:x val="0.68224818840579726"/>
          <c:y val="8.1194444444444448E-3"/>
          <c:w val="0.30203067632850239"/>
          <c:h val="7.0880555555555558E-2"/>
        </c:manualLayout>
      </c:layout>
      <c:overlay val="0"/>
    </c:legend>
    <c:plotVisOnly val="1"/>
    <c:dispBlanksAs val="gap"/>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78864734299516"/>
          <c:y val="8.6463492063492062E-2"/>
          <c:w val="0.84498345410628017"/>
          <c:h val="0.4881361111111111"/>
        </c:manualLayout>
      </c:layout>
      <c:barChart>
        <c:barDir val="col"/>
        <c:grouping val="stacked"/>
        <c:varyColors val="0"/>
        <c:ser>
          <c:idx val="0"/>
          <c:order val="0"/>
          <c:tx>
            <c:strRef>
              <c:f>'Trends and nat. data'!$C$40</c:f>
              <c:strCache>
                <c:ptCount val="1"/>
                <c:pt idx="0">
                  <c:v>Disposal</c:v>
                </c:pt>
              </c:strCache>
            </c:strRef>
          </c:tx>
          <c:spPr>
            <a:solidFill>
              <a:schemeClr val="accent3">
                <a:lumMod val="50000"/>
              </a:schemeClr>
            </a:solidFill>
          </c:spPr>
          <c:invertIfNegative val="0"/>
          <c:cat>
            <c:strRef>
              <c:f>('Trends and nat. data'!$B$8,'Trends and nat. data'!$B$9,'Trends and nat. data'!$B$12,'Trends and nat. data'!$B$13,'Trends and nat. data'!$B$16,'Trends and nat. data'!$B$17,'Trends and nat. data'!$B$20,'Trends and nat. data'!$B$21,'Trends and nat. data'!$B$24,'Trends and nat. data'!$B$25,'Trends and nat. data'!$B$28,'Trends and nat. data'!$B$29,'Trends and nat. data'!$B$32,'Trends and nat. data'!$B$33,'Trends and nat. data'!$B$36,'Trends and nat. data'!$B$37)</c:f>
              <c:strCache>
                <c:ptCount val="15"/>
                <c:pt idx="0">
                  <c:v>ACT</c:v>
                </c:pt>
                <c:pt idx="2">
                  <c:v>NSW</c:v>
                </c:pt>
                <c:pt idx="4">
                  <c:v>NT</c:v>
                </c:pt>
                <c:pt idx="6">
                  <c:v>Qld</c:v>
                </c:pt>
                <c:pt idx="8">
                  <c:v>SA</c:v>
                </c:pt>
                <c:pt idx="10">
                  <c:v>Tas</c:v>
                </c:pt>
                <c:pt idx="12">
                  <c:v>Vic</c:v>
                </c:pt>
                <c:pt idx="14">
                  <c:v>WA</c:v>
                </c:pt>
              </c:strCache>
            </c:strRef>
          </c:cat>
          <c:val>
            <c:numRef>
              <c:f>('Trends and nat. data'!$P$8,'Trends and nat. data'!$P$12,'Trends and nat. data'!$Q$12,'Trends and nat. data'!$P$16,'Trends and nat. data'!$P$20,'Trends and nat. data'!$Q$20,'Trends and nat. data'!$P$24,'Trends and nat. data'!$Q$24,'Trends and nat. data'!$P$28,'Trends and nat. data'!$P$32,'Trends and nat. data'!$Q$32,'Trends and nat. data'!$P$36,'Trends and nat. data'!$Q$36)</c:f>
              <c:numCache>
                <c:formatCode>#,##0</c:formatCode>
                <c:ptCount val="13"/>
                <c:pt idx="0">
                  <c:v>491.36472328964794</c:v>
                </c:pt>
                <c:pt idx="1">
                  <c:v>883.25485094873136</c:v>
                </c:pt>
                <c:pt idx="2">
                  <c:v>777.31278669473102</c:v>
                </c:pt>
                <c:pt idx="3">
                  <c:v>1511.5606057552936</c:v>
                </c:pt>
                <c:pt idx="4">
                  <c:v>2063.1193502997157</c:v>
                </c:pt>
                <c:pt idx="5">
                  <c:v>1150.9342575539351</c:v>
                </c:pt>
                <c:pt idx="6">
                  <c:v>572.11071308567114</c:v>
                </c:pt>
                <c:pt idx="7">
                  <c:v>572.11071308567114</c:v>
                </c:pt>
                <c:pt idx="8">
                  <c:v>911.9492413442922</c:v>
                </c:pt>
                <c:pt idx="9">
                  <c:v>791.5633720801294</c:v>
                </c:pt>
                <c:pt idx="10">
                  <c:v>681.95976620320516</c:v>
                </c:pt>
                <c:pt idx="11">
                  <c:v>1420.5253773472089</c:v>
                </c:pt>
                <c:pt idx="12">
                  <c:v>1358.4570603665029</c:v>
                </c:pt>
              </c:numCache>
            </c:numRef>
          </c:val>
          <c:extLst>
            <c:ext xmlns:c16="http://schemas.microsoft.com/office/drawing/2014/chart" uri="{C3380CC4-5D6E-409C-BE32-E72D297353CC}">
              <c16:uniqueId val="{00000000-9B6F-409A-8C16-75E5E5903701}"/>
            </c:ext>
          </c:extLst>
        </c:ser>
        <c:ser>
          <c:idx val="1"/>
          <c:order val="1"/>
          <c:tx>
            <c:strRef>
              <c:f>'Trends and nat. data'!$C$41</c:f>
              <c:strCache>
                <c:ptCount val="1"/>
                <c:pt idx="0">
                  <c:v>Recycling</c:v>
                </c:pt>
              </c:strCache>
            </c:strRef>
          </c:tx>
          <c:spPr>
            <a:solidFill>
              <a:srgbClr val="FFFF00"/>
            </a:solidFill>
          </c:spPr>
          <c:invertIfNegative val="0"/>
          <c:cat>
            <c:strRef>
              <c:f>('Trends and nat. data'!$B$8,'Trends and nat. data'!$B$9,'Trends and nat. data'!$B$12,'Trends and nat. data'!$B$13,'Trends and nat. data'!$B$16,'Trends and nat. data'!$B$17,'Trends and nat. data'!$B$20,'Trends and nat. data'!$B$21,'Trends and nat. data'!$B$24,'Trends and nat. data'!$B$25,'Trends and nat. data'!$B$28,'Trends and nat. data'!$B$29,'Trends and nat. data'!$B$32,'Trends and nat. data'!$B$33,'Trends and nat. data'!$B$36,'Trends and nat. data'!$B$37)</c:f>
              <c:strCache>
                <c:ptCount val="15"/>
                <c:pt idx="0">
                  <c:v>ACT</c:v>
                </c:pt>
                <c:pt idx="2">
                  <c:v>NSW</c:v>
                </c:pt>
                <c:pt idx="4">
                  <c:v>NT</c:v>
                </c:pt>
                <c:pt idx="6">
                  <c:v>Qld</c:v>
                </c:pt>
                <c:pt idx="8">
                  <c:v>SA</c:v>
                </c:pt>
                <c:pt idx="10">
                  <c:v>Tas</c:v>
                </c:pt>
                <c:pt idx="12">
                  <c:v>Vic</c:v>
                </c:pt>
                <c:pt idx="14">
                  <c:v>WA</c:v>
                </c:pt>
              </c:strCache>
            </c:strRef>
          </c:cat>
          <c:val>
            <c:numRef>
              <c:f>('Trends and nat. data'!$P$9,'Trends and nat. data'!$P$13,'Trends and nat. data'!$Q$13,'Trends and nat. data'!$P$17,'Trends and nat. data'!$P$21,'Trends and nat. data'!$Q$21,'Trends and nat. data'!$P$25,'Trends and nat. data'!$Q$25,'Trends and nat. data'!$P$29,'Trends and nat. data'!$P$33,'Trends and nat. data'!$Q$33,'Trends and nat. data'!$P$37,'Trends and nat. data'!$Q$37)</c:f>
              <c:numCache>
                <c:formatCode>#,##0</c:formatCode>
                <c:ptCount val="13"/>
                <c:pt idx="0">
                  <c:v>1411.0686800706922</c:v>
                </c:pt>
                <c:pt idx="1">
                  <c:v>1514.8043403908846</c:v>
                </c:pt>
                <c:pt idx="2">
                  <c:v>1258.5309310633304</c:v>
                </c:pt>
                <c:pt idx="3">
                  <c:v>529.93895172770658</c:v>
                </c:pt>
                <c:pt idx="4">
                  <c:v>1163.3931412512566</c:v>
                </c:pt>
                <c:pt idx="5">
                  <c:v>977.33051871377177</c:v>
                </c:pt>
                <c:pt idx="6">
                  <c:v>1953.350327787462</c:v>
                </c:pt>
                <c:pt idx="7">
                  <c:v>1867.0417628447005</c:v>
                </c:pt>
                <c:pt idx="8">
                  <c:v>821.79498735588015</c:v>
                </c:pt>
                <c:pt idx="9">
                  <c:v>1694.0658039872442</c:v>
                </c:pt>
                <c:pt idx="10">
                  <c:v>1428.9351408228033</c:v>
                </c:pt>
                <c:pt idx="11">
                  <c:v>1325.605109769278</c:v>
                </c:pt>
                <c:pt idx="12">
                  <c:v>1175.4621111796673</c:v>
                </c:pt>
              </c:numCache>
            </c:numRef>
          </c:val>
          <c:extLst>
            <c:ext xmlns:c16="http://schemas.microsoft.com/office/drawing/2014/chart" uri="{C3380CC4-5D6E-409C-BE32-E72D297353CC}">
              <c16:uniqueId val="{00000001-9B6F-409A-8C16-75E5E5903701}"/>
            </c:ext>
          </c:extLst>
        </c:ser>
        <c:ser>
          <c:idx val="2"/>
          <c:order val="2"/>
          <c:tx>
            <c:strRef>
              <c:f>'Trends and nat. data'!$C$42</c:f>
              <c:strCache>
                <c:ptCount val="1"/>
                <c:pt idx="0">
                  <c:v>Energy recovery</c:v>
                </c:pt>
              </c:strCache>
            </c:strRef>
          </c:tx>
          <c:spPr>
            <a:solidFill>
              <a:schemeClr val="accent6">
                <a:lumMod val="75000"/>
              </a:schemeClr>
            </a:solidFill>
          </c:spPr>
          <c:invertIfNegative val="0"/>
          <c:cat>
            <c:strRef>
              <c:f>('Trends and nat. data'!$B$8,'Trends and nat. data'!$B$9,'Trends and nat. data'!$B$12,'Trends and nat. data'!$B$13,'Trends and nat. data'!$B$16,'Trends and nat. data'!$B$17,'Trends and nat. data'!$B$20,'Trends and nat. data'!$B$21,'Trends and nat. data'!$B$24,'Trends and nat. data'!$B$25,'Trends and nat. data'!$B$28,'Trends and nat. data'!$B$29,'Trends and nat. data'!$B$32,'Trends and nat. data'!$B$33,'Trends and nat. data'!$B$36,'Trends and nat. data'!$B$37)</c:f>
              <c:strCache>
                <c:ptCount val="15"/>
                <c:pt idx="0">
                  <c:v>ACT</c:v>
                </c:pt>
                <c:pt idx="2">
                  <c:v>NSW</c:v>
                </c:pt>
                <c:pt idx="4">
                  <c:v>NT</c:v>
                </c:pt>
                <c:pt idx="6">
                  <c:v>Qld</c:v>
                </c:pt>
                <c:pt idx="8">
                  <c:v>SA</c:v>
                </c:pt>
                <c:pt idx="10">
                  <c:v>Tas</c:v>
                </c:pt>
                <c:pt idx="12">
                  <c:v>Vic</c:v>
                </c:pt>
                <c:pt idx="14">
                  <c:v>WA</c:v>
                </c:pt>
              </c:strCache>
            </c:strRef>
          </c:cat>
          <c:val>
            <c:numRef>
              <c:f>('Trends and nat. data'!$P$10,'Trends and nat. data'!$P$14,'Trends and nat. data'!$Q$14,'Trends and nat. data'!$P$18,'Trends and nat. data'!$P$22,'Trends and nat. data'!$Q$22,'Trends and nat. data'!$P$26,'Trends and nat. data'!$Q$26,'Trends and nat. data'!$P$30,'Trends and nat. data'!$P$34,'Trends and nat. data'!$Q$34,'Trends and nat. data'!$P$38,'Trends and nat. data'!$Q$38)</c:f>
              <c:numCache>
                <c:formatCode>#,##0</c:formatCode>
                <c:ptCount val="13"/>
                <c:pt idx="0">
                  <c:v>95.431977845952161</c:v>
                </c:pt>
                <c:pt idx="1">
                  <c:v>108.49983360630735</c:v>
                </c:pt>
                <c:pt idx="2">
                  <c:v>108.49983360630745</c:v>
                </c:pt>
                <c:pt idx="3">
                  <c:v>57.748245299293544</c:v>
                </c:pt>
                <c:pt idx="4">
                  <c:v>82.091986840893767</c:v>
                </c:pt>
                <c:pt idx="5">
                  <c:v>82.091986840894236</c:v>
                </c:pt>
                <c:pt idx="6">
                  <c:v>88.331718354854459</c:v>
                </c:pt>
                <c:pt idx="7">
                  <c:v>88.331718354854502</c:v>
                </c:pt>
                <c:pt idx="8">
                  <c:v>103.29084134041275</c:v>
                </c:pt>
                <c:pt idx="9">
                  <c:v>104.89688988603916</c:v>
                </c:pt>
                <c:pt idx="10">
                  <c:v>104.8968898860393</c:v>
                </c:pt>
                <c:pt idx="11">
                  <c:v>89.192706844643169</c:v>
                </c:pt>
                <c:pt idx="12">
                  <c:v>89.192706844643553</c:v>
                </c:pt>
              </c:numCache>
            </c:numRef>
          </c:val>
          <c:extLst>
            <c:ext xmlns:c16="http://schemas.microsoft.com/office/drawing/2014/chart" uri="{C3380CC4-5D6E-409C-BE32-E72D297353CC}">
              <c16:uniqueId val="{00000002-9B6F-409A-8C16-75E5E5903701}"/>
            </c:ext>
          </c:extLst>
        </c:ser>
        <c:ser>
          <c:idx val="3"/>
          <c:order val="3"/>
          <c:tx>
            <c:strRef>
              <c:f>'Trends and nat. data'!$C$44</c:f>
              <c:strCache>
                <c:ptCount val="1"/>
                <c:pt idx="0">
                  <c:v>Recovery rate</c:v>
                </c:pt>
              </c:strCache>
            </c:strRef>
          </c:tx>
          <c:spPr>
            <a:noFill/>
            <a:ln>
              <a:noFill/>
            </a:ln>
          </c:spPr>
          <c:invertIfNegative val="0"/>
          <c:dLbls>
            <c:dLbl>
              <c:idx val="0"/>
              <c:layout>
                <c:manualLayout>
                  <c:x val="-2.8119642953365897E-17"/>
                  <c:y val="-4.834047619047623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15-4522-B2BE-337C45499F85}"/>
                </c:ext>
              </c:extLst>
            </c:dLbl>
            <c:dLbl>
              <c:idx val="1"/>
              <c:layout>
                <c:manualLayout>
                  <c:x val="0"/>
                  <c:y val="-3.82698412698412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15-4522-B2BE-337C45499F85}"/>
                </c:ext>
              </c:extLst>
            </c:dLbl>
            <c:dLbl>
              <c:idx val="2"/>
              <c:layout>
                <c:manualLayout>
                  <c:x val="-5.6239285906731795E-17"/>
                  <c:y val="-7.85880952380952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6F-409A-8C16-75E5E5903701}"/>
                </c:ext>
              </c:extLst>
            </c:dLbl>
            <c:dLbl>
              <c:idx val="3"/>
              <c:layout>
                <c:manualLayout>
                  <c:x val="-1.5338164251207729E-3"/>
                  <c:y val="-9.37325396825397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15-4522-B2BE-337C45499F85}"/>
                </c:ext>
              </c:extLst>
            </c:dLbl>
            <c:dLbl>
              <c:idx val="4"/>
              <c:layout>
                <c:manualLayout>
                  <c:x val="-5.6239285906731795E-17"/>
                  <c:y val="-5.10126984126984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6F-409A-8C16-75E5E5903701}"/>
                </c:ext>
              </c:extLst>
            </c:dLbl>
            <c:dLbl>
              <c:idx val="5"/>
              <c:layout>
                <c:manualLayout>
                  <c:x val="-5.6239285906731795E-17"/>
                  <c:y val="-5.84313492063492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6F-409A-8C16-75E5E5903701}"/>
                </c:ext>
              </c:extLst>
            </c:dLbl>
            <c:dLbl>
              <c:idx val="6"/>
              <c:layout>
                <c:manualLayout>
                  <c:x val="0"/>
                  <c:y val="-3.82615079365079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15-4522-B2BE-337C45499F85}"/>
                </c:ext>
              </c:extLst>
            </c:dLbl>
            <c:dLbl>
              <c:idx val="8"/>
              <c:layout>
                <c:manualLayout>
                  <c:x val="0"/>
                  <c:y val="-5.47182539682539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BB-4F34-8CD4-4943285EEF76}"/>
                </c:ext>
              </c:extLst>
            </c:dLbl>
            <c:dLbl>
              <c:idx val="9"/>
              <c:layout>
                <c:manualLayout>
                  <c:x val="-1.1247857181346359E-16"/>
                  <c:y val="-2.81873015873015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15-4522-B2BE-337C45499F85}"/>
                </c:ext>
              </c:extLst>
            </c:dLbl>
            <c:dLbl>
              <c:idx val="10"/>
              <c:layout>
                <c:manualLayout>
                  <c:x val="-1.5338164251208855E-3"/>
                  <c:y val="-5.97404761904761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BB-4F34-8CD4-4943285EEF76}"/>
                </c:ext>
              </c:extLst>
            </c:dLbl>
            <c:dLbl>
              <c:idx val="11"/>
              <c:layout>
                <c:manualLayout>
                  <c:x val="-1.1247857181346359E-16"/>
                  <c:y val="-5.04722222222222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BB-4F34-8CD4-4943285EEF76}"/>
                </c:ext>
              </c:extLst>
            </c:dLbl>
            <c:dLbl>
              <c:idx val="12"/>
              <c:layout>
                <c:manualLayout>
                  <c:x val="-2.2495714362692718E-16"/>
                  <c:y val="-7.85988095238095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15-4522-B2BE-337C45499F85}"/>
                </c:ext>
              </c:extLst>
            </c:dLbl>
            <c:numFmt formatCode="0%" sourceLinked="0"/>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('Trends and nat. data'!$B$8,'Trends and nat. data'!$B$9,'Trends and nat. data'!$B$12,'Trends and nat. data'!$B$13,'Trends and nat. data'!$B$16,'Trends and nat. data'!$B$17,'Trends and nat. data'!$B$20,'Trends and nat. data'!$B$21,'Trends and nat. data'!$B$24,'Trends and nat. data'!$B$25,'Trends and nat. data'!$B$28,'Trends and nat. data'!$B$29,'Trends and nat. data'!$B$32,'Trends and nat. data'!$B$33,'Trends and nat. data'!$B$36,'Trends and nat. data'!$B$37)</c:f>
              <c:strCache>
                <c:ptCount val="15"/>
                <c:pt idx="0">
                  <c:v>ACT</c:v>
                </c:pt>
                <c:pt idx="2">
                  <c:v>NSW</c:v>
                </c:pt>
                <c:pt idx="4">
                  <c:v>NT</c:v>
                </c:pt>
                <c:pt idx="6">
                  <c:v>Qld</c:v>
                </c:pt>
                <c:pt idx="8">
                  <c:v>SA</c:v>
                </c:pt>
                <c:pt idx="10">
                  <c:v>Tas</c:v>
                </c:pt>
                <c:pt idx="12">
                  <c:v>Vic</c:v>
                </c:pt>
                <c:pt idx="14">
                  <c:v>WA</c:v>
                </c:pt>
              </c:strCache>
            </c:strRef>
          </c:cat>
          <c:val>
            <c:numRef>
              <c:f>('Trends and nat. data'!$H$11,'Trends and nat. data'!$H$15,'Trends and nat. data'!$I$15,'Trends and nat. data'!$H$19,'Trends and nat. data'!$H$23,'Trends and nat. data'!$I$23,'Trends and nat. data'!$H$27,'Trends and nat. data'!$I$27,'Trends and nat. data'!$H$31,'Trends and nat. data'!$H$35,'Trends and nat. data'!$I$35,'Trends and nat. data'!$H$39,'Trends and nat. data'!$I$39)</c:f>
              <c:numCache>
                <c:formatCode>0%</c:formatCode>
                <c:ptCount val="13"/>
                <c:pt idx="0">
                  <c:v>0.75405513909402322</c:v>
                </c:pt>
                <c:pt idx="1">
                  <c:v>0.64762256058670442</c:v>
                </c:pt>
                <c:pt idx="2">
                  <c:v>0.63750547984712858</c:v>
                </c:pt>
                <c:pt idx="3">
                  <c:v>0.27995132172966586</c:v>
                </c:pt>
                <c:pt idx="4">
                  <c:v>0.37643820415110879</c:v>
                </c:pt>
                <c:pt idx="5">
                  <c:v>0.47929932544677328</c:v>
                </c:pt>
                <c:pt idx="6">
                  <c:v>0.78111856379361522</c:v>
                </c:pt>
                <c:pt idx="7">
                  <c:v>0.77364419750705327</c:v>
                </c:pt>
                <c:pt idx="8">
                  <c:v>0.50357548627302751</c:v>
                </c:pt>
                <c:pt idx="9">
                  <c:v>0.6944391401872253</c:v>
                </c:pt>
                <c:pt idx="10">
                  <c:v>0.69222750659444099</c:v>
                </c:pt>
                <c:pt idx="11">
                  <c:v>0.49898996334077778</c:v>
                </c:pt>
                <c:pt idx="12">
                  <c:v>0.4821200454477495</c:v>
                </c:pt>
              </c:numCache>
            </c:numRef>
          </c:val>
          <c:extLst>
            <c:ext xmlns:c16="http://schemas.microsoft.com/office/drawing/2014/chart" uri="{C3380CC4-5D6E-409C-BE32-E72D297353CC}">
              <c16:uniqueId val="{0000000B-9B6F-409A-8C16-75E5E5903701}"/>
            </c:ext>
          </c:extLst>
        </c:ser>
        <c:dLbls>
          <c:showLegendKey val="0"/>
          <c:showVal val="0"/>
          <c:showCatName val="0"/>
          <c:showSerName val="0"/>
          <c:showPercent val="0"/>
          <c:showBubbleSize val="0"/>
        </c:dLbls>
        <c:gapWidth val="150"/>
        <c:overlap val="100"/>
        <c:axId val="220173440"/>
        <c:axId val="220174976"/>
      </c:barChart>
      <c:catAx>
        <c:axId val="220173440"/>
        <c:scaling>
          <c:orientation val="minMax"/>
        </c:scaling>
        <c:delete val="0"/>
        <c:axPos val="b"/>
        <c:numFmt formatCode="General" sourceLinked="0"/>
        <c:majorTickMark val="none"/>
        <c:minorTickMark val="none"/>
        <c:tickLblPos val="nextTo"/>
        <c:spPr>
          <a:noFill/>
          <a:ln>
            <a:solidFill>
              <a:schemeClr val="bg1">
                <a:lumMod val="95000"/>
              </a:schemeClr>
            </a:solidFill>
          </a:ln>
        </c:spPr>
        <c:txPr>
          <a:bodyPr/>
          <a:lstStyle/>
          <a:p>
            <a:pPr>
              <a:defRPr>
                <a:solidFill>
                  <a:schemeClr val="bg1"/>
                </a:solidFill>
              </a:defRPr>
            </a:pPr>
            <a:endParaRPr lang="en-US"/>
          </a:p>
        </c:txPr>
        <c:crossAx val="220174976"/>
        <c:crosses val="autoZero"/>
        <c:auto val="1"/>
        <c:lblAlgn val="ctr"/>
        <c:lblOffset val="50"/>
        <c:noMultiLvlLbl val="0"/>
      </c:catAx>
      <c:valAx>
        <c:axId val="220174976"/>
        <c:scaling>
          <c:orientation val="minMax"/>
        </c:scaling>
        <c:delete val="0"/>
        <c:axPos val="l"/>
        <c:majorGridlines>
          <c:spPr>
            <a:ln w="2540"/>
          </c:spPr>
        </c:majorGridlines>
        <c:title>
          <c:tx>
            <c:rich>
              <a:bodyPr/>
              <a:lstStyle/>
              <a:p>
                <a:pPr>
                  <a:defRPr/>
                </a:pPr>
                <a:r>
                  <a:rPr lang="en-AU"/>
                  <a:t>Kg per capita</a:t>
                </a:r>
              </a:p>
            </c:rich>
          </c:tx>
          <c:layout>
            <c:manualLayout>
              <c:xMode val="edge"/>
              <c:yMode val="edge"/>
              <c:x val="4.0927173913043478E-2"/>
              <c:y val="0.13353849206349205"/>
            </c:manualLayout>
          </c:layout>
          <c:overlay val="0"/>
        </c:title>
        <c:numFmt formatCode="#,##0" sourceLinked="0"/>
        <c:majorTickMark val="out"/>
        <c:minorTickMark val="none"/>
        <c:tickLblPos val="nextTo"/>
        <c:spPr>
          <a:ln>
            <a:noFill/>
          </a:ln>
        </c:spPr>
        <c:crossAx val="220173440"/>
        <c:crosses val="autoZero"/>
        <c:crossBetween val="between"/>
      </c:valAx>
    </c:plotArea>
    <c:legend>
      <c:legendPos val="t"/>
      <c:legendEntry>
        <c:idx val="3"/>
        <c:delete val="1"/>
      </c:legendEntry>
      <c:layout>
        <c:manualLayout>
          <c:xMode val="edge"/>
          <c:yMode val="edge"/>
          <c:x val="0.64390277777777782"/>
          <c:y val="1.0639285714285712E-2"/>
          <c:w val="0.34651135265700483"/>
          <c:h val="7.0880555555555558E-2"/>
        </c:manualLayout>
      </c:layout>
      <c:overlay val="0"/>
    </c:legend>
    <c:plotVisOnly val="1"/>
    <c:dispBlanksAs val="gap"/>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75764950082718"/>
          <c:y val="0.18824215158979618"/>
          <c:w val="0.86951353188830649"/>
          <c:h val="4.4980601186167701E-2"/>
        </c:manualLayout>
      </c:layout>
      <c:barChart>
        <c:barDir val="col"/>
        <c:grouping val="stacked"/>
        <c:varyColors val="0"/>
        <c:ser>
          <c:idx val="0"/>
          <c:order val="0"/>
          <c:tx>
            <c:strRef>
              <c:f>'Trends and nat. data'!$C$40</c:f>
              <c:strCache>
                <c:ptCount val="1"/>
                <c:pt idx="0">
                  <c:v>Disposal</c:v>
                </c:pt>
              </c:strCache>
            </c:strRef>
          </c:tx>
          <c:spPr>
            <a:noFill/>
          </c:spPr>
          <c:invertIfNegative val="0"/>
          <c:cat>
            <c:strRef>
              <c:f>('Trends and nat. data'!$B$78,'Trends and nat. data'!$B$83,'Trends and nat. data'!$B$130,'Trends and nat. data'!$B$88,'Trends and nat. data'!$B$93,'Trends and nat. data'!$B$140,'Trends and nat. data'!$B$98,'Trends and nat. data'!$B$145,'Trends and nat. data'!$B$103,'Trends and nat. data'!$B$108,'Trends and nat. data'!$B$155,'Trends and nat. data'!$B$113,'Trends and nat. data'!$B$160)</c:f>
              <c:strCache>
                <c:ptCount val="13"/>
                <c:pt idx="0">
                  <c:v>ACT</c:v>
                </c:pt>
                <c:pt idx="1">
                  <c:v>NSW</c:v>
                </c:pt>
                <c:pt idx="2">
                  <c:v>NSW excl. fly ash</c:v>
                </c:pt>
                <c:pt idx="3">
                  <c:v>NT</c:v>
                </c:pt>
                <c:pt idx="4">
                  <c:v>Qld</c:v>
                </c:pt>
                <c:pt idx="5">
                  <c:v>Qld excl. fly ash</c:v>
                </c:pt>
                <c:pt idx="6">
                  <c:v>SA</c:v>
                </c:pt>
                <c:pt idx="7">
                  <c:v>SA excl. fly ash</c:v>
                </c:pt>
                <c:pt idx="8">
                  <c:v>Tas</c:v>
                </c:pt>
                <c:pt idx="9">
                  <c:v>Vic</c:v>
                </c:pt>
                <c:pt idx="10">
                  <c:v>Vic excl. fly ash</c:v>
                </c:pt>
                <c:pt idx="11">
                  <c:v>WA</c:v>
                </c:pt>
                <c:pt idx="12">
                  <c:v>WA excl. fly ash</c:v>
                </c:pt>
              </c:strCache>
            </c:strRef>
          </c:cat>
          <c:val>
            <c:numRef>
              <c:f>('Trends and nat. data'!$P$8,'Trends and nat. data'!$P$12,'Trends and nat. data'!$Q$12,'Trends and nat. data'!$P$16,'Trends and nat. data'!$P$20,'Trends and nat. data'!$Q$20,'Trends and nat. data'!$P$24,'Trends and nat. data'!$Q$24,'Trends and nat. data'!$P$28,'Trends and nat. data'!$P$32,'Trends and nat. data'!$Q$32,'Trends and nat. data'!$P$36,'Trends and nat. data'!$Q$36)</c:f>
              <c:numCache>
                <c:formatCode>#,##0</c:formatCode>
                <c:ptCount val="13"/>
                <c:pt idx="0">
                  <c:v>491.36472328964794</c:v>
                </c:pt>
                <c:pt idx="1">
                  <c:v>883.25485094873136</c:v>
                </c:pt>
                <c:pt idx="2">
                  <c:v>777.31278669473102</c:v>
                </c:pt>
                <c:pt idx="3">
                  <c:v>1511.5606057552936</c:v>
                </c:pt>
                <c:pt idx="4">
                  <c:v>2063.1193502997157</c:v>
                </c:pt>
                <c:pt idx="5">
                  <c:v>1150.9342575539351</c:v>
                </c:pt>
                <c:pt idx="6">
                  <c:v>572.11071308567114</c:v>
                </c:pt>
                <c:pt idx="7">
                  <c:v>572.11071308567114</c:v>
                </c:pt>
                <c:pt idx="8">
                  <c:v>911.9492413442922</c:v>
                </c:pt>
                <c:pt idx="9">
                  <c:v>791.5633720801294</c:v>
                </c:pt>
                <c:pt idx="10">
                  <c:v>681.95976620320516</c:v>
                </c:pt>
                <c:pt idx="11">
                  <c:v>1420.5253773472089</c:v>
                </c:pt>
                <c:pt idx="12">
                  <c:v>1358.4570603665029</c:v>
                </c:pt>
              </c:numCache>
            </c:numRef>
          </c:val>
          <c:extLst>
            <c:ext xmlns:c16="http://schemas.microsoft.com/office/drawing/2014/chart" uri="{C3380CC4-5D6E-409C-BE32-E72D297353CC}">
              <c16:uniqueId val="{00000000-FE7C-453D-B939-94EA29F7A9FE}"/>
            </c:ext>
          </c:extLst>
        </c:ser>
        <c:ser>
          <c:idx val="1"/>
          <c:order val="1"/>
          <c:tx>
            <c:strRef>
              <c:f>'Trends and nat. data'!$C$41</c:f>
              <c:strCache>
                <c:ptCount val="1"/>
                <c:pt idx="0">
                  <c:v>Recycling</c:v>
                </c:pt>
              </c:strCache>
            </c:strRef>
          </c:tx>
          <c:spPr>
            <a:noFill/>
          </c:spPr>
          <c:invertIfNegative val="0"/>
          <c:cat>
            <c:strRef>
              <c:f>('Trends and nat. data'!$B$78,'Trends and nat. data'!$B$83,'Trends and nat. data'!$B$130,'Trends and nat. data'!$B$88,'Trends and nat. data'!$B$93,'Trends and nat. data'!$B$140,'Trends and nat. data'!$B$98,'Trends and nat. data'!$B$145,'Trends and nat. data'!$B$103,'Trends and nat. data'!$B$108,'Trends and nat. data'!$B$155,'Trends and nat. data'!$B$113,'Trends and nat. data'!$B$160)</c:f>
              <c:strCache>
                <c:ptCount val="13"/>
                <c:pt idx="0">
                  <c:v>ACT</c:v>
                </c:pt>
                <c:pt idx="1">
                  <c:v>NSW</c:v>
                </c:pt>
                <c:pt idx="2">
                  <c:v>NSW excl. fly ash</c:v>
                </c:pt>
                <c:pt idx="3">
                  <c:v>NT</c:v>
                </c:pt>
                <c:pt idx="4">
                  <c:v>Qld</c:v>
                </c:pt>
                <c:pt idx="5">
                  <c:v>Qld excl. fly ash</c:v>
                </c:pt>
                <c:pt idx="6">
                  <c:v>SA</c:v>
                </c:pt>
                <c:pt idx="7">
                  <c:v>SA excl. fly ash</c:v>
                </c:pt>
                <c:pt idx="8">
                  <c:v>Tas</c:v>
                </c:pt>
                <c:pt idx="9">
                  <c:v>Vic</c:v>
                </c:pt>
                <c:pt idx="10">
                  <c:v>Vic excl. fly ash</c:v>
                </c:pt>
                <c:pt idx="11">
                  <c:v>WA</c:v>
                </c:pt>
                <c:pt idx="12">
                  <c:v>WA excl. fly ash</c:v>
                </c:pt>
              </c:strCache>
            </c:strRef>
          </c:cat>
          <c:val>
            <c:numRef>
              <c:f>('Trends and nat. data'!$P$9,'Trends and nat. data'!$P$13,'Trends and nat. data'!$Q$13,'Trends and nat. data'!$P$17,'Trends and nat. data'!$P$21,'Trends and nat. data'!$Q$21,'Trends and nat. data'!$P$25,'Trends and nat. data'!$Q$25,'Trends and nat. data'!$P$29,'Trends and nat. data'!$P$33,'Trends and nat. data'!$Q$33,'Trends and nat. data'!$P$37,'Trends and nat. data'!$Q$37)</c:f>
              <c:numCache>
                <c:formatCode>#,##0</c:formatCode>
                <c:ptCount val="13"/>
                <c:pt idx="0">
                  <c:v>1411.0686800706922</c:v>
                </c:pt>
                <c:pt idx="1">
                  <c:v>1514.8043403908846</c:v>
                </c:pt>
                <c:pt idx="2">
                  <c:v>1258.5309310633304</c:v>
                </c:pt>
                <c:pt idx="3">
                  <c:v>529.93895172770658</c:v>
                </c:pt>
                <c:pt idx="4">
                  <c:v>1163.3931412512566</c:v>
                </c:pt>
                <c:pt idx="5">
                  <c:v>977.33051871377177</c:v>
                </c:pt>
                <c:pt idx="6">
                  <c:v>1953.350327787462</c:v>
                </c:pt>
                <c:pt idx="7">
                  <c:v>1867.0417628447005</c:v>
                </c:pt>
                <c:pt idx="8">
                  <c:v>821.79498735588015</c:v>
                </c:pt>
                <c:pt idx="9">
                  <c:v>1694.0658039872442</c:v>
                </c:pt>
                <c:pt idx="10">
                  <c:v>1428.9351408228033</c:v>
                </c:pt>
                <c:pt idx="11">
                  <c:v>1325.605109769278</c:v>
                </c:pt>
                <c:pt idx="12">
                  <c:v>1175.4621111796673</c:v>
                </c:pt>
              </c:numCache>
            </c:numRef>
          </c:val>
          <c:extLst>
            <c:ext xmlns:c16="http://schemas.microsoft.com/office/drawing/2014/chart" uri="{C3380CC4-5D6E-409C-BE32-E72D297353CC}">
              <c16:uniqueId val="{00000001-FE7C-453D-B939-94EA29F7A9FE}"/>
            </c:ext>
          </c:extLst>
        </c:ser>
        <c:ser>
          <c:idx val="2"/>
          <c:order val="2"/>
          <c:tx>
            <c:strRef>
              <c:f>'Trends and nat. data'!$C$42</c:f>
              <c:strCache>
                <c:ptCount val="1"/>
                <c:pt idx="0">
                  <c:v>Energy recovery</c:v>
                </c:pt>
              </c:strCache>
            </c:strRef>
          </c:tx>
          <c:spPr>
            <a:noFill/>
          </c:spPr>
          <c:invertIfNegative val="0"/>
          <c:cat>
            <c:strRef>
              <c:f>('Trends and nat. data'!$B$78,'Trends and nat. data'!$B$83,'Trends and nat. data'!$B$130,'Trends and nat. data'!$B$88,'Trends and nat. data'!$B$93,'Trends and nat. data'!$B$140,'Trends and nat. data'!$B$98,'Trends and nat. data'!$B$145,'Trends and nat. data'!$B$103,'Trends and nat. data'!$B$108,'Trends and nat. data'!$B$155,'Trends and nat. data'!$B$113,'Trends and nat. data'!$B$160)</c:f>
              <c:strCache>
                <c:ptCount val="13"/>
                <c:pt idx="0">
                  <c:v>ACT</c:v>
                </c:pt>
                <c:pt idx="1">
                  <c:v>NSW</c:v>
                </c:pt>
                <c:pt idx="2">
                  <c:v>NSW excl. fly ash</c:v>
                </c:pt>
                <c:pt idx="3">
                  <c:v>NT</c:v>
                </c:pt>
                <c:pt idx="4">
                  <c:v>Qld</c:v>
                </c:pt>
                <c:pt idx="5">
                  <c:v>Qld excl. fly ash</c:v>
                </c:pt>
                <c:pt idx="6">
                  <c:v>SA</c:v>
                </c:pt>
                <c:pt idx="7">
                  <c:v>SA excl. fly ash</c:v>
                </c:pt>
                <c:pt idx="8">
                  <c:v>Tas</c:v>
                </c:pt>
                <c:pt idx="9">
                  <c:v>Vic</c:v>
                </c:pt>
                <c:pt idx="10">
                  <c:v>Vic excl. fly ash</c:v>
                </c:pt>
                <c:pt idx="11">
                  <c:v>WA</c:v>
                </c:pt>
                <c:pt idx="12">
                  <c:v>WA excl. fly ash</c:v>
                </c:pt>
              </c:strCache>
            </c:strRef>
          </c:cat>
          <c:val>
            <c:numRef>
              <c:f>('Trends and nat. data'!$P$10,'Trends and nat. data'!$P$14,'Trends and nat. data'!$Q$14,'Trends and nat. data'!$P$18,'Trends and nat. data'!$P$22,'Trends and nat. data'!$Q$22,'Trends and nat. data'!$P$26,'Trends and nat. data'!$Q$26,'Trends and nat. data'!$P$30,'Trends and nat. data'!$P$34,'Trends and nat. data'!$Q$34,'Trends and nat. data'!$P$38,'Trends and nat. data'!$Q$38)</c:f>
              <c:numCache>
                <c:formatCode>#,##0</c:formatCode>
                <c:ptCount val="13"/>
                <c:pt idx="0">
                  <c:v>95.431977845952161</c:v>
                </c:pt>
                <c:pt idx="1">
                  <c:v>108.49983360630735</c:v>
                </c:pt>
                <c:pt idx="2">
                  <c:v>108.49983360630745</c:v>
                </c:pt>
                <c:pt idx="3">
                  <c:v>57.748245299293544</c:v>
                </c:pt>
                <c:pt idx="4">
                  <c:v>82.091986840893767</c:v>
                </c:pt>
                <c:pt idx="5">
                  <c:v>82.091986840894236</c:v>
                </c:pt>
                <c:pt idx="6">
                  <c:v>88.331718354854459</c:v>
                </c:pt>
                <c:pt idx="7">
                  <c:v>88.331718354854502</c:v>
                </c:pt>
                <c:pt idx="8">
                  <c:v>103.29084134041275</c:v>
                </c:pt>
                <c:pt idx="9">
                  <c:v>104.89688988603916</c:v>
                </c:pt>
                <c:pt idx="10">
                  <c:v>104.8968898860393</c:v>
                </c:pt>
                <c:pt idx="11">
                  <c:v>89.192706844643169</c:v>
                </c:pt>
                <c:pt idx="12">
                  <c:v>89.192706844643553</c:v>
                </c:pt>
              </c:numCache>
            </c:numRef>
          </c:val>
          <c:extLst>
            <c:ext xmlns:c16="http://schemas.microsoft.com/office/drawing/2014/chart" uri="{C3380CC4-5D6E-409C-BE32-E72D297353CC}">
              <c16:uniqueId val="{00000002-FE7C-453D-B939-94EA29F7A9FE}"/>
            </c:ext>
          </c:extLst>
        </c:ser>
        <c:ser>
          <c:idx val="3"/>
          <c:order val="3"/>
          <c:tx>
            <c:strRef>
              <c:f>'Trends and nat. data'!$C$43</c:f>
              <c:strCache>
                <c:ptCount val="1"/>
                <c:pt idx="0">
                  <c:v>Generation</c:v>
                </c:pt>
              </c:strCache>
            </c:strRef>
          </c:tx>
          <c:spPr>
            <a:noFill/>
          </c:spPr>
          <c:invertIfNegative val="0"/>
          <c:cat>
            <c:strRef>
              <c:f>('Trends and nat. data'!$B$78,'Trends and nat. data'!$B$83,'Trends and nat. data'!$B$130,'Trends and nat. data'!$B$88,'Trends and nat. data'!$B$93,'Trends and nat. data'!$B$140,'Trends and nat. data'!$B$98,'Trends and nat. data'!$B$145,'Trends and nat. data'!$B$103,'Trends and nat. data'!$B$108,'Trends and nat. data'!$B$155,'Trends and nat. data'!$B$113,'Trends and nat. data'!$B$160)</c:f>
              <c:strCache>
                <c:ptCount val="13"/>
                <c:pt idx="0">
                  <c:v>ACT</c:v>
                </c:pt>
                <c:pt idx="1">
                  <c:v>NSW</c:v>
                </c:pt>
                <c:pt idx="2">
                  <c:v>NSW excl. fly ash</c:v>
                </c:pt>
                <c:pt idx="3">
                  <c:v>NT</c:v>
                </c:pt>
                <c:pt idx="4">
                  <c:v>Qld</c:v>
                </c:pt>
                <c:pt idx="5">
                  <c:v>Qld excl. fly ash</c:v>
                </c:pt>
                <c:pt idx="6">
                  <c:v>SA</c:v>
                </c:pt>
                <c:pt idx="7">
                  <c:v>SA excl. fly ash</c:v>
                </c:pt>
                <c:pt idx="8">
                  <c:v>Tas</c:v>
                </c:pt>
                <c:pt idx="9">
                  <c:v>Vic</c:v>
                </c:pt>
                <c:pt idx="10">
                  <c:v>Vic excl. fly ash</c:v>
                </c:pt>
                <c:pt idx="11">
                  <c:v>WA</c:v>
                </c:pt>
                <c:pt idx="12">
                  <c:v>WA excl. fly ash</c:v>
                </c:pt>
              </c:strCache>
            </c:strRef>
          </c:cat>
          <c:val>
            <c:numRef>
              <c:f>('Trends and nat. data'!$Y$81,'Trends and nat. data'!$Y$86,'Trends and nat. data'!$Y$133,'Trends and nat. data'!$Y$91,'Trends and nat. data'!$Y$96,'Trends and nat. data'!$Y$143,'Trends and nat. data'!$Y$101,'Trends and nat. data'!$Y$148,'Trends and nat. data'!$Y$106,'Trends and nat. data'!$Y$111,'Trends and nat. data'!$Y$158,'Trends and nat. data'!$Y$116,'Trends and nat. data'!$Y$163)</c:f>
              <c:numCache>
                <c:formatCode>#,##0</c:formatCode>
                <c:ptCount val="13"/>
                <c:pt idx="0">
                  <c:v>1997.8653812062921</c:v>
                </c:pt>
                <c:pt idx="1">
                  <c:v>2506.5590249459233</c:v>
                </c:pt>
                <c:pt idx="2">
                  <c:v>2144.3435513643685</c:v>
                </c:pt>
                <c:pt idx="3">
                  <c:v>2099.2478027822935</c:v>
                </c:pt>
                <c:pt idx="4">
                  <c:v>3308.604478391866</c:v>
                </c:pt>
                <c:pt idx="5">
                  <c:v>2210.3567631086007</c:v>
                </c:pt>
                <c:pt idx="6">
                  <c:v>2613.7927592279875</c:v>
                </c:pt>
                <c:pt idx="7">
                  <c:v>2527.4841942852258</c:v>
                </c:pt>
                <c:pt idx="8">
                  <c:v>1837.035070040585</c:v>
                </c:pt>
                <c:pt idx="9">
                  <c:v>2590.5260659534138</c:v>
                </c:pt>
                <c:pt idx="10">
                  <c:v>2215.7917969120481</c:v>
                </c:pt>
                <c:pt idx="11">
                  <c:v>2835.3231939611301</c:v>
                </c:pt>
                <c:pt idx="12">
                  <c:v>2623.1118783908132</c:v>
                </c:pt>
              </c:numCache>
            </c:numRef>
          </c:val>
          <c:extLst>
            <c:ext xmlns:c16="http://schemas.microsoft.com/office/drawing/2014/chart" uri="{C3380CC4-5D6E-409C-BE32-E72D297353CC}">
              <c16:uniqueId val="{00000003-FE7C-453D-B939-94EA29F7A9FE}"/>
            </c:ext>
          </c:extLst>
        </c:ser>
        <c:dLbls>
          <c:showLegendKey val="0"/>
          <c:showVal val="0"/>
          <c:showCatName val="0"/>
          <c:showSerName val="0"/>
          <c:showPercent val="0"/>
          <c:showBubbleSize val="0"/>
        </c:dLbls>
        <c:gapWidth val="150"/>
        <c:overlap val="100"/>
        <c:axId val="220173440"/>
        <c:axId val="220174976"/>
      </c:barChart>
      <c:catAx>
        <c:axId val="220173440"/>
        <c:scaling>
          <c:orientation val="minMax"/>
        </c:scaling>
        <c:delete val="1"/>
        <c:axPos val="b"/>
        <c:numFmt formatCode="General" sourceLinked="0"/>
        <c:majorTickMark val="none"/>
        <c:minorTickMark val="none"/>
        <c:tickLblPos val="nextTo"/>
        <c:crossAx val="220174976"/>
        <c:crosses val="autoZero"/>
        <c:auto val="1"/>
        <c:lblAlgn val="ctr"/>
        <c:lblOffset val="100"/>
        <c:noMultiLvlLbl val="0"/>
      </c:catAx>
      <c:valAx>
        <c:axId val="220174976"/>
        <c:scaling>
          <c:orientation val="minMax"/>
          <c:max val="21000"/>
        </c:scaling>
        <c:delete val="1"/>
        <c:axPos val="l"/>
        <c:numFmt formatCode="#,##0" sourceLinked="0"/>
        <c:majorTickMark val="out"/>
        <c:minorTickMark val="none"/>
        <c:tickLblPos val="nextTo"/>
        <c:crossAx val="220173440"/>
        <c:crosses val="autoZero"/>
        <c:crossBetween val="between"/>
        <c:majorUnit val="3000"/>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799" l="0.70000000000000062" r="0.70000000000000062" t="0.75000000000000799"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222830494728306"/>
          <c:y val="0.12842339181286549"/>
          <c:w val="0.63647235739389019"/>
          <c:h val="0.43927046783625728"/>
        </c:manualLayout>
      </c:layout>
      <c:barChart>
        <c:barDir val="col"/>
        <c:grouping val="stacked"/>
        <c:varyColors val="0"/>
        <c:ser>
          <c:idx val="0"/>
          <c:order val="0"/>
          <c:tx>
            <c:strRef>
              <c:f>'Trends and nat. data'!$C$46</c:f>
              <c:strCache>
                <c:ptCount val="1"/>
                <c:pt idx="0">
                  <c:v>Disposal</c:v>
                </c:pt>
              </c:strCache>
            </c:strRef>
          </c:tx>
          <c:spPr>
            <a:solidFill>
              <a:schemeClr val="accent3">
                <a:lumMod val="50000"/>
              </a:schemeClr>
            </a:solidFill>
          </c:spPr>
          <c:invertIfNegative val="0"/>
          <c:cat>
            <c:strRef>
              <c:f>'Trends and nat. data'!$D$7:$G$7</c:f>
              <c:strCache>
                <c:ptCount val="4"/>
                <c:pt idx="0">
                  <c:v>MSW</c:v>
                </c:pt>
                <c:pt idx="1">
                  <c:v>C&amp;I</c:v>
                </c:pt>
                <c:pt idx="2">
                  <c:v>C&amp;I excl. fly ash</c:v>
                </c:pt>
                <c:pt idx="3">
                  <c:v>C&amp;D</c:v>
                </c:pt>
              </c:strCache>
            </c:strRef>
          </c:cat>
          <c:val>
            <c:numRef>
              <c:f>'Trends and nat. data'!$D$46:$G$46</c:f>
              <c:numCache>
                <c:formatCode>#,##0</c:formatCode>
                <c:ptCount val="4"/>
                <c:pt idx="0" formatCode="#,##0.0">
                  <c:v>6.4861293658881785</c:v>
                </c:pt>
                <c:pt idx="1">
                  <c:v>13.173716404586006</c:v>
                </c:pt>
                <c:pt idx="2" formatCode="#,##0.0">
                  <c:v>7.2354009045860064</c:v>
                </c:pt>
                <c:pt idx="3" formatCode="#,##0.0">
                  <c:v>7.1298242820995412</c:v>
                </c:pt>
              </c:numCache>
            </c:numRef>
          </c:val>
          <c:extLst>
            <c:ext xmlns:c16="http://schemas.microsoft.com/office/drawing/2014/chart" uri="{C3380CC4-5D6E-409C-BE32-E72D297353CC}">
              <c16:uniqueId val="{00000000-ED89-4A90-94B1-02C7A4AF062E}"/>
            </c:ext>
          </c:extLst>
        </c:ser>
        <c:ser>
          <c:idx val="1"/>
          <c:order val="1"/>
          <c:tx>
            <c:strRef>
              <c:f>'Trends and nat. data'!$C$47</c:f>
              <c:strCache>
                <c:ptCount val="1"/>
                <c:pt idx="0">
                  <c:v>Recycling</c:v>
                </c:pt>
              </c:strCache>
            </c:strRef>
          </c:tx>
          <c:spPr>
            <a:solidFill>
              <a:srgbClr val="FFFF00"/>
            </a:solidFill>
          </c:spPr>
          <c:invertIfNegative val="0"/>
          <c:cat>
            <c:strRef>
              <c:f>'Trends and nat. data'!$D$7:$G$7</c:f>
              <c:strCache>
                <c:ptCount val="4"/>
                <c:pt idx="0">
                  <c:v>MSW</c:v>
                </c:pt>
                <c:pt idx="1">
                  <c:v>C&amp;I</c:v>
                </c:pt>
                <c:pt idx="2">
                  <c:v>C&amp;I excl. fly ash</c:v>
                </c:pt>
                <c:pt idx="3">
                  <c:v>C&amp;D</c:v>
                </c:pt>
              </c:strCache>
            </c:strRef>
          </c:cat>
          <c:val>
            <c:numRef>
              <c:f>'Trends and nat. data'!$D$47:$G$47</c:f>
              <c:numCache>
                <c:formatCode>#,##0</c:formatCode>
                <c:ptCount val="4"/>
                <c:pt idx="0" formatCode="#,##0.0">
                  <c:v>5.6051962954849195</c:v>
                </c:pt>
                <c:pt idx="1">
                  <c:v>16.830768348021198</c:v>
                </c:pt>
                <c:pt idx="2">
                  <c:v>11.9155218480212</c:v>
                </c:pt>
                <c:pt idx="3">
                  <c:v>12.334640281360533</c:v>
                </c:pt>
              </c:numCache>
            </c:numRef>
          </c:val>
          <c:extLst>
            <c:ext xmlns:c16="http://schemas.microsoft.com/office/drawing/2014/chart" uri="{C3380CC4-5D6E-409C-BE32-E72D297353CC}">
              <c16:uniqueId val="{00000001-ED89-4A90-94B1-02C7A4AF062E}"/>
            </c:ext>
          </c:extLst>
        </c:ser>
        <c:ser>
          <c:idx val="2"/>
          <c:order val="2"/>
          <c:tx>
            <c:strRef>
              <c:f>'Trends and nat. data'!$C$42</c:f>
              <c:strCache>
                <c:ptCount val="1"/>
                <c:pt idx="0">
                  <c:v>Energy recovery</c:v>
                </c:pt>
              </c:strCache>
            </c:strRef>
          </c:tx>
          <c:spPr>
            <a:solidFill>
              <a:schemeClr val="accent6">
                <a:lumMod val="75000"/>
              </a:schemeClr>
            </a:solidFill>
          </c:spPr>
          <c:invertIfNegative val="0"/>
          <c:cat>
            <c:strRef>
              <c:f>'Trends and nat. data'!$D$7:$G$7</c:f>
              <c:strCache>
                <c:ptCount val="4"/>
                <c:pt idx="0">
                  <c:v>MSW</c:v>
                </c:pt>
                <c:pt idx="1">
                  <c:v>C&amp;I</c:v>
                </c:pt>
                <c:pt idx="2">
                  <c:v>C&amp;I excl. fly ash</c:v>
                </c:pt>
                <c:pt idx="3">
                  <c:v>C&amp;D</c:v>
                </c:pt>
              </c:strCache>
            </c:strRef>
          </c:cat>
          <c:val>
            <c:numRef>
              <c:f>'Trends and nat. data'!$D$48:$G$48</c:f>
              <c:numCache>
                <c:formatCode>#,##0.0</c:formatCode>
                <c:ptCount val="4"/>
                <c:pt idx="0">
                  <c:v>1.2532137416276181</c:v>
                </c:pt>
                <c:pt idx="1">
                  <c:v>0.89206217119992681</c:v>
                </c:pt>
                <c:pt idx="2">
                  <c:v>0.89206217119992681</c:v>
                </c:pt>
                <c:pt idx="3">
                  <c:v>0.16600556266404012</c:v>
                </c:pt>
              </c:numCache>
            </c:numRef>
          </c:val>
          <c:extLst>
            <c:ext xmlns:c16="http://schemas.microsoft.com/office/drawing/2014/chart" uri="{C3380CC4-5D6E-409C-BE32-E72D297353CC}">
              <c16:uniqueId val="{00000002-ED89-4A90-94B1-02C7A4AF062E}"/>
            </c:ext>
          </c:extLst>
        </c:ser>
        <c:ser>
          <c:idx val="3"/>
          <c:order val="3"/>
          <c:tx>
            <c:strRef>
              <c:f>'Trends and nat. data'!$C$44</c:f>
              <c:strCache>
                <c:ptCount val="1"/>
                <c:pt idx="0">
                  <c:v>Recovery rate</c:v>
                </c:pt>
              </c:strCache>
            </c:strRef>
          </c:tx>
          <c:spPr>
            <a:noFill/>
          </c:spPr>
          <c:invertIfNegative val="0"/>
          <c:dLbls>
            <c:dLbl>
              <c:idx val="0"/>
              <c:layout>
                <c:manualLayout>
                  <c:x val="-2.138077858880739E-3"/>
                  <c:y val="-4.0070760233918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89-4A90-94B1-02C7A4AF062E}"/>
                </c:ext>
              </c:extLst>
            </c:dLbl>
            <c:dLbl>
              <c:idx val="1"/>
              <c:layout>
                <c:manualLayout>
                  <c:x val="2.1380778588807785E-3"/>
                  <c:y val="-1.9290643274853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89-4A90-94B1-02C7A4AF062E}"/>
                </c:ext>
              </c:extLst>
            </c:dLbl>
            <c:dLbl>
              <c:idx val="2"/>
              <c:layout>
                <c:manualLayout>
                  <c:x val="-1.4193025141930251E-5"/>
                  <c:y val="-2.2591520467836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89-4A90-94B1-02C7A4AF062E}"/>
                </c:ext>
              </c:extLst>
            </c:dLbl>
            <c:dLbl>
              <c:idx val="3"/>
              <c:layout>
                <c:manualLayout>
                  <c:x val="0"/>
                  <c:y val="-2.5994152046783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18-439D-9878-6C7A96C59490}"/>
                </c:ext>
              </c:extLst>
            </c:dLbl>
            <c:spPr>
              <a:noFill/>
              <a:ln>
                <a:noFill/>
              </a:ln>
              <a:effectLst/>
            </c:spPr>
            <c:txPr>
              <a:bodyPr wrap="square" lIns="38100" tIns="19050" rIns="38100" bIns="19050" anchor="ctr">
                <a:spAutoFit/>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'Trends and nat. data'!$D$7:$G$7</c:f>
              <c:strCache>
                <c:ptCount val="4"/>
                <c:pt idx="0">
                  <c:v>MSW</c:v>
                </c:pt>
                <c:pt idx="1">
                  <c:v>C&amp;I</c:v>
                </c:pt>
                <c:pt idx="2">
                  <c:v>C&amp;I excl. fly ash</c:v>
                </c:pt>
                <c:pt idx="3">
                  <c:v>C&amp;D</c:v>
                </c:pt>
              </c:strCache>
            </c:strRef>
          </c:cat>
          <c:val>
            <c:numRef>
              <c:f>'Trends and nat. data'!$D$49:$G$49</c:f>
              <c:numCache>
                <c:formatCode>0%</c:formatCode>
                <c:ptCount val="4"/>
                <c:pt idx="0">
                  <c:v>0.51394880182753433</c:v>
                </c:pt>
                <c:pt idx="1">
                  <c:v>0.57361848762344747</c:v>
                </c:pt>
                <c:pt idx="2">
                  <c:v>0.63900582013651208</c:v>
                </c:pt>
                <c:pt idx="3">
                  <c:v>0.63679808805947979</c:v>
                </c:pt>
              </c:numCache>
            </c:numRef>
          </c:val>
          <c:extLst>
            <c:ext xmlns:c16="http://schemas.microsoft.com/office/drawing/2014/chart" uri="{C3380CC4-5D6E-409C-BE32-E72D297353CC}">
              <c16:uniqueId val="{00000006-ED89-4A90-94B1-02C7A4AF062E}"/>
            </c:ext>
          </c:extLst>
        </c:ser>
        <c:dLbls>
          <c:showLegendKey val="0"/>
          <c:showVal val="0"/>
          <c:showCatName val="0"/>
          <c:showSerName val="0"/>
          <c:showPercent val="0"/>
          <c:showBubbleSize val="0"/>
        </c:dLbls>
        <c:gapWidth val="150"/>
        <c:overlap val="100"/>
        <c:axId val="219379584"/>
        <c:axId val="219381120"/>
      </c:barChart>
      <c:lineChart>
        <c:grouping val="standard"/>
        <c:varyColors val="0"/>
        <c:ser>
          <c:idx val="4"/>
          <c:order val="4"/>
          <c:tx>
            <c:v>kg per cap</c:v>
          </c:tx>
          <c:spPr>
            <a:ln>
              <a:noFill/>
            </a:ln>
          </c:spPr>
          <c:marker>
            <c:symbol val="none"/>
          </c:marker>
          <c:val>
            <c:numRef>
              <c:f>('Trends and nat. data'!$Y$176,'Trends and nat. data'!$Y$181,'Trends and nat. data'!$Y$186,'Trends and nat. data'!$Y$191)</c:f>
              <c:numCache>
                <c:formatCode>0</c:formatCode>
                <c:ptCount val="4"/>
                <c:pt idx="0">
                  <c:v>565.10644347335506</c:v>
                </c:pt>
                <c:pt idx="1">
                  <c:v>1308.3881893888502</c:v>
                </c:pt>
                <c:pt idx="2">
                  <c:v>848.76814289564834</c:v>
                </c:pt>
                <c:pt idx="3">
                  <c:v>831.29921698080102</c:v>
                </c:pt>
              </c:numCache>
            </c:numRef>
          </c:val>
          <c:smooth val="0"/>
          <c:extLst>
            <c:ext xmlns:c16="http://schemas.microsoft.com/office/drawing/2014/chart" uri="{C3380CC4-5D6E-409C-BE32-E72D297353CC}">
              <c16:uniqueId val="{00000001-D1D8-426E-8985-132323C44E8D}"/>
            </c:ext>
          </c:extLst>
        </c:ser>
        <c:dLbls>
          <c:showLegendKey val="0"/>
          <c:showVal val="0"/>
          <c:showCatName val="0"/>
          <c:showSerName val="0"/>
          <c:showPercent val="0"/>
          <c:showBubbleSize val="0"/>
        </c:dLbls>
        <c:marker val="1"/>
        <c:smooth val="0"/>
        <c:axId val="671091712"/>
        <c:axId val="671096304"/>
      </c:lineChart>
      <c:catAx>
        <c:axId val="219379584"/>
        <c:scaling>
          <c:orientation val="minMax"/>
        </c:scaling>
        <c:delete val="0"/>
        <c:axPos val="b"/>
        <c:numFmt formatCode="General" sourceLinked="0"/>
        <c:majorTickMark val="none"/>
        <c:minorTickMark val="none"/>
        <c:tickLblPos val="nextTo"/>
        <c:spPr>
          <a:noFill/>
          <a:ln>
            <a:noFill/>
          </a:ln>
        </c:spPr>
        <c:txPr>
          <a:bodyPr/>
          <a:lstStyle/>
          <a:p>
            <a:pPr>
              <a:defRPr>
                <a:solidFill>
                  <a:sysClr val="windowText" lastClr="000000"/>
                </a:solidFill>
              </a:defRPr>
            </a:pPr>
            <a:endParaRPr lang="en-US"/>
          </a:p>
        </c:txPr>
        <c:crossAx val="219381120"/>
        <c:crosses val="autoZero"/>
        <c:auto val="1"/>
        <c:lblAlgn val="ctr"/>
        <c:lblOffset val="100"/>
        <c:noMultiLvlLbl val="0"/>
      </c:catAx>
      <c:valAx>
        <c:axId val="219381120"/>
        <c:scaling>
          <c:orientation val="minMax"/>
          <c:max val="35"/>
          <c:min val="0"/>
        </c:scaling>
        <c:delete val="0"/>
        <c:axPos val="l"/>
        <c:majorGridlines>
          <c:spPr>
            <a:ln w="2540"/>
          </c:spPr>
        </c:majorGridlines>
        <c:title>
          <c:tx>
            <c:rich>
              <a:bodyPr/>
              <a:lstStyle/>
              <a:p>
                <a:pPr>
                  <a:defRPr/>
                </a:pPr>
                <a:r>
                  <a:rPr lang="en-AU"/>
                  <a:t>Megatonnes</a:t>
                </a:r>
              </a:p>
            </c:rich>
          </c:tx>
          <c:layout>
            <c:manualLayout>
              <c:xMode val="edge"/>
              <c:yMode val="edge"/>
              <c:x val="0.14111398350905649"/>
              <c:y val="0.23156754385964912"/>
            </c:manualLayout>
          </c:layout>
          <c:overlay val="0"/>
        </c:title>
        <c:numFmt formatCode="#,##0" sourceLinked="0"/>
        <c:majorTickMark val="out"/>
        <c:minorTickMark val="none"/>
        <c:tickLblPos val="nextTo"/>
        <c:spPr>
          <a:ln>
            <a:noFill/>
          </a:ln>
        </c:spPr>
        <c:crossAx val="219379584"/>
        <c:crosses val="autoZero"/>
        <c:crossBetween val="between"/>
      </c:valAx>
      <c:valAx>
        <c:axId val="671096304"/>
        <c:scaling>
          <c:orientation val="minMax"/>
        </c:scaling>
        <c:delete val="0"/>
        <c:axPos val="r"/>
        <c:title>
          <c:tx>
            <c:rich>
              <a:bodyPr/>
              <a:lstStyle/>
              <a:p>
                <a:pPr>
                  <a:defRPr/>
                </a:pPr>
                <a:r>
                  <a:rPr lang="en-AU"/>
                  <a:t>Kg</a:t>
                </a:r>
                <a:r>
                  <a:rPr lang="en-AU" baseline="0"/>
                  <a:t> per capita</a:t>
                </a:r>
                <a:endParaRPr lang="en-AU"/>
              </a:p>
            </c:rich>
          </c:tx>
          <c:layout>
            <c:manualLayout>
              <c:xMode val="edge"/>
              <c:yMode val="edge"/>
              <c:x val="0.95020546093538794"/>
              <c:y val="0.21432807017543859"/>
            </c:manualLayout>
          </c:layout>
          <c:overlay val="0"/>
        </c:title>
        <c:numFmt formatCode="0" sourceLinked="1"/>
        <c:majorTickMark val="out"/>
        <c:minorTickMark val="none"/>
        <c:tickLblPos val="nextTo"/>
        <c:spPr>
          <a:ln>
            <a:noFill/>
          </a:ln>
        </c:spPr>
        <c:crossAx val="671091712"/>
        <c:crosses val="max"/>
        <c:crossBetween val="between"/>
        <c:majorUnit val="210"/>
      </c:valAx>
      <c:catAx>
        <c:axId val="671091712"/>
        <c:scaling>
          <c:orientation val="minMax"/>
        </c:scaling>
        <c:delete val="1"/>
        <c:axPos val="b"/>
        <c:majorTickMark val="out"/>
        <c:minorTickMark val="none"/>
        <c:tickLblPos val="nextTo"/>
        <c:crossAx val="671096304"/>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2183518518518517"/>
          <c:y val="3.6208024691358018E-2"/>
          <c:w val="0.49728333333333335"/>
          <c:h val="7.1161842505235981E-2"/>
        </c:manualLayout>
      </c:layout>
      <c:overlay val="0"/>
    </c:legend>
    <c:plotVisOnly val="1"/>
    <c:dispBlanksAs val="gap"/>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653429392929862"/>
          <c:y val="0.15516877487711944"/>
          <c:w val="0.71474765428153952"/>
          <c:h val="3.4388586956521743E-2"/>
        </c:manualLayout>
      </c:layout>
      <c:barChart>
        <c:barDir val="col"/>
        <c:grouping val="stacked"/>
        <c:varyColors val="0"/>
        <c:ser>
          <c:idx val="0"/>
          <c:order val="0"/>
          <c:tx>
            <c:strRef>
              <c:f>'Trends and nat. data'!$C$46</c:f>
              <c:strCache>
                <c:ptCount val="1"/>
                <c:pt idx="0">
                  <c:v>Disposal</c:v>
                </c:pt>
              </c:strCache>
            </c:strRef>
          </c:tx>
          <c:spPr>
            <a:noFill/>
          </c:spPr>
          <c:invertIfNegative val="0"/>
          <c:cat>
            <c:strRef>
              <c:f>'Trends and nat. data'!$AF$7:$AF$14</c:f>
              <c:strCache>
                <c:ptCount val="8"/>
                <c:pt idx="0">
                  <c:v>Mega-tonnes</c:v>
                </c:pt>
                <c:pt idx="1">
                  <c:v>Kg per capita</c:v>
                </c:pt>
                <c:pt idx="2">
                  <c:v>Mega-tonnes</c:v>
                </c:pt>
                <c:pt idx="3">
                  <c:v>Kg per capita</c:v>
                </c:pt>
                <c:pt idx="4">
                  <c:v>Mega-tonnes</c:v>
                </c:pt>
                <c:pt idx="5">
                  <c:v>Kg per capita</c:v>
                </c:pt>
                <c:pt idx="6">
                  <c:v>Mega-tonnes</c:v>
                </c:pt>
                <c:pt idx="7">
                  <c:v>Kg per capita</c:v>
                </c:pt>
              </c:strCache>
            </c:strRef>
          </c:cat>
          <c:val>
            <c:numRef>
              <c:f>('Trends and nat. data'!$D$46,'Trends and nat. data'!$Y$173,'Trends and nat. data'!$E$46,'Trends and nat. data'!$Y$178,'Trends and nat. data'!$F$46,'Trends and nat. data'!$Y$183,'Trends and nat. data'!$G$46,'Trends and nat. data'!$Y$188)</c:f>
              <c:numCache>
                <c:formatCode>0</c:formatCode>
                <c:ptCount val="8"/>
                <c:pt idx="0" formatCode="#,##0.0">
                  <c:v>6.4861293658881785</c:v>
                </c:pt>
                <c:pt idx="1">
                  <c:v>274.67066394520498</c:v>
                </c:pt>
                <c:pt idx="2" formatCode="#,##0">
                  <c:v>13.173716404586006</c:v>
                </c:pt>
                <c:pt idx="3">
                  <c:v>557.87253496723713</c:v>
                </c:pt>
                <c:pt idx="4" formatCode="#,##0.0">
                  <c:v>7.2354009045860064</c:v>
                </c:pt>
                <c:pt idx="5">
                  <c:v>306.40035963887016</c:v>
                </c:pt>
                <c:pt idx="6" formatCode="#,##0.0">
                  <c:v>7.1298242820995412</c:v>
                </c:pt>
                <c:pt idx="7">
                  <c:v>301.92946500208421</c:v>
                </c:pt>
              </c:numCache>
            </c:numRef>
          </c:val>
          <c:extLst>
            <c:ext xmlns:c16="http://schemas.microsoft.com/office/drawing/2014/chart" uri="{C3380CC4-5D6E-409C-BE32-E72D297353CC}">
              <c16:uniqueId val="{00000000-D910-4919-AF00-FF20C4A4D132}"/>
            </c:ext>
          </c:extLst>
        </c:ser>
        <c:ser>
          <c:idx val="1"/>
          <c:order val="1"/>
          <c:tx>
            <c:strRef>
              <c:f>'Trends and nat. data'!$C$47</c:f>
              <c:strCache>
                <c:ptCount val="1"/>
                <c:pt idx="0">
                  <c:v>Recycling</c:v>
                </c:pt>
              </c:strCache>
            </c:strRef>
          </c:tx>
          <c:spPr>
            <a:noFill/>
            <a:ln>
              <a:noFill/>
            </a:ln>
          </c:spPr>
          <c:invertIfNegative val="0"/>
          <c:cat>
            <c:strRef>
              <c:f>'Trends and nat. data'!$AF$7:$AF$14</c:f>
              <c:strCache>
                <c:ptCount val="8"/>
                <c:pt idx="0">
                  <c:v>Mega-tonnes</c:v>
                </c:pt>
                <c:pt idx="1">
                  <c:v>Kg per capita</c:v>
                </c:pt>
                <c:pt idx="2">
                  <c:v>Mega-tonnes</c:v>
                </c:pt>
                <c:pt idx="3">
                  <c:v>Kg per capita</c:v>
                </c:pt>
                <c:pt idx="4">
                  <c:v>Mega-tonnes</c:v>
                </c:pt>
                <c:pt idx="5">
                  <c:v>Kg per capita</c:v>
                </c:pt>
                <c:pt idx="6">
                  <c:v>Mega-tonnes</c:v>
                </c:pt>
                <c:pt idx="7">
                  <c:v>Kg per capita</c:v>
                </c:pt>
              </c:strCache>
            </c:strRef>
          </c:cat>
          <c:val>
            <c:numRef>
              <c:f>('Trends and nat. data'!$D$47,'Trends and nat. data'!$Y$174,'Trends and nat. data'!$E$47,'Trends and nat. data'!$Y$179,'Trends and nat. data'!$F$47,'Trends and nat. data'!$Y$184,'Trends and nat. data'!$G$47,'Trends and nat. data'!$Y$189)</c:f>
              <c:numCache>
                <c:formatCode>0</c:formatCode>
                <c:ptCount val="8"/>
                <c:pt idx="0" formatCode="#,##0.0">
                  <c:v>5.6051962954849195</c:v>
                </c:pt>
                <c:pt idx="1">
                  <c:v>237.36544573424851</c:v>
                </c:pt>
                <c:pt idx="2" formatCode="#,##0">
                  <c:v>16.830768348021198</c:v>
                </c:pt>
                <c:pt idx="3">
                  <c:v>712.73914781468181</c:v>
                </c:pt>
                <c:pt idx="4" formatCode="#,##0">
                  <c:v>11.9155218480212</c:v>
                </c:pt>
                <c:pt idx="5">
                  <c:v>504.59127664984698</c:v>
                </c:pt>
                <c:pt idx="6" formatCode="#,##0">
                  <c:v>12.334640281360533</c:v>
                </c:pt>
                <c:pt idx="7">
                  <c:v>522.33984931360305</c:v>
                </c:pt>
              </c:numCache>
            </c:numRef>
          </c:val>
          <c:extLst>
            <c:ext xmlns:c16="http://schemas.microsoft.com/office/drawing/2014/chart" uri="{C3380CC4-5D6E-409C-BE32-E72D297353CC}">
              <c16:uniqueId val="{00000001-D910-4919-AF00-FF20C4A4D132}"/>
            </c:ext>
          </c:extLst>
        </c:ser>
        <c:ser>
          <c:idx val="2"/>
          <c:order val="2"/>
          <c:tx>
            <c:strRef>
              <c:f>'Trends and nat. data'!$C$48</c:f>
              <c:strCache>
                <c:ptCount val="1"/>
                <c:pt idx="0">
                  <c:v>Energy recovery</c:v>
                </c:pt>
              </c:strCache>
            </c:strRef>
          </c:tx>
          <c:spPr>
            <a:noFill/>
          </c:spPr>
          <c:invertIfNegative val="0"/>
          <c:cat>
            <c:strRef>
              <c:f>'Trends and nat. data'!$AF$7:$AF$14</c:f>
              <c:strCache>
                <c:ptCount val="8"/>
                <c:pt idx="0">
                  <c:v>Mega-tonnes</c:v>
                </c:pt>
                <c:pt idx="1">
                  <c:v>Kg per capita</c:v>
                </c:pt>
                <c:pt idx="2">
                  <c:v>Mega-tonnes</c:v>
                </c:pt>
                <c:pt idx="3">
                  <c:v>Kg per capita</c:v>
                </c:pt>
                <c:pt idx="4">
                  <c:v>Mega-tonnes</c:v>
                </c:pt>
                <c:pt idx="5">
                  <c:v>Kg per capita</c:v>
                </c:pt>
                <c:pt idx="6">
                  <c:v>Mega-tonnes</c:v>
                </c:pt>
                <c:pt idx="7">
                  <c:v>Kg per capita</c:v>
                </c:pt>
              </c:strCache>
            </c:strRef>
          </c:cat>
          <c:val>
            <c:numRef>
              <c:f>('Trends and nat. data'!$D$48,'Trends and nat. data'!$Y$175,'Trends and nat. data'!$E$48,'Trends and nat. data'!$Y$180,'Trends and nat. data'!$F$48,'Trends and nat. data'!$Y$185,'Trends and nat. data'!$G$48,'Trends and nat. data'!$Y$190)</c:f>
              <c:numCache>
                <c:formatCode>0</c:formatCode>
                <c:ptCount val="8"/>
                <c:pt idx="0" formatCode="#,##0.0">
                  <c:v>1.2532137416276181</c:v>
                </c:pt>
                <c:pt idx="1">
                  <c:v>53.070333793901511</c:v>
                </c:pt>
                <c:pt idx="2" formatCode="#,##0.0">
                  <c:v>0.89206217119992681</c:v>
                </c:pt>
                <c:pt idx="3">
                  <c:v>37.776506606931164</c:v>
                </c:pt>
                <c:pt idx="4" formatCode="#,##0.0">
                  <c:v>0.89206217119992681</c:v>
                </c:pt>
                <c:pt idx="5">
                  <c:v>37.776506606931164</c:v>
                </c:pt>
                <c:pt idx="6" formatCode="#,##0.0">
                  <c:v>0.16600556266404012</c:v>
                </c:pt>
                <c:pt idx="7">
                  <c:v>7.029902665113652</c:v>
                </c:pt>
              </c:numCache>
            </c:numRef>
          </c:val>
          <c:extLst>
            <c:ext xmlns:c16="http://schemas.microsoft.com/office/drawing/2014/chart" uri="{C3380CC4-5D6E-409C-BE32-E72D297353CC}">
              <c16:uniqueId val="{00000002-D910-4919-AF00-FF20C4A4D132}"/>
            </c:ext>
          </c:extLst>
        </c:ser>
        <c:ser>
          <c:idx val="4"/>
          <c:order val="3"/>
          <c:tx>
            <c:strRef>
              <c:f>'Trends and nat. data'!$C$50</c:f>
              <c:strCache>
                <c:ptCount val="1"/>
                <c:pt idx="0">
                  <c:v>Generation</c:v>
                </c:pt>
              </c:strCache>
            </c:strRef>
          </c:tx>
          <c:spPr>
            <a:noFill/>
            <a:ln>
              <a:noFill/>
            </a:ln>
          </c:spPr>
          <c:invertIfNegative val="0"/>
          <c:cat>
            <c:strRef>
              <c:f>'Trends and nat. data'!$AF$7:$AF$14</c:f>
              <c:strCache>
                <c:ptCount val="8"/>
                <c:pt idx="0">
                  <c:v>Mega-tonnes</c:v>
                </c:pt>
                <c:pt idx="1">
                  <c:v>Kg per capita</c:v>
                </c:pt>
                <c:pt idx="2">
                  <c:v>Mega-tonnes</c:v>
                </c:pt>
                <c:pt idx="3">
                  <c:v>Kg per capita</c:v>
                </c:pt>
                <c:pt idx="4">
                  <c:v>Mega-tonnes</c:v>
                </c:pt>
                <c:pt idx="5">
                  <c:v>Kg per capita</c:v>
                </c:pt>
                <c:pt idx="6">
                  <c:v>Mega-tonnes</c:v>
                </c:pt>
                <c:pt idx="7">
                  <c:v>Kg per capita</c:v>
                </c:pt>
              </c:strCache>
            </c:strRef>
          </c:cat>
          <c:val>
            <c:numRef>
              <c:f>('Trends and nat. data'!$D$50,'Trends and nat. data'!$Y$176,'Trends and nat. data'!$E$50,'Trends and nat. data'!$Y$181,'Trends and nat. data'!$F$50,'Trends and nat. data'!$Y$186,'Trends and nat. data'!$G$50,'Trends and nat. data'!$Y$191)</c:f>
              <c:numCache>
                <c:formatCode>0</c:formatCode>
                <c:ptCount val="8"/>
                <c:pt idx="0" formatCode="#,##0.0">
                  <c:v>13.344539403000717</c:v>
                </c:pt>
                <c:pt idx="1">
                  <c:v>565.10644347335506</c:v>
                </c:pt>
                <c:pt idx="2" formatCode="#,##0">
                  <c:v>30.896546923807133</c:v>
                </c:pt>
                <c:pt idx="3">
                  <c:v>1308.3881893888502</c:v>
                </c:pt>
                <c:pt idx="4" formatCode="#,##0">
                  <c:v>20.042984923807136</c:v>
                </c:pt>
                <c:pt idx="5">
                  <c:v>848.76814289564834</c:v>
                </c:pt>
                <c:pt idx="6" formatCode="#,##0">
                  <c:v>19.630470126124116</c:v>
                </c:pt>
                <c:pt idx="7">
                  <c:v>831.29921698080102</c:v>
                </c:pt>
              </c:numCache>
            </c:numRef>
          </c:val>
          <c:extLst>
            <c:ext xmlns:c16="http://schemas.microsoft.com/office/drawing/2014/chart" uri="{C3380CC4-5D6E-409C-BE32-E72D297353CC}">
              <c16:uniqueId val="{00000003-D910-4919-AF00-FF20C4A4D132}"/>
            </c:ext>
          </c:extLst>
        </c:ser>
        <c:dLbls>
          <c:showLegendKey val="0"/>
          <c:showVal val="0"/>
          <c:showCatName val="0"/>
          <c:showSerName val="0"/>
          <c:showPercent val="0"/>
          <c:showBubbleSize val="0"/>
        </c:dLbls>
        <c:gapWidth val="150"/>
        <c:overlap val="100"/>
        <c:axId val="219432064"/>
        <c:axId val="219433600"/>
      </c:barChart>
      <c:catAx>
        <c:axId val="219432064"/>
        <c:scaling>
          <c:orientation val="minMax"/>
        </c:scaling>
        <c:delete val="1"/>
        <c:axPos val="b"/>
        <c:numFmt formatCode="General" sourceLinked="0"/>
        <c:majorTickMark val="none"/>
        <c:minorTickMark val="none"/>
        <c:tickLblPos val="nextTo"/>
        <c:crossAx val="219433600"/>
        <c:crosses val="autoZero"/>
        <c:auto val="1"/>
        <c:lblAlgn val="ctr"/>
        <c:lblOffset val="100"/>
        <c:noMultiLvlLbl val="0"/>
      </c:catAx>
      <c:valAx>
        <c:axId val="219433600"/>
        <c:scaling>
          <c:orientation val="minMax"/>
        </c:scaling>
        <c:delete val="1"/>
        <c:axPos val="l"/>
        <c:numFmt formatCode="#,##0" sourceLinked="0"/>
        <c:majorTickMark val="out"/>
        <c:minorTickMark val="none"/>
        <c:tickLblPos val="nextTo"/>
        <c:crossAx val="219432064"/>
        <c:crosses val="autoZero"/>
        <c:crossBetween val="between"/>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printSettings>
    <c:headerFooter/>
    <c:pageMargins b="0.75000000000000822" l="0.70000000000000062" r="0.70000000000000062" t="0.75000000000000822"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80555555555557"/>
          <c:y val="8.8710279589480426E-2"/>
          <c:w val="0.71409249121384177"/>
          <c:h val="0.51152514619883038"/>
        </c:manualLayout>
      </c:layout>
      <c:barChart>
        <c:barDir val="col"/>
        <c:grouping val="stacked"/>
        <c:varyColors val="0"/>
        <c:ser>
          <c:idx val="0"/>
          <c:order val="0"/>
          <c:tx>
            <c:strRef>
              <c:f>'Trends and nat. data'!$C$57</c:f>
              <c:strCache>
                <c:ptCount val="1"/>
                <c:pt idx="0">
                  <c:v>Disposal</c:v>
                </c:pt>
              </c:strCache>
            </c:strRef>
          </c:tx>
          <c:spPr>
            <a:solidFill>
              <a:schemeClr val="accent3">
                <a:lumMod val="50000"/>
              </a:schemeClr>
            </a:solidFill>
          </c:spPr>
          <c:invertIfNegative val="0"/>
          <c:cat>
            <c:strRef>
              <c:f>'Trends and nat. data'!$D$54:$L$54</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'Trends and nat. data'!$D$57:$L$57</c:f>
              <c:numCache>
                <c:formatCode>#,##0.0</c:formatCode>
                <c:ptCount val="9"/>
                <c:pt idx="0">
                  <c:v>5.193820583808944</c:v>
                </c:pt>
                <c:pt idx="1">
                  <c:v>0.59931824029537706</c:v>
                </c:pt>
                <c:pt idx="2">
                  <c:v>6.2364638260746217</c:v>
                </c:pt>
                <c:pt idx="3">
                  <c:v>1.584406592729183</c:v>
                </c:pt>
                <c:pt idx="4">
                  <c:v>2.1573670534223037</c:v>
                </c:pt>
                <c:pt idx="5">
                  <c:v>0.46612295505867557</c:v>
                </c:pt>
                <c:pt idx="6">
                  <c:v>1.5749447480184224</c:v>
                </c:pt>
                <c:pt idx="7">
                  <c:v>3.1812451598532512</c:v>
                </c:pt>
                <c:pt idx="8">
                  <c:v>5.9383155000000007</c:v>
                </c:pt>
              </c:numCache>
            </c:numRef>
          </c:val>
          <c:extLst>
            <c:ext xmlns:c16="http://schemas.microsoft.com/office/drawing/2014/chart" uri="{C3380CC4-5D6E-409C-BE32-E72D297353CC}">
              <c16:uniqueId val="{00000000-215B-4ABF-8FBF-83E21D505673}"/>
            </c:ext>
          </c:extLst>
        </c:ser>
        <c:ser>
          <c:idx val="1"/>
          <c:order val="1"/>
          <c:tx>
            <c:strRef>
              <c:f>'Trends and nat. data'!$C$58</c:f>
              <c:strCache>
                <c:ptCount val="1"/>
                <c:pt idx="0">
                  <c:v>Recycling</c:v>
                </c:pt>
              </c:strCache>
            </c:strRef>
          </c:tx>
          <c:spPr>
            <a:solidFill>
              <a:srgbClr val="FFFF00"/>
            </a:solidFill>
          </c:spPr>
          <c:invertIfNegative val="0"/>
          <c:cat>
            <c:strRef>
              <c:f>'Trends and nat. data'!$D$54:$L$54</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'Trends and nat. data'!$D$58:$L$58</c:f>
              <c:numCache>
                <c:formatCode>#,##0.0</c:formatCode>
                <c:ptCount val="9"/>
                <c:pt idx="0">
                  <c:v>11.95718375031889</c:v>
                </c:pt>
                <c:pt idx="1">
                  <c:v>4.5685719138708256</c:v>
                </c:pt>
                <c:pt idx="2">
                  <c:v>5.2104645639640639</c:v>
                </c:pt>
                <c:pt idx="3">
                  <c:v>3.2282213331406062</c:v>
                </c:pt>
                <c:pt idx="4">
                  <c:v>0.34584083999999998</c:v>
                </c:pt>
                <c:pt idx="5">
                  <c:v>0.6020176590864128</c:v>
                </c:pt>
                <c:pt idx="6">
                  <c:v>9.0363344241901372E-2</c:v>
                </c:pt>
                <c:pt idx="7">
                  <c:v>3.8523195392770342</c:v>
                </c:pt>
                <c:pt idx="8">
                  <c:v>4.9152464999999994</c:v>
                </c:pt>
              </c:numCache>
            </c:numRef>
          </c:val>
          <c:extLst>
            <c:ext xmlns:c16="http://schemas.microsoft.com/office/drawing/2014/chart" uri="{C3380CC4-5D6E-409C-BE32-E72D297353CC}">
              <c16:uniqueId val="{00000001-215B-4ABF-8FBF-83E21D505673}"/>
            </c:ext>
          </c:extLst>
        </c:ser>
        <c:ser>
          <c:idx val="2"/>
          <c:order val="2"/>
          <c:tx>
            <c:strRef>
              <c:f>'Trends and nat. data'!$C$59</c:f>
              <c:strCache>
                <c:ptCount val="1"/>
                <c:pt idx="0">
                  <c:v>Energy recovery</c:v>
                </c:pt>
              </c:strCache>
            </c:strRef>
          </c:tx>
          <c:spPr>
            <a:solidFill>
              <a:schemeClr val="accent6">
                <a:lumMod val="75000"/>
              </a:schemeClr>
            </a:solidFill>
          </c:spPr>
          <c:invertIfNegative val="0"/>
          <c:cat>
            <c:strRef>
              <c:f>'Trends and nat. data'!$D$54:$L$54</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'Trends and nat. data'!$D$59:$L$59</c:f>
              <c:numCache>
                <c:formatCode>#,##0.0</c:formatCode>
                <c:ptCount val="9"/>
                <c:pt idx="2">
                  <c:v>1.3600198783885851</c:v>
                </c:pt>
                <c:pt idx="3">
                  <c:v>0.45760319209112282</c:v>
                </c:pt>
                <c:pt idx="4" formatCode="#,##0.00">
                  <c:v>1.6500000000000001E-2</c:v>
                </c:pt>
                <c:pt idx="6">
                  <c:v>0.47715840501184315</c:v>
                </c:pt>
                <c:pt idx="7">
                  <c:v>2.4930452385502928E-14</c:v>
                </c:pt>
              </c:numCache>
            </c:numRef>
          </c:val>
          <c:extLst>
            <c:ext xmlns:c16="http://schemas.microsoft.com/office/drawing/2014/chart" uri="{C3380CC4-5D6E-409C-BE32-E72D297353CC}">
              <c16:uniqueId val="{00000002-215B-4ABF-8FBF-83E21D505673}"/>
            </c:ext>
          </c:extLst>
        </c:ser>
        <c:ser>
          <c:idx val="3"/>
          <c:order val="3"/>
          <c:tx>
            <c:strRef>
              <c:f>'Trends and nat. data'!$C$60</c:f>
              <c:strCache>
                <c:ptCount val="1"/>
                <c:pt idx="0">
                  <c:v>Recovery rate</c:v>
                </c:pt>
              </c:strCache>
            </c:strRef>
          </c:tx>
          <c:spPr>
            <a:noFill/>
            <a:ln>
              <a:noFill/>
            </a:ln>
          </c:spPr>
          <c:invertIfNegative val="0"/>
          <c:dLbls>
            <c:dLbl>
              <c:idx val="0"/>
              <c:layout>
                <c:manualLayout>
                  <c:x val="2.1373737373737373E-3"/>
                  <c:y val="-3.4432407407407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5B-4ABF-8FBF-83E21D505673}"/>
                </c:ext>
              </c:extLst>
            </c:dLbl>
            <c:dLbl>
              <c:idx val="1"/>
              <c:layout>
                <c:manualLayout>
                  <c:x val="2.1373737373737373E-3"/>
                  <c:y val="-2.512932098765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5B-4ABF-8FBF-83E21D505673}"/>
                </c:ext>
              </c:extLst>
            </c:dLbl>
            <c:dLbl>
              <c:idx val="2"/>
              <c:layout>
                <c:manualLayout>
                  <c:x val="0"/>
                  <c:y val="-4.90786549707602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5B-4ABF-8FBF-83E21D505673}"/>
                </c:ext>
              </c:extLst>
            </c:dLbl>
            <c:dLbl>
              <c:idx val="3"/>
              <c:layout>
                <c:manualLayout>
                  <c:x val="0"/>
                  <c:y val="-2.3188410030977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5B-4ABF-8FBF-83E21D505673}"/>
                </c:ext>
              </c:extLst>
            </c:dLbl>
            <c:dLbl>
              <c:idx val="4"/>
              <c:layout>
                <c:manualLayout>
                  <c:x val="2.020120759564059E-3"/>
                  <c:y val="-2.01996090688814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5B-4ABF-8FBF-83E21D505673}"/>
                </c:ext>
              </c:extLst>
            </c:dLbl>
            <c:dLbl>
              <c:idx val="5"/>
              <c:layout>
                <c:manualLayout>
                  <c:x val="0"/>
                  <c:y val="-3.4325925925925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5B-4ABF-8FBF-83E21D505673}"/>
                </c:ext>
              </c:extLst>
            </c:dLbl>
            <c:dLbl>
              <c:idx val="6"/>
              <c:layout>
                <c:manualLayout>
                  <c:x val="0"/>
                  <c:y val="-2.1333069109535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5B-4ABF-8FBF-83E21D505673}"/>
                </c:ext>
              </c:extLst>
            </c:dLbl>
            <c:dLbl>
              <c:idx val="7"/>
              <c:layout>
                <c:manualLayout>
                  <c:x val="0"/>
                  <c:y val="-4.45686868686868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15B-4ABF-8FBF-83E21D505673}"/>
                </c:ext>
              </c:extLst>
            </c:dLbl>
            <c:dLbl>
              <c:idx val="8"/>
              <c:layout>
                <c:manualLayout>
                  <c:x val="2.0201207595639025E-3"/>
                  <c:y val="-4.5243221008193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5B-4ABF-8FBF-83E21D505673}"/>
                </c:ext>
              </c:extLst>
            </c:dLbl>
            <c:spPr>
              <a:noFill/>
              <a:ln>
                <a:noFill/>
              </a:ln>
              <a:effectLst/>
            </c:spPr>
            <c:txPr>
              <a:bodyPr wrap="square" lIns="38100" tIns="19050" rIns="38100" bIns="19050" anchor="ctr">
                <a:spAutoFit/>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'Trends and nat. data'!$D$54:$L$54</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'Trends and nat. data'!$D$60:$L$60</c:f>
              <c:numCache>
                <c:formatCode>0%</c:formatCode>
                <c:ptCount val="9"/>
                <c:pt idx="0">
                  <c:v>0.69717105292346948</c:v>
                </c:pt>
                <c:pt idx="1">
                  <c:v>0.88403038330599504</c:v>
                </c:pt>
                <c:pt idx="2">
                  <c:v>0.5130406014484139</c:v>
                </c:pt>
                <c:pt idx="3">
                  <c:v>0.6993667721080512</c:v>
                </c:pt>
                <c:pt idx="4">
                  <c:v>0.14380271655531601</c:v>
                </c:pt>
                <c:pt idx="5">
                  <c:v>0.56361274078905033</c:v>
                </c:pt>
                <c:pt idx="6">
                  <c:v>0.26489177309251977</c:v>
                </c:pt>
                <c:pt idx="7">
                  <c:v>0.54770514014798111</c:v>
                </c:pt>
                <c:pt idx="8">
                  <c:v>0.4528694358589373</c:v>
                </c:pt>
              </c:numCache>
            </c:numRef>
          </c:val>
          <c:extLst>
            <c:ext xmlns:c16="http://schemas.microsoft.com/office/drawing/2014/chart" uri="{C3380CC4-5D6E-409C-BE32-E72D297353CC}">
              <c16:uniqueId val="{0000000C-215B-4ABF-8FBF-83E21D505673}"/>
            </c:ext>
          </c:extLst>
        </c:ser>
        <c:dLbls>
          <c:showLegendKey val="0"/>
          <c:showVal val="0"/>
          <c:showCatName val="0"/>
          <c:showSerName val="0"/>
          <c:showPercent val="0"/>
          <c:showBubbleSize val="0"/>
        </c:dLbls>
        <c:gapWidth val="150"/>
        <c:overlap val="100"/>
        <c:axId val="220573696"/>
        <c:axId val="220575232"/>
      </c:barChart>
      <c:lineChart>
        <c:grouping val="stacked"/>
        <c:varyColors val="0"/>
        <c:ser>
          <c:idx val="4"/>
          <c:order val="4"/>
          <c:tx>
            <c:v>Generation per cap</c:v>
          </c:tx>
          <c:spPr>
            <a:ln>
              <a:noFill/>
            </a:ln>
          </c:spPr>
          <c:marker>
            <c:symbol val="none"/>
          </c:marker>
          <c:val>
            <c:numRef>
              <c:f>'Trends and nat. data'!$D$62:$L$62</c:f>
              <c:numCache>
                <c:formatCode>0</c:formatCode>
                <c:ptCount val="9"/>
                <c:pt idx="0">
                  <c:v>726.30030670640122</c:v>
                </c:pt>
                <c:pt idx="1">
                  <c:v>218.84667106795263</c:v>
                </c:pt>
                <c:pt idx="2">
                  <c:v>542.34086086858611</c:v>
                </c:pt>
                <c:pt idx="3">
                  <c:v>223.18054399717934</c:v>
                </c:pt>
                <c:pt idx="4">
                  <c:v>106.70305832537255</c:v>
                </c:pt>
                <c:pt idx="5">
                  <c:v>45.232969483625993</c:v>
                </c:pt>
                <c:pt idx="6">
                  <c:v>90.727868978530822</c:v>
                </c:pt>
                <c:pt idx="7">
                  <c:v>297.85312269163035</c:v>
                </c:pt>
                <c:pt idx="8">
                  <c:v>459.62004649320187</c:v>
                </c:pt>
              </c:numCache>
            </c:numRef>
          </c:val>
          <c:smooth val="0"/>
          <c:extLst>
            <c:ext xmlns:c16="http://schemas.microsoft.com/office/drawing/2014/chart" uri="{C3380CC4-5D6E-409C-BE32-E72D297353CC}">
              <c16:uniqueId val="{00000000-0C7F-4D79-9E91-F552C761CFCD}"/>
            </c:ext>
          </c:extLst>
        </c:ser>
        <c:dLbls>
          <c:showLegendKey val="0"/>
          <c:showVal val="0"/>
          <c:showCatName val="0"/>
          <c:showSerName val="0"/>
          <c:showPercent val="0"/>
          <c:showBubbleSize val="0"/>
        </c:dLbls>
        <c:marker val="1"/>
        <c:smooth val="0"/>
        <c:axId val="683810104"/>
        <c:axId val="683810760"/>
      </c:lineChart>
      <c:catAx>
        <c:axId val="220573696"/>
        <c:scaling>
          <c:orientation val="minMax"/>
        </c:scaling>
        <c:delete val="0"/>
        <c:axPos val="b"/>
        <c:numFmt formatCode="General" sourceLinked="0"/>
        <c:majorTickMark val="none"/>
        <c:minorTickMark val="none"/>
        <c:tickLblPos val="nextTo"/>
        <c:spPr>
          <a:ln>
            <a:solidFill>
              <a:schemeClr val="bg1"/>
            </a:solidFill>
          </a:ln>
        </c:spPr>
        <c:txPr>
          <a:bodyPr/>
          <a:lstStyle/>
          <a:p>
            <a:pPr>
              <a:defRPr>
                <a:solidFill>
                  <a:schemeClr val="bg1"/>
                </a:solidFill>
              </a:defRPr>
            </a:pPr>
            <a:endParaRPr lang="en-US"/>
          </a:p>
        </c:txPr>
        <c:crossAx val="220575232"/>
        <c:crosses val="autoZero"/>
        <c:auto val="1"/>
        <c:lblAlgn val="ctr"/>
        <c:lblOffset val="100"/>
        <c:noMultiLvlLbl val="0"/>
      </c:catAx>
      <c:valAx>
        <c:axId val="220575232"/>
        <c:scaling>
          <c:orientation val="minMax"/>
          <c:min val="0"/>
        </c:scaling>
        <c:delete val="0"/>
        <c:axPos val="l"/>
        <c:majorGridlines>
          <c:spPr>
            <a:ln w="2540"/>
          </c:spPr>
        </c:majorGridlines>
        <c:title>
          <c:tx>
            <c:rich>
              <a:bodyPr/>
              <a:lstStyle/>
              <a:p>
                <a:pPr>
                  <a:defRPr/>
                </a:pPr>
                <a:r>
                  <a:rPr lang="en-AU"/>
                  <a:t>Megatonnes (Mt)</a:t>
                </a:r>
              </a:p>
            </c:rich>
          </c:tx>
          <c:layout>
            <c:manualLayout>
              <c:xMode val="edge"/>
              <c:yMode val="edge"/>
              <c:x val="0.10856633549608002"/>
              <c:y val="0.19084736842105265"/>
            </c:manualLayout>
          </c:layout>
          <c:overlay val="0"/>
        </c:title>
        <c:numFmt formatCode="#,##0" sourceLinked="0"/>
        <c:majorTickMark val="out"/>
        <c:minorTickMark val="none"/>
        <c:tickLblPos val="nextTo"/>
        <c:spPr>
          <a:ln>
            <a:noFill/>
          </a:ln>
        </c:spPr>
        <c:crossAx val="220573696"/>
        <c:crosses val="autoZero"/>
        <c:crossBetween val="between"/>
      </c:valAx>
      <c:valAx>
        <c:axId val="683810760"/>
        <c:scaling>
          <c:orientation val="minMax"/>
          <c:min val="0"/>
        </c:scaling>
        <c:delete val="0"/>
        <c:axPos val="r"/>
        <c:title>
          <c:tx>
            <c:rich>
              <a:bodyPr/>
              <a:lstStyle/>
              <a:p>
                <a:pPr>
                  <a:defRPr/>
                </a:pPr>
                <a:r>
                  <a:rPr lang="en-AU"/>
                  <a:t>Kg per capita</a:t>
                </a:r>
              </a:p>
            </c:rich>
          </c:tx>
          <c:layout>
            <c:manualLayout>
              <c:xMode val="edge"/>
              <c:yMode val="edge"/>
              <c:x val="0.96414909434982432"/>
              <c:y val="0.1908172514619883"/>
            </c:manualLayout>
          </c:layout>
          <c:overlay val="0"/>
        </c:title>
        <c:numFmt formatCode="#,##0;\-#,##0;;" sourceLinked="0"/>
        <c:majorTickMark val="out"/>
        <c:minorTickMark val="none"/>
        <c:tickLblPos val="nextTo"/>
        <c:spPr>
          <a:ln>
            <a:noFill/>
          </a:ln>
        </c:spPr>
        <c:crossAx val="683810104"/>
        <c:crosses val="max"/>
        <c:crossBetween val="between"/>
        <c:majorUnit val="84.6"/>
      </c:valAx>
      <c:catAx>
        <c:axId val="683810104"/>
        <c:scaling>
          <c:orientation val="minMax"/>
        </c:scaling>
        <c:delete val="1"/>
        <c:axPos val="b"/>
        <c:majorTickMark val="out"/>
        <c:minorTickMark val="none"/>
        <c:tickLblPos val="nextTo"/>
        <c:crossAx val="683810760"/>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3917883211678834"/>
          <c:y val="1.1762850952462938E-2"/>
          <c:w val="0.43655318239357138"/>
          <c:h val="5.5185089877524171E-2"/>
        </c:manualLayout>
      </c:layout>
      <c:overlay val="0"/>
    </c:legend>
    <c:plotVisOnly val="1"/>
    <c:dispBlanksAs val="gap"/>
    <c:showDLblsOverMax val="0"/>
  </c:chart>
  <c:spPr>
    <a:ln>
      <a:noFill/>
    </a:ln>
  </c:spPr>
  <c:printSettings>
    <c:headerFooter/>
    <c:pageMargins b="0.75000000000000844" l="0.70000000000000062" r="0.70000000000000062" t="0.75000000000000844"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22608695652174"/>
          <c:y val="7.1122962962962957E-2"/>
          <c:w val="0.87656330261729487"/>
          <c:h val="0.39386666666666664"/>
        </c:manualLayout>
      </c:layout>
      <c:barChart>
        <c:barDir val="col"/>
        <c:grouping val="stacked"/>
        <c:varyColors val="0"/>
        <c:ser>
          <c:idx val="1"/>
          <c:order val="0"/>
          <c:tx>
            <c:strRef>
              <c:f>'Trends and nat. data'!$C$40</c:f>
              <c:strCache>
                <c:ptCount val="1"/>
                <c:pt idx="0">
                  <c:v>Disposal</c:v>
                </c:pt>
              </c:strCache>
            </c:strRef>
          </c:tx>
          <c:spPr>
            <a:solidFill>
              <a:schemeClr val="accent3">
                <a:lumMod val="50000"/>
              </a:schemeClr>
            </a:solidFill>
          </c:spPr>
          <c:invertIfNegative val="0"/>
          <c:dLbls>
            <c:delete val="1"/>
          </c:dLbls>
          <c:cat>
            <c:strRef>
              <c:f>('Trends and nat. data'!$AY$8:$BB$8,'Trends and nat. data'!$AY$10:$BB$10,'Trends and nat. data'!$AY$11:$BB$11,'Trends and nat. data'!$AY$13:$BB$13,'Trends and nat. data'!$AY$14:$BB$14)</c:f>
              <c:strCache>
                <c:ptCount val="17"/>
                <c:pt idx="0">
                  <c:v>NSW</c:v>
                </c:pt>
                <c:pt idx="4">
                  <c:v>Qld</c:v>
                </c:pt>
                <c:pt idx="8">
                  <c:v>SA</c:v>
                </c:pt>
                <c:pt idx="12">
                  <c:v>Vic</c:v>
                </c:pt>
                <c:pt idx="16">
                  <c:v>WA</c:v>
                </c:pt>
              </c:strCache>
            </c:strRef>
          </c:cat>
          <c:val>
            <c:numRef>
              <c:f>('Trends and nat. data'!$L$12:$O$12,'Trends and nat. data'!$L$20:$O$20,'Trends and nat. data'!$L$24:$O$24,'Trends and nat. data'!$L$32:$O$32,'Trends and nat. data'!$L$36:$O$36)</c:f>
              <c:numCache>
                <c:formatCode>#,##0</c:formatCode>
                <c:ptCount val="20"/>
                <c:pt idx="0">
                  <c:v>248.68435841373611</c:v>
                </c:pt>
                <c:pt idx="1">
                  <c:v>423.8897069288949</c:v>
                </c:pt>
                <c:pt idx="2">
                  <c:v>317.94764267489461</c:v>
                </c:pt>
                <c:pt idx="3">
                  <c:v>210.6807856061003</c:v>
                </c:pt>
                <c:pt idx="4">
                  <c:v>341.61830726513841</c:v>
                </c:pt>
                <c:pt idx="5">
                  <c:v>1328.6188956162246</c:v>
                </c:pt>
                <c:pt idx="6">
                  <c:v>416.43380287044363</c:v>
                </c:pt>
                <c:pt idx="7">
                  <c:v>392.88214741835282</c:v>
                </c:pt>
                <c:pt idx="8">
                  <c:v>120.95979547644011</c:v>
                </c:pt>
                <c:pt idx="9">
                  <c:v>177.14728494598702</c:v>
                </c:pt>
                <c:pt idx="10">
                  <c:v>177.14728494598702</c:v>
                </c:pt>
                <c:pt idx="11">
                  <c:v>274.0036326632441</c:v>
                </c:pt>
                <c:pt idx="12">
                  <c:v>247.24612758873488</c:v>
                </c:pt>
                <c:pt idx="13">
                  <c:v>343.19760635772371</c:v>
                </c:pt>
                <c:pt idx="14">
                  <c:v>233.59400048079942</c:v>
                </c:pt>
                <c:pt idx="15">
                  <c:v>201.11963813367075</c:v>
                </c:pt>
                <c:pt idx="16">
                  <c:v>369.95194950690353</c:v>
                </c:pt>
                <c:pt idx="17">
                  <c:v>353.10015710221529</c:v>
                </c:pt>
                <c:pt idx="18">
                  <c:v>291.03184012150939</c:v>
                </c:pt>
                <c:pt idx="19">
                  <c:v>697.47327073808981</c:v>
                </c:pt>
              </c:numCache>
            </c:numRef>
          </c:val>
          <c:extLst>
            <c:ext xmlns:c16="http://schemas.microsoft.com/office/drawing/2014/chart" uri="{C3380CC4-5D6E-409C-BE32-E72D297353CC}">
              <c16:uniqueId val="{00000000-1078-4E6C-82D7-049A0B7D6A2A}"/>
            </c:ext>
          </c:extLst>
        </c:ser>
        <c:ser>
          <c:idx val="2"/>
          <c:order val="1"/>
          <c:tx>
            <c:strRef>
              <c:f>'Trends and nat. data'!$C$41</c:f>
              <c:strCache>
                <c:ptCount val="1"/>
                <c:pt idx="0">
                  <c:v>Recycling</c:v>
                </c:pt>
              </c:strCache>
            </c:strRef>
          </c:tx>
          <c:spPr>
            <a:solidFill>
              <a:srgbClr val="FFFF00"/>
            </a:solidFill>
          </c:spPr>
          <c:invertIfNegative val="0"/>
          <c:dLbls>
            <c:delete val="1"/>
          </c:dLbls>
          <c:cat>
            <c:strRef>
              <c:f>('Trends and nat. data'!$AY$8:$BB$8,'Trends and nat. data'!$AY$10:$BB$10,'Trends and nat. data'!$AY$11:$BB$11,'Trends and nat. data'!$AY$13:$BB$13,'Trends and nat. data'!$AY$14:$BB$14)</c:f>
              <c:strCache>
                <c:ptCount val="17"/>
                <c:pt idx="0">
                  <c:v>NSW</c:v>
                </c:pt>
                <c:pt idx="4">
                  <c:v>Qld</c:v>
                </c:pt>
                <c:pt idx="8">
                  <c:v>SA</c:v>
                </c:pt>
                <c:pt idx="12">
                  <c:v>Vic</c:v>
                </c:pt>
                <c:pt idx="16">
                  <c:v>WA</c:v>
                </c:pt>
              </c:strCache>
            </c:strRef>
          </c:cat>
          <c:val>
            <c:numRef>
              <c:f>('Trends and nat. data'!$L$13:$O$13,'Trends and nat. data'!$L$21:$O$21,'Trends and nat. data'!$L$25:$O$25,'Trends and nat. data'!$L$33:$O$33,'Trends and nat. data'!$L$37:$O$37)</c:f>
              <c:numCache>
                <c:formatCode>#,##0</c:formatCode>
                <c:ptCount val="20"/>
                <c:pt idx="0">
                  <c:v>311.69888703848744</c:v>
                </c:pt>
                <c:pt idx="1">
                  <c:v>620.7613831373809</c:v>
                </c:pt>
                <c:pt idx="2">
                  <c:v>364.48797380982654</c:v>
                </c:pt>
                <c:pt idx="3">
                  <c:v>582.34407021501625</c:v>
                </c:pt>
                <c:pt idx="4">
                  <c:v>157.84392165915079</c:v>
                </c:pt>
                <c:pt idx="5">
                  <c:v>667.34893558705994</c:v>
                </c:pt>
                <c:pt idx="6">
                  <c:v>481.28631304957514</c:v>
                </c:pt>
                <c:pt idx="7">
                  <c:v>338.20028400504583</c:v>
                </c:pt>
                <c:pt idx="8">
                  <c:v>257.37814938754445</c:v>
                </c:pt>
                <c:pt idx="9">
                  <c:v>981.03859205554761</c:v>
                </c:pt>
                <c:pt idx="10">
                  <c:v>894.73002711278616</c:v>
                </c:pt>
                <c:pt idx="11">
                  <c:v>714.93358634437016</c:v>
                </c:pt>
                <c:pt idx="12">
                  <c:v>211.04560986859033</c:v>
                </c:pt>
                <c:pt idx="13">
                  <c:v>865.30679747753891</c:v>
                </c:pt>
                <c:pt idx="14">
                  <c:v>600.17613431309769</c:v>
                </c:pt>
                <c:pt idx="15">
                  <c:v>617.7133966411152</c:v>
                </c:pt>
                <c:pt idx="16">
                  <c:v>213.84474836582953</c:v>
                </c:pt>
                <c:pt idx="17">
                  <c:v>619.29838858606945</c:v>
                </c:pt>
                <c:pt idx="18">
                  <c:v>469.15538999645861</c:v>
                </c:pt>
                <c:pt idx="19">
                  <c:v>492.46197281737921</c:v>
                </c:pt>
              </c:numCache>
            </c:numRef>
          </c:val>
          <c:extLst>
            <c:ext xmlns:c16="http://schemas.microsoft.com/office/drawing/2014/chart" uri="{C3380CC4-5D6E-409C-BE32-E72D297353CC}">
              <c16:uniqueId val="{00000001-1078-4E6C-82D7-049A0B7D6A2A}"/>
            </c:ext>
          </c:extLst>
        </c:ser>
        <c:ser>
          <c:idx val="3"/>
          <c:order val="2"/>
          <c:tx>
            <c:strRef>
              <c:f>'Trends and nat. data'!$C$42</c:f>
              <c:strCache>
                <c:ptCount val="1"/>
                <c:pt idx="0">
                  <c:v>Energy recovery</c:v>
                </c:pt>
              </c:strCache>
            </c:strRef>
          </c:tx>
          <c:spPr>
            <a:solidFill>
              <a:srgbClr val="E46C0A"/>
            </a:solidFill>
          </c:spPr>
          <c:invertIfNegative val="0"/>
          <c:dLbls>
            <c:delete val="1"/>
          </c:dLbls>
          <c:cat>
            <c:strRef>
              <c:f>('Trends and nat. data'!$AY$8:$BB$8,'Trends and nat. data'!$AY$10:$BB$10,'Trends and nat. data'!$AY$11:$BB$11,'Trends and nat. data'!$AY$13:$BB$13,'Trends and nat. data'!$AY$14:$BB$14)</c:f>
              <c:strCache>
                <c:ptCount val="17"/>
                <c:pt idx="0">
                  <c:v>NSW</c:v>
                </c:pt>
                <c:pt idx="4">
                  <c:v>Qld</c:v>
                </c:pt>
                <c:pt idx="8">
                  <c:v>SA</c:v>
                </c:pt>
                <c:pt idx="12">
                  <c:v>Vic</c:v>
                </c:pt>
                <c:pt idx="16">
                  <c:v>WA</c:v>
                </c:pt>
              </c:strCache>
            </c:strRef>
          </c:cat>
          <c:val>
            <c:numRef>
              <c:f>('Trends and nat. data'!$L$14:$O$14,'Trends and nat. data'!$L$22:$O$22,'Trends and nat. data'!$L$26:$O$26,'Trends and nat. data'!$L$34:$O$34,'Trends and nat. data'!$L$38:$O$38)</c:f>
              <c:numCache>
                <c:formatCode>#,##0</c:formatCode>
                <c:ptCount val="20"/>
                <c:pt idx="0">
                  <c:v>48.416464972772054</c:v>
                </c:pt>
                <c:pt idx="1">
                  <c:v>45.936240350380814</c:v>
                </c:pt>
                <c:pt idx="2">
                  <c:v>45.936240350380814</c:v>
                </c:pt>
                <c:pt idx="3">
                  <c:v>14.147128283154476</c:v>
                </c:pt>
                <c:pt idx="4">
                  <c:v>51.917061967111309</c:v>
                </c:pt>
                <c:pt idx="5">
                  <c:v>28.04897129422616</c:v>
                </c:pt>
                <c:pt idx="6">
                  <c:v>28.04897129422616</c:v>
                </c:pt>
                <c:pt idx="7">
                  <c:v>2.1259535795563007</c:v>
                </c:pt>
                <c:pt idx="8">
                  <c:v>33.078718242779182</c:v>
                </c:pt>
                <c:pt idx="9">
                  <c:v>48.458169749393633</c:v>
                </c:pt>
                <c:pt idx="10">
                  <c:v>48.458169749393633</c:v>
                </c:pt>
                <c:pt idx="11">
                  <c:v>6.7948303626816635</c:v>
                </c:pt>
                <c:pt idx="12">
                  <c:v>67.441155550554512</c:v>
                </c:pt>
                <c:pt idx="13">
                  <c:v>34.72792460274448</c:v>
                </c:pt>
                <c:pt idx="14">
                  <c:v>34.72792460274448</c:v>
                </c:pt>
                <c:pt idx="15">
                  <c:v>2.727809732740639</c:v>
                </c:pt>
                <c:pt idx="16">
                  <c:v>50.879010771617821</c:v>
                </c:pt>
                <c:pt idx="17">
                  <c:v>30.887601391172904</c:v>
                </c:pt>
                <c:pt idx="18">
                  <c:v>30.887601391172904</c:v>
                </c:pt>
                <c:pt idx="19">
                  <c:v>7.4260946818524385</c:v>
                </c:pt>
              </c:numCache>
            </c:numRef>
          </c:val>
          <c:extLst>
            <c:ext xmlns:c16="http://schemas.microsoft.com/office/drawing/2014/chart" uri="{C3380CC4-5D6E-409C-BE32-E72D297353CC}">
              <c16:uniqueId val="{00000002-1078-4E6C-82D7-049A0B7D6A2A}"/>
            </c:ext>
          </c:extLst>
        </c:ser>
        <c:ser>
          <c:idx val="0"/>
          <c:order val="3"/>
          <c:tx>
            <c:strRef>
              <c:f>'Trends and nat. data'!$C$44</c:f>
              <c:strCache>
                <c:ptCount val="1"/>
                <c:pt idx="0">
                  <c:v>Recovery rate</c:v>
                </c:pt>
              </c:strCache>
            </c:strRef>
          </c:tx>
          <c:spPr>
            <a:noFill/>
          </c:spPr>
          <c:invertIfNegative val="0"/>
          <c:dLbls>
            <c:dLbl>
              <c:idx val="1"/>
              <c:layout>
                <c:manualLayout>
                  <c:x val="0"/>
                  <c:y val="-4.67342105263157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D8-454B-B272-314B068FF565}"/>
                </c:ext>
              </c:extLst>
            </c:dLbl>
            <c:dLbl>
              <c:idx val="2"/>
              <c:layout>
                <c:manualLayout>
                  <c:x val="0"/>
                  <c:y val="-4.64742063492063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D8-454B-B272-314B068FF565}"/>
                </c:ext>
              </c:extLst>
            </c:dLbl>
            <c:dLbl>
              <c:idx val="3"/>
              <c:layout>
                <c:manualLayout>
                  <c:x val="-2.8119642953365897E-17"/>
                  <c:y val="-3.825436507936508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DF-4E81-A1A1-17E82B02A555}"/>
                </c:ext>
              </c:extLst>
            </c:dLbl>
            <c:dLbl>
              <c:idx val="5"/>
              <c:layout>
                <c:manualLayout>
                  <c:x val="0"/>
                  <c:y val="-3.324642857142857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DF-4E81-A1A1-17E82B02A555}"/>
                </c:ext>
              </c:extLst>
            </c:dLbl>
            <c:dLbl>
              <c:idx val="6"/>
              <c:layout>
                <c:manualLayout>
                  <c:x val="-5.6239285906731795E-17"/>
                  <c:y val="-7.3547222222222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DF-4E81-A1A1-17E82B02A555}"/>
                </c:ext>
              </c:extLst>
            </c:dLbl>
            <c:dLbl>
              <c:idx val="7"/>
              <c:layout>
                <c:manualLayout>
                  <c:x val="0"/>
                  <c:y val="-4.277063492063491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85-48F6-BB70-B02590F9FCE9}"/>
                </c:ext>
              </c:extLst>
            </c:dLbl>
            <c:dLbl>
              <c:idx val="8"/>
              <c:layout>
                <c:manualLayout>
                  <c:x val="0"/>
                  <c:y val="-6.5290935672514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85-48F6-BB70-B02590F9FCE9}"/>
                </c:ext>
              </c:extLst>
            </c:dLbl>
            <c:dLbl>
              <c:idx val="9"/>
              <c:layout>
                <c:manualLayout>
                  <c:x val="0"/>
                  <c:y val="-4.67093567251462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6D8-454B-B272-314B068FF565}"/>
                </c:ext>
              </c:extLst>
            </c:dLbl>
            <c:dLbl>
              <c:idx val="10"/>
              <c:layout>
                <c:manualLayout>
                  <c:x val="-1.5338164251207729E-3"/>
                  <c:y val="-5.785116959064334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85-48F6-BB70-B02590F9FCE9}"/>
                </c:ext>
              </c:extLst>
            </c:dLbl>
            <c:dLbl>
              <c:idx val="11"/>
              <c:layout>
                <c:manualLayout>
                  <c:x val="0"/>
                  <c:y val="-6.52888888888888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85-48F6-BB70-B02590F9FCE9}"/>
                </c:ext>
              </c:extLst>
            </c:dLbl>
            <c:dLbl>
              <c:idx val="13"/>
              <c:layout>
                <c:manualLayout>
                  <c:x val="0"/>
                  <c:y val="-2.44412280701754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8-454B-B272-314B068FF565}"/>
                </c:ext>
              </c:extLst>
            </c:dLbl>
            <c:dLbl>
              <c:idx val="14"/>
              <c:layout>
                <c:manualLayout>
                  <c:x val="0"/>
                  <c:y val="-7.85726190476190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DF-4E81-A1A1-17E82B02A555}"/>
                </c:ext>
              </c:extLst>
            </c:dLbl>
            <c:dLbl>
              <c:idx val="15"/>
              <c:layout>
                <c:manualLayout>
                  <c:x val="-1.1247857181346359E-16"/>
                  <c:y val="-8.3609920634920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DF-4E81-A1A1-17E82B02A555}"/>
                </c:ext>
              </c:extLst>
            </c:dLbl>
            <c:dLbl>
              <c:idx val="16"/>
              <c:layout>
                <c:manualLayout>
                  <c:x val="-1.1247857181346359E-16"/>
                  <c:y val="-2.81871345029239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8-454B-B272-314B068FF565}"/>
                </c:ext>
              </c:extLst>
            </c:dLbl>
            <c:dLbl>
              <c:idx val="17"/>
              <c:layout>
                <c:manualLayout>
                  <c:x val="0"/>
                  <c:y val="-6.529707602339185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85-48F6-BB70-B02590F9FCE9}"/>
                </c:ext>
              </c:extLst>
            </c:dLbl>
            <c:dLbl>
              <c:idx val="18"/>
              <c:layout>
                <c:manualLayout>
                  <c:x val="0"/>
                  <c:y val="-3.32234126984127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DF-4E81-A1A1-17E82B02A555}"/>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('Trends and nat. data'!$AY$8:$BB$8,'Trends and nat. data'!$AY$10:$BB$10,'Trends and nat. data'!$AY$11:$BB$11,'Trends and nat. data'!$AY$13:$BB$13,'Trends and nat. data'!$AY$14:$BB$14)</c:f>
              <c:strCache>
                <c:ptCount val="17"/>
                <c:pt idx="0">
                  <c:v>NSW</c:v>
                </c:pt>
                <c:pt idx="4">
                  <c:v>Qld</c:v>
                </c:pt>
                <c:pt idx="8">
                  <c:v>SA</c:v>
                </c:pt>
                <c:pt idx="12">
                  <c:v>Vic</c:v>
                </c:pt>
                <c:pt idx="16">
                  <c:v>WA</c:v>
                </c:pt>
              </c:strCache>
            </c:strRef>
          </c:cat>
          <c:val>
            <c:numRef>
              <c:f>('Trends and nat. data'!$D$15:$G$15,'Trends and nat. data'!$D$23:$G$23,'Trends and nat. data'!$D$27:$G$27,'Trends and nat. data'!$D$35:$G$35,'Trends and nat. data'!$D$39:$G$39)</c:f>
              <c:numCache>
                <c:formatCode>0%</c:formatCode>
                <c:ptCount val="20"/>
                <c:pt idx="0">
                  <c:v>0.59151695679990934</c:v>
                </c:pt>
                <c:pt idx="1">
                  <c:v>0.61131979520892787</c:v>
                </c:pt>
                <c:pt idx="2">
                  <c:v>0.56348170279885534</c:v>
                </c:pt>
                <c:pt idx="3">
                  <c:v>0.73898897663067997</c:v>
                </c:pt>
                <c:pt idx="4">
                  <c:v>0.38042956471424055</c:v>
                </c:pt>
                <c:pt idx="5">
                  <c:v>0.34357318873203446</c:v>
                </c:pt>
                <c:pt idx="6">
                  <c:v>0.55017529897920325</c:v>
                </c:pt>
                <c:pt idx="7">
                  <c:v>0.46416031860196277</c:v>
                </c:pt>
                <c:pt idx="8">
                  <c:v>0.70599198738566726</c:v>
                </c:pt>
                <c:pt idx="9">
                  <c:v>0.85319010571263099</c:v>
                </c:pt>
                <c:pt idx="10">
                  <c:v>0.84188014409748069</c:v>
                </c:pt>
                <c:pt idx="11">
                  <c:v>0.72482192088069797</c:v>
                </c:pt>
                <c:pt idx="12">
                  <c:v>0.52971151153551821</c:v>
                </c:pt>
                <c:pt idx="13">
                  <c:v>0.72394732785873095</c:v>
                </c:pt>
                <c:pt idx="14">
                  <c:v>0.73103681930725273</c:v>
                </c:pt>
                <c:pt idx="15">
                  <c:v>0.75519812138292786</c:v>
                </c:pt>
                <c:pt idx="16">
                  <c:v>0.41710082098917839</c:v>
                </c:pt>
                <c:pt idx="17">
                  <c:v>0.64805638139220634</c:v>
                </c:pt>
                <c:pt idx="18">
                  <c:v>0.63210580272626649</c:v>
                </c:pt>
                <c:pt idx="19">
                  <c:v>0.41749140508840443</c:v>
                </c:pt>
              </c:numCache>
            </c:numRef>
          </c:val>
          <c:extLst>
            <c:ext xmlns:c16="http://schemas.microsoft.com/office/drawing/2014/chart" uri="{C3380CC4-5D6E-409C-BE32-E72D297353CC}">
              <c16:uniqueId val="{00000003-1078-4E6C-82D7-049A0B7D6A2A}"/>
            </c:ext>
          </c:extLst>
        </c:ser>
        <c:dLbls>
          <c:showLegendKey val="0"/>
          <c:showVal val="1"/>
          <c:showCatName val="0"/>
          <c:showSerName val="0"/>
          <c:showPercent val="0"/>
          <c:showBubbleSize val="0"/>
        </c:dLbls>
        <c:gapWidth val="26"/>
        <c:overlap val="100"/>
        <c:axId val="225075200"/>
        <c:axId val="225076736"/>
      </c:barChart>
      <c:catAx>
        <c:axId val="225075200"/>
        <c:scaling>
          <c:orientation val="minMax"/>
        </c:scaling>
        <c:delete val="0"/>
        <c:axPos val="b"/>
        <c:numFmt formatCode="General" sourceLinked="0"/>
        <c:majorTickMark val="out"/>
        <c:minorTickMark val="none"/>
        <c:tickLblPos val="nextTo"/>
        <c:spPr>
          <a:noFill/>
          <a:ln w="2540">
            <a:solidFill>
              <a:schemeClr val="bg1">
                <a:lumMod val="95000"/>
              </a:schemeClr>
            </a:solidFill>
          </a:ln>
        </c:spPr>
        <c:txPr>
          <a:bodyPr/>
          <a:lstStyle/>
          <a:p>
            <a:pPr>
              <a:defRPr>
                <a:solidFill>
                  <a:schemeClr val="bg1"/>
                </a:solidFill>
              </a:defRPr>
            </a:pPr>
            <a:endParaRPr lang="en-US"/>
          </a:p>
        </c:txPr>
        <c:crossAx val="225076736"/>
        <c:crosses val="autoZero"/>
        <c:auto val="1"/>
        <c:lblAlgn val="ctr"/>
        <c:lblOffset val="50"/>
        <c:noMultiLvlLbl val="0"/>
      </c:catAx>
      <c:valAx>
        <c:axId val="225076736"/>
        <c:scaling>
          <c:orientation val="minMax"/>
          <c:min val="0"/>
        </c:scaling>
        <c:delete val="0"/>
        <c:axPos val="l"/>
        <c:majorGridlines>
          <c:spPr>
            <a:ln w="2540"/>
          </c:spPr>
        </c:majorGridlines>
        <c:title>
          <c:tx>
            <c:rich>
              <a:bodyPr rot="-5400000" vert="horz"/>
              <a:lstStyle/>
              <a:p>
                <a:pPr>
                  <a:defRPr/>
                </a:pPr>
                <a:r>
                  <a:rPr lang="en-US"/>
                  <a:t>Kg per capita</a:t>
                </a:r>
              </a:p>
            </c:rich>
          </c:tx>
          <c:layout>
            <c:manualLayout>
              <c:xMode val="edge"/>
              <c:yMode val="edge"/>
              <c:x val="3.2697222222222225E-2"/>
              <c:y val="0.20957426900584794"/>
            </c:manualLayout>
          </c:layout>
          <c:overlay val="0"/>
        </c:title>
        <c:numFmt formatCode="#,##0" sourceLinked="0"/>
        <c:majorTickMark val="out"/>
        <c:minorTickMark val="none"/>
        <c:tickLblPos val="nextTo"/>
        <c:spPr>
          <a:ln>
            <a:noFill/>
          </a:ln>
        </c:spPr>
        <c:crossAx val="225075200"/>
        <c:crosses val="autoZero"/>
        <c:crossBetween val="between"/>
        <c:majorUnit val="600"/>
      </c:valAx>
    </c:plotArea>
    <c:legend>
      <c:legendPos val="t"/>
      <c:legendEntry>
        <c:idx val="3"/>
        <c:delete val="1"/>
      </c:legendEntry>
      <c:layout>
        <c:manualLayout>
          <c:xMode val="edge"/>
          <c:yMode val="edge"/>
          <c:x val="0.3616533816425121"/>
          <c:y val="2.3873015873015877E-3"/>
          <c:w val="0.31350471014492753"/>
          <c:h val="6.7150000000000001E-2"/>
        </c:manualLayout>
      </c:layout>
      <c:overlay val="0"/>
    </c:legend>
    <c:plotVisOnly val="1"/>
    <c:dispBlanksAs val="gap"/>
    <c:showDLblsOverMax val="0"/>
  </c:chart>
  <c:spPr>
    <a:ln>
      <a:noFill/>
    </a:ln>
  </c:spPr>
  <c:txPr>
    <a:bodyPr/>
    <a:lstStyle/>
    <a:p>
      <a:pPr>
        <a:defRPr sz="1000"/>
      </a:pPr>
      <a:endParaRPr lang="en-US"/>
    </a:p>
  </c:tx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1535152724705"/>
          <c:y val="8.0557449704387885E-2"/>
          <c:w val="0.72450620821394462"/>
          <c:h val="0.23359453286202525"/>
        </c:manualLayout>
      </c:layout>
      <c:barChart>
        <c:barDir val="col"/>
        <c:grouping val="stacked"/>
        <c:varyColors val="0"/>
        <c:ser>
          <c:idx val="0"/>
          <c:order val="0"/>
          <c:tx>
            <c:strRef>
              <c:f>ACT.!$N$75</c:f>
              <c:strCache>
                <c:ptCount val="1"/>
                <c:pt idx="0">
                  <c:v>Disposal (kt)</c:v>
                </c:pt>
              </c:strCache>
            </c:strRef>
          </c:tx>
          <c:spPr>
            <a:noFill/>
          </c:spPr>
          <c:invertIfNegative val="0"/>
          <c:cat>
            <c:strRef>
              <c:f>ACT.!$B$79:$B$86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ACT.!$D$79:$D$86</c:f>
              <c:numCache>
                <c:formatCode>#,##0</c:formatCode>
                <c:ptCount val="8"/>
                <c:pt idx="0">
                  <c:v>13.920387681885527</c:v>
                </c:pt>
                <c:pt idx="1">
                  <c:v>5.0752453974884624</c:v>
                </c:pt>
                <c:pt idx="2">
                  <c:v>83.146871795306993</c:v>
                </c:pt>
                <c:pt idx="3">
                  <c:v>30.619295371617721</c:v>
                </c:pt>
                <c:pt idx="4">
                  <c:v>32.109434780991826</c:v>
                </c:pt>
                <c:pt idx="5">
                  <c:v>10.176019391666838</c:v>
                </c:pt>
                <c:pt idx="6">
                  <c:v>6.1249008724359468</c:v>
                </c:pt>
                <c:pt idx="7">
                  <c:v>9.3505852463813106</c:v>
                </c:pt>
              </c:numCache>
            </c:numRef>
          </c:val>
          <c:extLst>
            <c:ext xmlns:c16="http://schemas.microsoft.com/office/drawing/2014/chart" uri="{C3380CC4-5D6E-409C-BE32-E72D297353CC}">
              <c16:uniqueId val="{00000000-B2FF-4204-A016-ABCB0B966EE1}"/>
            </c:ext>
          </c:extLst>
        </c:ser>
        <c:ser>
          <c:idx val="1"/>
          <c:order val="1"/>
          <c:tx>
            <c:strRef>
              <c:f>ACT.!$O$75</c:f>
              <c:strCache>
                <c:ptCount val="1"/>
                <c:pt idx="0">
                  <c:v>Recycling (kt)</c:v>
                </c:pt>
              </c:strCache>
            </c:strRef>
          </c:tx>
          <c:spPr>
            <a:noFill/>
          </c:spPr>
          <c:invertIfNegative val="0"/>
          <c:cat>
            <c:strRef>
              <c:f>ACT.!$B$79:$B$86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ACT.!$E$79:$E$86</c:f>
              <c:numCache>
                <c:formatCode>#,##0</c:formatCode>
                <c:ptCount val="8"/>
                <c:pt idx="0">
                  <c:v>184.54906080048073</c:v>
                </c:pt>
                <c:pt idx="1">
                  <c:v>23.885062298835305</c:v>
                </c:pt>
                <c:pt idx="2">
                  <c:v>221.13416251160567</c:v>
                </c:pt>
                <c:pt idx="3">
                  <c:v>30.158441182216528</c:v>
                </c:pt>
                <c:pt idx="4">
                  <c:v>2.7</c:v>
                </c:pt>
                <c:pt idx="5">
                  <c:v>12.837364660457212</c:v>
                </c:pt>
                <c:pt idx="6">
                  <c:v>1.2564656137328429</c:v>
                </c:pt>
                <c:pt idx="7">
                  <c:v>70.234554113723291</c:v>
                </c:pt>
              </c:numCache>
            </c:numRef>
          </c:val>
          <c:extLst>
            <c:ext xmlns:c16="http://schemas.microsoft.com/office/drawing/2014/chart" uri="{C3380CC4-5D6E-409C-BE32-E72D297353CC}">
              <c16:uniqueId val="{00000001-B2FF-4204-A016-ABCB0B966EE1}"/>
            </c:ext>
          </c:extLst>
        </c:ser>
        <c:ser>
          <c:idx val="2"/>
          <c:order val="2"/>
          <c:tx>
            <c:strRef>
              <c:f>ACT.!$P$75</c:f>
              <c:strCache>
                <c:ptCount val="1"/>
                <c:pt idx="0">
                  <c:v>En recovery (kt)</c:v>
                </c:pt>
              </c:strCache>
            </c:strRef>
          </c:tx>
          <c:spPr>
            <a:noFill/>
          </c:spPr>
          <c:invertIfNegative val="0"/>
          <c:cat>
            <c:strRef>
              <c:f>ACT.!$B$79:$B$86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ACT.!$F$79:$F$86</c:f>
              <c:numCache>
                <c:formatCode>#,##0</c:formatCode>
                <c:ptCount val="8"/>
                <c:pt idx="0">
                  <c:v>0</c:v>
                </c:pt>
                <c:pt idx="1">
                  <c:v>0</c:v>
                </c:pt>
                <c:pt idx="2">
                  <c:v>19.142763444933784</c:v>
                </c:pt>
                <c:pt idx="3">
                  <c:v>14.901891537405007</c:v>
                </c:pt>
                <c:pt idx="4">
                  <c:v>0</c:v>
                </c:pt>
                <c:pt idx="5">
                  <c:v>0</c:v>
                </c:pt>
                <c:pt idx="6">
                  <c:v>2.9583309716062649</c:v>
                </c:pt>
                <c:pt idx="7">
                  <c:v>1.2280384546791715E-13</c:v>
                </c:pt>
              </c:numCache>
            </c:numRef>
          </c:val>
          <c:extLst>
            <c:ext xmlns:c16="http://schemas.microsoft.com/office/drawing/2014/chart" uri="{C3380CC4-5D6E-409C-BE32-E72D297353CC}">
              <c16:uniqueId val="{00000002-B2FF-4204-A016-ABCB0B966EE1}"/>
            </c:ext>
          </c:extLst>
        </c:ser>
        <c:ser>
          <c:idx val="4"/>
          <c:order val="3"/>
          <c:tx>
            <c:strRef>
              <c:f>ACT.!$Q$75</c:f>
              <c:strCache>
                <c:ptCount val="1"/>
                <c:pt idx="0">
                  <c:v>Generation (kt)</c:v>
                </c:pt>
              </c:strCache>
            </c:strRef>
          </c:tx>
          <c:spPr>
            <a:noFill/>
            <a:ln>
              <a:noFill/>
            </a:ln>
          </c:spPr>
          <c:invertIfNegative val="0"/>
          <c:cat>
            <c:strRef>
              <c:f>ACT.!$B$79:$B$86</c:f>
              <c:strCache>
                <c:ptCount val="8"/>
                <c:pt idx="0">
                  <c:v>Masonry mat.</c:v>
                </c:pt>
                <c:pt idx="1">
                  <c:v>Metals</c:v>
                </c:pt>
                <c:pt idx="2">
                  <c:v>Organics</c:v>
                </c:pt>
                <c:pt idx="3">
                  <c:v>Paper &amp; c'board</c:v>
                </c:pt>
                <c:pt idx="4">
                  <c:v>Plastics</c:v>
                </c:pt>
                <c:pt idx="5">
                  <c:v>Glass</c:v>
                </c:pt>
                <c:pt idx="6">
                  <c:v>Other</c:v>
                </c:pt>
                <c:pt idx="7">
                  <c:v>Hazwaste</c:v>
                </c:pt>
              </c:strCache>
            </c:strRef>
          </c:cat>
          <c:val>
            <c:numRef>
              <c:f>ACT.!$G$79:$G$86</c:f>
              <c:numCache>
                <c:formatCode>#,##0</c:formatCode>
                <c:ptCount val="8"/>
                <c:pt idx="0">
                  <c:v>198.46944848236626</c:v>
                </c:pt>
                <c:pt idx="1">
                  <c:v>28.960307696323767</c:v>
                </c:pt>
                <c:pt idx="2">
                  <c:v>323.42379775184645</c:v>
                </c:pt>
                <c:pt idx="3">
                  <c:v>75.679628091239252</c:v>
                </c:pt>
                <c:pt idx="4">
                  <c:v>34.809434780991829</c:v>
                </c:pt>
                <c:pt idx="5">
                  <c:v>23.013384052124049</c:v>
                </c:pt>
                <c:pt idx="6">
                  <c:v>10.339697457775054</c:v>
                </c:pt>
                <c:pt idx="7">
                  <c:v>79.585139360104733</c:v>
                </c:pt>
              </c:numCache>
            </c:numRef>
          </c:val>
          <c:extLst>
            <c:ext xmlns:c16="http://schemas.microsoft.com/office/drawing/2014/chart" uri="{C3380CC4-5D6E-409C-BE32-E72D297353CC}">
              <c16:uniqueId val="{00000003-B2FF-4204-A016-ABCB0B966EE1}"/>
            </c:ext>
          </c:extLst>
        </c:ser>
        <c:ser>
          <c:idx val="3"/>
          <c:order val="4"/>
          <c:tx>
            <c:strRef>
              <c:f>ACT.!$R$75</c:f>
              <c:strCache>
                <c:ptCount val="1"/>
                <c:pt idx="0">
                  <c:v>Generation (kg/cap)</c:v>
                </c:pt>
              </c:strCache>
            </c:strRef>
          </c:tx>
          <c:spPr>
            <a:noFill/>
          </c:spPr>
          <c:invertIfNegative val="0"/>
          <c:val>
            <c:numRef>
              <c:f>ACT.!$L$79:$L$86</c:f>
              <c:numCache>
                <c:formatCode>#,##0</c:formatCode>
                <c:ptCount val="8"/>
                <c:pt idx="0">
                  <c:v>511.85955734061889</c:v>
                </c:pt>
                <c:pt idx="1">
                  <c:v>74.689633045488421</c:v>
                </c:pt>
                <c:pt idx="2">
                  <c:v>834.12113661106207</c:v>
                </c:pt>
                <c:pt idx="3">
                  <c:v>195.18037275105422</c:v>
                </c:pt>
                <c:pt idx="4">
                  <c:v>89.774733665663831</c:v>
                </c:pt>
                <c:pt idx="5">
                  <c:v>59.352311723063394</c:v>
                </c:pt>
                <c:pt idx="6">
                  <c:v>26.666436593856364</c:v>
                </c:pt>
                <c:pt idx="7">
                  <c:v>205.25282110296209</c:v>
                </c:pt>
              </c:numCache>
            </c:numRef>
          </c:val>
          <c:extLst>
            <c:ext xmlns:c16="http://schemas.microsoft.com/office/drawing/2014/chart" uri="{C3380CC4-5D6E-409C-BE32-E72D297353CC}">
              <c16:uniqueId val="{00000000-05DA-4C82-B6AE-17970B4567CB}"/>
            </c:ext>
          </c:extLst>
        </c:ser>
        <c:dLbls>
          <c:showLegendKey val="0"/>
          <c:showVal val="0"/>
          <c:showCatName val="0"/>
          <c:showSerName val="0"/>
          <c:showPercent val="0"/>
          <c:showBubbleSize val="0"/>
        </c:dLbls>
        <c:gapWidth val="150"/>
        <c:overlap val="100"/>
        <c:axId val="220093056"/>
        <c:axId val="220111232"/>
      </c:barChart>
      <c:catAx>
        <c:axId val="220093056"/>
        <c:scaling>
          <c:orientation val="minMax"/>
        </c:scaling>
        <c:delete val="1"/>
        <c:axPos val="b"/>
        <c:numFmt formatCode="General" sourceLinked="0"/>
        <c:majorTickMark val="none"/>
        <c:minorTickMark val="none"/>
        <c:tickLblPos val="nextTo"/>
        <c:crossAx val="220111232"/>
        <c:crosses val="autoZero"/>
        <c:auto val="1"/>
        <c:lblAlgn val="ctr"/>
        <c:lblOffset val="100"/>
        <c:noMultiLvlLbl val="0"/>
      </c:catAx>
      <c:valAx>
        <c:axId val="220111232"/>
        <c:scaling>
          <c:orientation val="minMax"/>
        </c:scaling>
        <c:delete val="1"/>
        <c:axPos val="l"/>
        <c:numFmt formatCode="#,##0" sourceLinked="0"/>
        <c:majorTickMark val="out"/>
        <c:minorTickMark val="none"/>
        <c:tickLblPos val="nextTo"/>
        <c:crossAx val="220093056"/>
        <c:crosses val="autoZero"/>
        <c:crossBetween val="between"/>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844" l="0.70000000000000062" r="0.70000000000000062" t="0.75000000000000844"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9624451787636"/>
          <c:y val="4.716597222222222E-2"/>
          <c:w val="0.76337769260950905"/>
          <c:h val="0.20285416666666667"/>
        </c:manualLayout>
      </c:layout>
      <c:barChart>
        <c:barDir val="col"/>
        <c:grouping val="stacked"/>
        <c:varyColors val="0"/>
        <c:ser>
          <c:idx val="0"/>
          <c:order val="0"/>
          <c:tx>
            <c:v>Disposal (Mt)</c:v>
          </c:tx>
          <c:spPr>
            <a:noFill/>
          </c:spPr>
          <c:invertIfNegative val="0"/>
          <c:cat>
            <c:strRef>
              <c:f>NSW.!$B$79:$B$87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'Trends and nat. data'!$D$57:$L$57</c:f>
              <c:numCache>
                <c:formatCode>#,##0.0</c:formatCode>
                <c:ptCount val="9"/>
                <c:pt idx="0">
                  <c:v>5.193820583808944</c:v>
                </c:pt>
                <c:pt idx="1">
                  <c:v>0.59931824029537706</c:v>
                </c:pt>
                <c:pt idx="2">
                  <c:v>6.2364638260746217</c:v>
                </c:pt>
                <c:pt idx="3">
                  <c:v>1.584406592729183</c:v>
                </c:pt>
                <c:pt idx="4">
                  <c:v>2.1573670534223037</c:v>
                </c:pt>
                <c:pt idx="5">
                  <c:v>0.46612295505867557</c:v>
                </c:pt>
                <c:pt idx="6">
                  <c:v>1.5749447480184224</c:v>
                </c:pt>
                <c:pt idx="7">
                  <c:v>3.1812451598532512</c:v>
                </c:pt>
                <c:pt idx="8">
                  <c:v>5.9383155000000007</c:v>
                </c:pt>
              </c:numCache>
            </c:numRef>
          </c:val>
          <c:extLst>
            <c:ext xmlns:c16="http://schemas.microsoft.com/office/drawing/2014/chart" uri="{C3380CC4-5D6E-409C-BE32-E72D297353CC}">
              <c16:uniqueId val="{00000000-7768-4AF3-A1C8-69BB03AFEA08}"/>
            </c:ext>
          </c:extLst>
        </c:ser>
        <c:ser>
          <c:idx val="1"/>
          <c:order val="1"/>
          <c:tx>
            <c:v>Recycling (Mt)</c:v>
          </c:tx>
          <c:spPr>
            <a:noFill/>
          </c:spPr>
          <c:invertIfNegative val="0"/>
          <c:cat>
            <c:strRef>
              <c:f>NSW.!$B$79:$B$87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'Trends and nat. data'!$D$58:$L$58</c:f>
              <c:numCache>
                <c:formatCode>#,##0.0</c:formatCode>
                <c:ptCount val="9"/>
                <c:pt idx="0">
                  <c:v>11.95718375031889</c:v>
                </c:pt>
                <c:pt idx="1">
                  <c:v>4.5685719138708256</c:v>
                </c:pt>
                <c:pt idx="2">
                  <c:v>5.2104645639640639</c:v>
                </c:pt>
                <c:pt idx="3">
                  <c:v>3.2282213331406062</c:v>
                </c:pt>
                <c:pt idx="4">
                  <c:v>0.34584083999999998</c:v>
                </c:pt>
                <c:pt idx="5">
                  <c:v>0.6020176590864128</c:v>
                </c:pt>
                <c:pt idx="6">
                  <c:v>9.0363344241901372E-2</c:v>
                </c:pt>
                <c:pt idx="7">
                  <c:v>3.8523195392770342</c:v>
                </c:pt>
                <c:pt idx="8">
                  <c:v>4.9152464999999994</c:v>
                </c:pt>
              </c:numCache>
            </c:numRef>
          </c:val>
          <c:extLst>
            <c:ext xmlns:c16="http://schemas.microsoft.com/office/drawing/2014/chart" uri="{C3380CC4-5D6E-409C-BE32-E72D297353CC}">
              <c16:uniqueId val="{00000001-7768-4AF3-A1C8-69BB03AFEA08}"/>
            </c:ext>
          </c:extLst>
        </c:ser>
        <c:ser>
          <c:idx val="2"/>
          <c:order val="2"/>
          <c:tx>
            <c:v>En recovery (Mt)</c:v>
          </c:tx>
          <c:spPr>
            <a:noFill/>
          </c:spPr>
          <c:invertIfNegative val="0"/>
          <c:cat>
            <c:strRef>
              <c:f>NSW.!$B$79:$B$87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'Trends and nat. data'!$D$59:$L$59</c:f>
              <c:numCache>
                <c:formatCode>#,##0.0</c:formatCode>
                <c:ptCount val="9"/>
                <c:pt idx="2">
                  <c:v>1.3600198783885851</c:v>
                </c:pt>
                <c:pt idx="3">
                  <c:v>0.45760319209112282</c:v>
                </c:pt>
                <c:pt idx="4" formatCode="#,##0.00">
                  <c:v>1.6500000000000001E-2</c:v>
                </c:pt>
                <c:pt idx="6">
                  <c:v>0.47715840501184315</c:v>
                </c:pt>
                <c:pt idx="7">
                  <c:v>2.4930452385502928E-14</c:v>
                </c:pt>
              </c:numCache>
            </c:numRef>
          </c:val>
          <c:extLst>
            <c:ext xmlns:c16="http://schemas.microsoft.com/office/drawing/2014/chart" uri="{C3380CC4-5D6E-409C-BE32-E72D297353CC}">
              <c16:uniqueId val="{00000002-7768-4AF3-A1C8-69BB03AFEA08}"/>
            </c:ext>
          </c:extLst>
        </c:ser>
        <c:ser>
          <c:idx val="3"/>
          <c:order val="3"/>
          <c:tx>
            <c:v>Generation (Mt)</c:v>
          </c:tx>
          <c:spPr>
            <a:noFill/>
            <a:ln>
              <a:noFill/>
            </a:ln>
          </c:spPr>
          <c:invertIfNegative val="0"/>
          <c:val>
            <c:numRef>
              <c:f>'Trends and nat. data'!$D$61:$L$61</c:f>
              <c:numCache>
                <c:formatCode>#,##0.0</c:formatCode>
                <c:ptCount val="9"/>
                <c:pt idx="0" formatCode="#,##0">
                  <c:v>17.151004334127833</c:v>
                </c:pt>
                <c:pt idx="1">
                  <c:v>5.1678901541662023</c:v>
                </c:pt>
                <c:pt idx="2" formatCode="#,##0">
                  <c:v>12.80694826842727</c:v>
                </c:pt>
                <c:pt idx="3">
                  <c:v>5.270231117960912</c:v>
                </c:pt>
                <c:pt idx="4">
                  <c:v>2.5197078934223041</c:v>
                </c:pt>
                <c:pt idx="5">
                  <c:v>1.0681406141450884</c:v>
                </c:pt>
                <c:pt idx="6">
                  <c:v>2.1424664972721672</c:v>
                </c:pt>
                <c:pt idx="7">
                  <c:v>7.0335646991303102</c:v>
                </c:pt>
                <c:pt idx="8" formatCode="#,##0">
                  <c:v>10.853562</c:v>
                </c:pt>
              </c:numCache>
            </c:numRef>
          </c:val>
          <c:extLst>
            <c:ext xmlns:c16="http://schemas.microsoft.com/office/drawing/2014/chart" uri="{C3380CC4-5D6E-409C-BE32-E72D297353CC}">
              <c16:uniqueId val="{00000003-7768-4AF3-A1C8-69BB03AFEA08}"/>
            </c:ext>
          </c:extLst>
        </c:ser>
        <c:ser>
          <c:idx val="4"/>
          <c:order val="4"/>
          <c:tx>
            <c:v>Generation (kg/cap)</c:v>
          </c:tx>
          <c:spPr>
            <a:noFill/>
          </c:spPr>
          <c:invertIfNegative val="0"/>
          <c:val>
            <c:numRef>
              <c:f>'Trends and nat. data'!$D$62:$L$62</c:f>
              <c:numCache>
                <c:formatCode>0</c:formatCode>
                <c:ptCount val="9"/>
                <c:pt idx="0">
                  <c:v>726.30030670640122</c:v>
                </c:pt>
                <c:pt idx="1">
                  <c:v>218.84667106795263</c:v>
                </c:pt>
                <c:pt idx="2">
                  <c:v>542.34086086858611</c:v>
                </c:pt>
                <c:pt idx="3">
                  <c:v>223.18054399717934</c:v>
                </c:pt>
                <c:pt idx="4">
                  <c:v>106.70305832537255</c:v>
                </c:pt>
                <c:pt idx="5">
                  <c:v>45.232969483625993</c:v>
                </c:pt>
                <c:pt idx="6">
                  <c:v>90.727868978530822</c:v>
                </c:pt>
                <c:pt idx="7">
                  <c:v>297.85312269163035</c:v>
                </c:pt>
                <c:pt idx="8">
                  <c:v>459.62004649320187</c:v>
                </c:pt>
              </c:numCache>
            </c:numRef>
          </c:val>
          <c:extLst>
            <c:ext xmlns:c16="http://schemas.microsoft.com/office/drawing/2014/chart" uri="{C3380CC4-5D6E-409C-BE32-E72D297353CC}">
              <c16:uniqueId val="{00000004-7768-4AF3-A1C8-69BB03AFEA08}"/>
            </c:ext>
          </c:extLst>
        </c:ser>
        <c:dLbls>
          <c:showLegendKey val="0"/>
          <c:showVal val="0"/>
          <c:showCatName val="0"/>
          <c:showSerName val="0"/>
          <c:showPercent val="0"/>
          <c:showBubbleSize val="0"/>
        </c:dLbls>
        <c:gapWidth val="150"/>
        <c:overlap val="100"/>
        <c:axId val="220573696"/>
        <c:axId val="220575232"/>
      </c:barChart>
      <c:catAx>
        <c:axId val="220573696"/>
        <c:scaling>
          <c:orientation val="minMax"/>
        </c:scaling>
        <c:delete val="1"/>
        <c:axPos val="b"/>
        <c:numFmt formatCode="General" sourceLinked="0"/>
        <c:majorTickMark val="none"/>
        <c:minorTickMark val="none"/>
        <c:tickLblPos val="nextTo"/>
        <c:crossAx val="220575232"/>
        <c:crosses val="autoZero"/>
        <c:auto val="1"/>
        <c:lblAlgn val="ctr"/>
        <c:lblOffset val="100"/>
        <c:noMultiLvlLbl val="0"/>
      </c:catAx>
      <c:valAx>
        <c:axId val="220575232"/>
        <c:scaling>
          <c:orientation val="minMax"/>
        </c:scaling>
        <c:delete val="1"/>
        <c:axPos val="l"/>
        <c:numFmt formatCode="#,##0" sourceLinked="0"/>
        <c:majorTickMark val="out"/>
        <c:minorTickMark val="none"/>
        <c:tickLblPos val="nextTo"/>
        <c:crossAx val="220573696"/>
        <c:crosses val="autoZero"/>
        <c:crossBetween val="between"/>
        <c:majorUnit val="2000"/>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txPr>
    <a:bodyPr/>
    <a:lstStyle/>
    <a:p>
      <a:pPr>
        <a:defRPr sz="850"/>
      </a:pPr>
      <a:endParaRPr lang="en-US"/>
    </a:p>
  </c:txPr>
  <c:printSettings>
    <c:headerFooter/>
    <c:pageMargins b="0.75000000000000844" l="0.70000000000000062" r="0.70000000000000062" t="0.75000000000000844"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79191919191916"/>
          <c:y val="0.1300082061505575"/>
          <c:w val="0.75358888888888886"/>
          <c:h val="0.70903027777777783"/>
        </c:manualLayout>
      </c:layout>
      <c:areaChart>
        <c:grouping val="stacked"/>
        <c:varyColors val="0"/>
        <c:ser>
          <c:idx val="0"/>
          <c:order val="0"/>
          <c:tx>
            <c:strRef>
              <c:f>'Trends and nat. data'!$B$343</c:f>
              <c:strCache>
                <c:ptCount val="1"/>
                <c:pt idx="0">
                  <c:v>ACT</c:v>
                </c:pt>
              </c:strCache>
            </c:strRef>
          </c:tx>
          <c:spPr>
            <a:solidFill>
              <a:schemeClr val="tx1">
                <a:lumMod val="85000"/>
                <a:lumOff val="15000"/>
              </a:schemeClr>
            </a:solidFill>
            <a:ln>
              <a:noFill/>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data'!$D$344:$L$344</c:f>
              <c:numCache>
                <c:formatCode>#,##0</c:formatCode>
                <c:ptCount val="9"/>
                <c:pt idx="0">
                  <c:v>29.251000000000001</c:v>
                </c:pt>
                <c:pt idx="1">
                  <c:v>29.702000000000002</c:v>
                </c:pt>
                <c:pt idx="2">
                  <c:v>30.69</c:v>
                </c:pt>
                <c:pt idx="3">
                  <c:v>31.606000000000002</c:v>
                </c:pt>
                <c:pt idx="4">
                  <c:v>32.692999999999998</c:v>
                </c:pt>
                <c:pt idx="5">
                  <c:v>33.197000000000003</c:v>
                </c:pt>
                <c:pt idx="6">
                  <c:v>34.161000000000001</c:v>
                </c:pt>
                <c:pt idx="7">
                  <c:v>34.398000000000003</c:v>
                </c:pt>
                <c:pt idx="8">
                  <c:v>34.866</c:v>
                </c:pt>
              </c:numCache>
            </c:numRef>
          </c:val>
          <c:extLst>
            <c:ext xmlns:c16="http://schemas.microsoft.com/office/drawing/2014/chart" uri="{C3380CC4-5D6E-409C-BE32-E72D297353CC}">
              <c16:uniqueId val="{00000000-3CEA-4580-89D2-206D96CEBCF5}"/>
            </c:ext>
          </c:extLst>
        </c:ser>
        <c:ser>
          <c:idx val="1"/>
          <c:order val="1"/>
          <c:tx>
            <c:strRef>
              <c:f>'Trends and nat. data'!$B$345</c:f>
              <c:strCache>
                <c:ptCount val="1"/>
                <c:pt idx="0">
                  <c:v>NSW</c:v>
                </c:pt>
              </c:strCache>
            </c:strRef>
          </c:tx>
          <c:spPr>
            <a:solidFill>
              <a:srgbClr val="00B0F0"/>
            </a:solidFill>
            <a:ln>
              <a:noFill/>
              <a:prstDash val="sysDash"/>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data'!$D$346:$L$346</c:f>
              <c:numCache>
                <c:formatCode>#,##0</c:formatCode>
                <c:ptCount val="9"/>
                <c:pt idx="0">
                  <c:v>428.995</c:v>
                </c:pt>
                <c:pt idx="1">
                  <c:v>440.09699999999998</c:v>
                </c:pt>
                <c:pt idx="2">
                  <c:v>444.68700000000001</c:v>
                </c:pt>
                <c:pt idx="3">
                  <c:v>453.31</c:v>
                </c:pt>
                <c:pt idx="4">
                  <c:v>466.09500000000003</c:v>
                </c:pt>
                <c:pt idx="5">
                  <c:v>474.721</c:v>
                </c:pt>
                <c:pt idx="6">
                  <c:v>484.154</c:v>
                </c:pt>
                <c:pt idx="7">
                  <c:v>495.23500000000001</c:v>
                </c:pt>
                <c:pt idx="8">
                  <c:v>506.91800000000001</c:v>
                </c:pt>
              </c:numCache>
            </c:numRef>
          </c:val>
          <c:extLst>
            <c:ext xmlns:c16="http://schemas.microsoft.com/office/drawing/2014/chart" uri="{C3380CC4-5D6E-409C-BE32-E72D297353CC}">
              <c16:uniqueId val="{00000001-3CEA-4580-89D2-206D96CEBCF5}"/>
            </c:ext>
          </c:extLst>
        </c:ser>
        <c:ser>
          <c:idx val="2"/>
          <c:order val="2"/>
          <c:tx>
            <c:strRef>
              <c:f>'Trends and nat. data'!$B$347</c:f>
              <c:strCache>
                <c:ptCount val="1"/>
                <c:pt idx="0">
                  <c:v>NT</c:v>
                </c:pt>
              </c:strCache>
            </c:strRef>
          </c:tx>
          <c:spPr>
            <a:solidFill>
              <a:srgbClr val="FFC000"/>
            </a:solidFill>
            <a:ln>
              <a:noFill/>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data'!$D$348:$L$348</c:f>
              <c:numCache>
                <c:formatCode>#,##0</c:formatCode>
                <c:ptCount val="9"/>
                <c:pt idx="0">
                  <c:v>16.123999999999999</c:v>
                </c:pt>
                <c:pt idx="1">
                  <c:v>16.532</c:v>
                </c:pt>
                <c:pt idx="2">
                  <c:v>18.062000000000001</c:v>
                </c:pt>
                <c:pt idx="3">
                  <c:v>17.608000000000001</c:v>
                </c:pt>
                <c:pt idx="4">
                  <c:v>17.934999999999999</c:v>
                </c:pt>
                <c:pt idx="5">
                  <c:v>18.512</c:v>
                </c:pt>
                <c:pt idx="6">
                  <c:v>19.739000000000001</c:v>
                </c:pt>
                <c:pt idx="7">
                  <c:v>20.323</c:v>
                </c:pt>
                <c:pt idx="8">
                  <c:v>22.45</c:v>
                </c:pt>
              </c:numCache>
            </c:numRef>
          </c:val>
          <c:extLst>
            <c:ext xmlns:c16="http://schemas.microsoft.com/office/drawing/2014/chart" uri="{C3380CC4-5D6E-409C-BE32-E72D297353CC}">
              <c16:uniqueId val="{00000002-3CEA-4580-89D2-206D96CEBCF5}"/>
            </c:ext>
          </c:extLst>
        </c:ser>
        <c:ser>
          <c:idx val="3"/>
          <c:order val="3"/>
          <c:tx>
            <c:strRef>
              <c:f>'Trends and nat. data'!$B$349</c:f>
              <c:strCache>
                <c:ptCount val="1"/>
                <c:pt idx="0">
                  <c:v>Qld</c:v>
                </c:pt>
              </c:strCache>
            </c:strRef>
          </c:tx>
          <c:spPr>
            <a:solidFill>
              <a:srgbClr val="73182C"/>
            </a:solidFill>
            <a:ln>
              <a:noFill/>
              <a:prstDash val="sysDash"/>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data'!$D$350:$L$350</c:f>
              <c:numCache>
                <c:formatCode>#,##0</c:formatCode>
                <c:ptCount val="9"/>
                <c:pt idx="0">
                  <c:v>247.727</c:v>
                </c:pt>
                <c:pt idx="1">
                  <c:v>259.44900000000001</c:v>
                </c:pt>
                <c:pt idx="2">
                  <c:v>263.15800000000002</c:v>
                </c:pt>
                <c:pt idx="3">
                  <c:v>266.70299999999997</c:v>
                </c:pt>
                <c:pt idx="4">
                  <c:v>268.05500000000001</c:v>
                </c:pt>
                <c:pt idx="5">
                  <c:v>283.596</c:v>
                </c:pt>
                <c:pt idx="6">
                  <c:v>290.53500000000003</c:v>
                </c:pt>
                <c:pt idx="7">
                  <c:v>298.68</c:v>
                </c:pt>
                <c:pt idx="8">
                  <c:v>300.27</c:v>
                </c:pt>
              </c:numCache>
            </c:numRef>
          </c:val>
          <c:extLst>
            <c:ext xmlns:c16="http://schemas.microsoft.com/office/drawing/2014/chart" uri="{C3380CC4-5D6E-409C-BE32-E72D297353CC}">
              <c16:uniqueId val="{00000003-3CEA-4580-89D2-206D96CEBCF5}"/>
            </c:ext>
          </c:extLst>
        </c:ser>
        <c:ser>
          <c:idx val="4"/>
          <c:order val="4"/>
          <c:tx>
            <c:strRef>
              <c:f>'Trends and nat. data'!$B$351</c:f>
              <c:strCache>
                <c:ptCount val="1"/>
                <c:pt idx="0">
                  <c:v>SA</c:v>
                </c:pt>
              </c:strCache>
            </c:strRef>
          </c:tx>
          <c:spPr>
            <a:solidFill>
              <a:srgbClr val="FF0000"/>
            </a:solidFill>
            <a:ln>
              <a:noFill/>
              <a:prstDash val="solid"/>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data'!$D$352:$L$352</c:f>
              <c:numCache>
                <c:formatCode>#,##0</c:formatCode>
                <c:ptCount val="9"/>
                <c:pt idx="0">
                  <c:v>83.584000000000003</c:v>
                </c:pt>
                <c:pt idx="1">
                  <c:v>88.058999999999997</c:v>
                </c:pt>
                <c:pt idx="2">
                  <c:v>90.474999999999994</c:v>
                </c:pt>
                <c:pt idx="3">
                  <c:v>91.879000000000005</c:v>
                </c:pt>
                <c:pt idx="4">
                  <c:v>94.05</c:v>
                </c:pt>
                <c:pt idx="5">
                  <c:v>94.6</c:v>
                </c:pt>
                <c:pt idx="6">
                  <c:v>96.218000000000004</c:v>
                </c:pt>
                <c:pt idx="7">
                  <c:v>96.994</c:v>
                </c:pt>
                <c:pt idx="8">
                  <c:v>98.539000000000001</c:v>
                </c:pt>
              </c:numCache>
            </c:numRef>
          </c:val>
          <c:extLst>
            <c:ext xmlns:c16="http://schemas.microsoft.com/office/drawing/2014/chart" uri="{C3380CC4-5D6E-409C-BE32-E72D297353CC}">
              <c16:uniqueId val="{00000004-3CEA-4580-89D2-206D96CEBCF5}"/>
            </c:ext>
          </c:extLst>
        </c:ser>
        <c:ser>
          <c:idx val="5"/>
          <c:order val="5"/>
          <c:tx>
            <c:strRef>
              <c:f>'Trends and nat. data'!$B$353</c:f>
              <c:strCache>
                <c:ptCount val="1"/>
                <c:pt idx="0">
                  <c:v>Tas</c:v>
                </c:pt>
              </c:strCache>
            </c:strRef>
          </c:tx>
          <c:spPr>
            <a:solidFill>
              <a:srgbClr val="92D050"/>
            </a:solidFill>
            <a:ln>
              <a:noFill/>
              <a:prstDash val="sysDash"/>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data'!$D$354:$L$354</c:f>
              <c:numCache>
                <c:formatCode>#,##0</c:formatCode>
                <c:ptCount val="9"/>
                <c:pt idx="0">
                  <c:v>23.568999999999999</c:v>
                </c:pt>
                <c:pt idx="1">
                  <c:v>24.306000000000001</c:v>
                </c:pt>
                <c:pt idx="2">
                  <c:v>24.901</c:v>
                </c:pt>
                <c:pt idx="3">
                  <c:v>24.908999999999999</c:v>
                </c:pt>
                <c:pt idx="4">
                  <c:v>24.992000000000001</c:v>
                </c:pt>
                <c:pt idx="5">
                  <c:v>25.004999999999999</c:v>
                </c:pt>
                <c:pt idx="6">
                  <c:v>24.696000000000002</c:v>
                </c:pt>
                <c:pt idx="7">
                  <c:v>25.015000000000001</c:v>
                </c:pt>
                <c:pt idx="8">
                  <c:v>25.419</c:v>
                </c:pt>
              </c:numCache>
            </c:numRef>
          </c:val>
          <c:extLst>
            <c:ext xmlns:c16="http://schemas.microsoft.com/office/drawing/2014/chart" uri="{C3380CC4-5D6E-409C-BE32-E72D297353CC}">
              <c16:uniqueId val="{00000005-3CEA-4580-89D2-206D96CEBCF5}"/>
            </c:ext>
          </c:extLst>
        </c:ser>
        <c:ser>
          <c:idx val="6"/>
          <c:order val="6"/>
          <c:tx>
            <c:strRef>
              <c:f>'Trends and nat. data'!$B$355</c:f>
              <c:strCache>
                <c:ptCount val="1"/>
                <c:pt idx="0">
                  <c:v>Vic</c:v>
                </c:pt>
              </c:strCache>
            </c:strRef>
          </c:tx>
          <c:spPr>
            <a:solidFill>
              <a:srgbClr val="002060"/>
            </a:solidFill>
            <a:ln>
              <a:noFill/>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data'!$D$356:$L$356</c:f>
              <c:numCache>
                <c:formatCode>#,##0</c:formatCode>
                <c:ptCount val="9"/>
                <c:pt idx="0">
                  <c:v>304.41800000000001</c:v>
                </c:pt>
                <c:pt idx="1">
                  <c:v>314.76299999999998</c:v>
                </c:pt>
                <c:pt idx="2">
                  <c:v>319.404</c:v>
                </c:pt>
                <c:pt idx="3">
                  <c:v>325.125</c:v>
                </c:pt>
                <c:pt idx="4">
                  <c:v>333.51900000000001</c:v>
                </c:pt>
                <c:pt idx="5">
                  <c:v>339.87099999999998</c:v>
                </c:pt>
                <c:pt idx="6">
                  <c:v>343.31900000000002</c:v>
                </c:pt>
                <c:pt idx="7">
                  <c:v>346.88099999999997</c:v>
                </c:pt>
                <c:pt idx="8">
                  <c:v>355.58</c:v>
                </c:pt>
              </c:numCache>
            </c:numRef>
          </c:val>
          <c:extLst>
            <c:ext xmlns:c16="http://schemas.microsoft.com/office/drawing/2014/chart" uri="{C3380CC4-5D6E-409C-BE32-E72D297353CC}">
              <c16:uniqueId val="{00000006-3CEA-4580-89D2-206D96CEBCF5}"/>
            </c:ext>
          </c:extLst>
        </c:ser>
        <c:ser>
          <c:idx val="7"/>
          <c:order val="7"/>
          <c:tx>
            <c:strRef>
              <c:f>'Trends and nat. data'!$B$357</c:f>
              <c:strCache>
                <c:ptCount val="1"/>
                <c:pt idx="0">
                  <c:v>WA</c:v>
                </c:pt>
              </c:strCache>
            </c:strRef>
          </c:tx>
          <c:spPr>
            <a:solidFill>
              <a:srgbClr val="FFCC99"/>
            </a:solidFill>
            <a:ln>
              <a:noFill/>
              <a:prstDash val="sysDash"/>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data'!$D$358:$L$358</c:f>
              <c:numCache>
                <c:formatCode>#,##0</c:formatCode>
                <c:ptCount val="9"/>
                <c:pt idx="0">
                  <c:v>186.71199999999999</c:v>
                </c:pt>
                <c:pt idx="1">
                  <c:v>196.47</c:v>
                </c:pt>
                <c:pt idx="2">
                  <c:v>203.16399999999999</c:v>
                </c:pt>
                <c:pt idx="3">
                  <c:v>211.851</c:v>
                </c:pt>
                <c:pt idx="4">
                  <c:v>219.893</c:v>
                </c:pt>
                <c:pt idx="5">
                  <c:v>239.80099999999999</c:v>
                </c:pt>
                <c:pt idx="6">
                  <c:v>253.006</c:v>
                </c:pt>
                <c:pt idx="7">
                  <c:v>267.05200000000002</c:v>
                </c:pt>
                <c:pt idx="8">
                  <c:v>276.31200000000001</c:v>
                </c:pt>
              </c:numCache>
            </c:numRef>
          </c:val>
          <c:extLst>
            <c:ext xmlns:c16="http://schemas.microsoft.com/office/drawing/2014/chart" uri="{C3380CC4-5D6E-409C-BE32-E72D297353CC}">
              <c16:uniqueId val="{00000007-3CEA-4580-89D2-206D96CEBCF5}"/>
            </c:ext>
          </c:extLst>
        </c:ser>
        <c:dLbls>
          <c:showLegendKey val="0"/>
          <c:showVal val="0"/>
          <c:showCatName val="0"/>
          <c:showSerName val="0"/>
          <c:showPercent val="0"/>
          <c:showBubbleSize val="0"/>
        </c:dLbls>
        <c:axId val="226444032"/>
        <c:axId val="226445568"/>
      </c:areaChart>
      <c:catAx>
        <c:axId val="226444032"/>
        <c:scaling>
          <c:orientation val="minMax"/>
        </c:scaling>
        <c:delete val="0"/>
        <c:axPos val="b"/>
        <c:numFmt formatCode="General" sourceLinked="0"/>
        <c:majorTickMark val="out"/>
        <c:minorTickMark val="none"/>
        <c:tickLblPos val="nextTo"/>
        <c:spPr>
          <a:ln/>
        </c:spPr>
        <c:txPr>
          <a:bodyPr/>
          <a:lstStyle/>
          <a:p>
            <a:pPr>
              <a:defRPr>
                <a:solidFill>
                  <a:sysClr val="windowText" lastClr="000000"/>
                </a:solidFill>
              </a:defRPr>
            </a:pPr>
            <a:endParaRPr lang="en-US"/>
          </a:p>
        </c:txPr>
        <c:crossAx val="226445568"/>
        <c:crosses val="autoZero"/>
        <c:auto val="1"/>
        <c:lblAlgn val="ctr"/>
        <c:lblOffset val="100"/>
        <c:noMultiLvlLbl val="0"/>
      </c:catAx>
      <c:valAx>
        <c:axId val="226445568"/>
        <c:scaling>
          <c:orientation val="minMax"/>
          <c:max val="1800"/>
          <c:min val="0"/>
        </c:scaling>
        <c:delete val="0"/>
        <c:axPos val="l"/>
        <c:majorGridlines>
          <c:spPr>
            <a:ln w="2540"/>
          </c:spPr>
        </c:majorGridlines>
        <c:title>
          <c:tx>
            <c:rich>
              <a:bodyPr rot="-5400000" vert="horz"/>
              <a:lstStyle/>
              <a:p>
                <a:pPr>
                  <a:defRPr/>
                </a:pPr>
                <a:r>
                  <a:rPr lang="en-US"/>
                  <a:t>Gross state</a:t>
                </a:r>
                <a:r>
                  <a:rPr lang="en-US" baseline="0"/>
                  <a:t> product ($ billions)</a:t>
                </a:r>
                <a:endParaRPr lang="en-US"/>
              </a:p>
            </c:rich>
          </c:tx>
          <c:layout>
            <c:manualLayout>
              <c:xMode val="edge"/>
              <c:yMode val="edge"/>
              <c:x val="3.7350009077576497E-2"/>
              <c:y val="0.1758177175289182"/>
            </c:manualLayout>
          </c:layout>
          <c:overlay val="0"/>
        </c:title>
        <c:numFmt formatCode="#,##0" sourceLinked="0"/>
        <c:majorTickMark val="out"/>
        <c:minorTickMark val="none"/>
        <c:tickLblPos val="nextTo"/>
        <c:spPr>
          <a:ln>
            <a:solidFill>
              <a:schemeClr val="bg1">
                <a:lumMod val="50000"/>
              </a:schemeClr>
            </a:solidFill>
          </a:ln>
        </c:spPr>
        <c:crossAx val="226444032"/>
        <c:crosses val="autoZero"/>
        <c:crossBetween val="midCat"/>
        <c:majorUnit val="200"/>
      </c:valAx>
    </c:plotArea>
    <c:legend>
      <c:legendPos val="t"/>
      <c:layout>
        <c:manualLayout>
          <c:xMode val="edge"/>
          <c:yMode val="edge"/>
          <c:x val="0.16023206160736089"/>
          <c:y val="3.5277777777777776E-2"/>
          <c:w val="0.76883656771484032"/>
          <c:h val="6.3792500000000002E-2"/>
        </c:manualLayout>
      </c:layout>
      <c:overlay val="0"/>
      <c:txPr>
        <a:bodyPr/>
        <a:lstStyle/>
        <a:p>
          <a:pPr>
            <a:defRPr sz="1200"/>
          </a:pPr>
          <a:endParaRPr lang="en-US"/>
        </a:p>
      </c:txPr>
    </c:legend>
    <c:plotVisOnly val="1"/>
    <c:dispBlanksAs val="gap"/>
    <c:showDLblsOverMax val="0"/>
  </c:chart>
  <c:spPr>
    <a:ln>
      <a:noFill/>
    </a:ln>
  </c:spPr>
  <c:printSettings>
    <c:headerFooter/>
    <c:pageMargins b="0.75000000000000466" l="0.70000000000000062" r="0.70000000000000062" t="0.75000000000000466"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79191919191916"/>
          <c:y val="0.1300082061505575"/>
          <c:w val="0.75358888888888886"/>
          <c:h val="0.70903027777777783"/>
        </c:manualLayout>
      </c:layout>
      <c:areaChart>
        <c:grouping val="stacked"/>
        <c:varyColors val="0"/>
        <c:ser>
          <c:idx val="0"/>
          <c:order val="0"/>
          <c:tx>
            <c:strRef>
              <c:f>'Trends and nat. data'!$B$343</c:f>
              <c:strCache>
                <c:ptCount val="1"/>
                <c:pt idx="0">
                  <c:v>ACT</c:v>
                </c:pt>
              </c:strCache>
            </c:strRef>
          </c:tx>
          <c:spPr>
            <a:solidFill>
              <a:schemeClr val="tx1">
                <a:lumMod val="85000"/>
                <a:lumOff val="15000"/>
              </a:schemeClr>
            </a:solidFill>
            <a:ln>
              <a:noFill/>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data'!$D$343:$L$343</c:f>
              <c:numCache>
                <c:formatCode>#,##0</c:formatCode>
                <c:ptCount val="9"/>
                <c:pt idx="0">
                  <c:v>338.38099999999997</c:v>
                </c:pt>
                <c:pt idx="1">
                  <c:v>344.17599999999999</c:v>
                </c:pt>
                <c:pt idx="2">
                  <c:v>351.101</c:v>
                </c:pt>
                <c:pt idx="3">
                  <c:v>357.85899999999998</c:v>
                </c:pt>
                <c:pt idx="4">
                  <c:v>364.83300000000003</c:v>
                </c:pt>
                <c:pt idx="5">
                  <c:v>371.108</c:v>
                </c:pt>
                <c:pt idx="6">
                  <c:v>377.92700000000002</c:v>
                </c:pt>
                <c:pt idx="7">
                  <c:v>383.31</c:v>
                </c:pt>
                <c:pt idx="8">
                  <c:v>387.74200000000002</c:v>
                </c:pt>
              </c:numCache>
            </c:numRef>
          </c:val>
          <c:extLst>
            <c:ext xmlns:c16="http://schemas.microsoft.com/office/drawing/2014/chart" uri="{C3380CC4-5D6E-409C-BE32-E72D297353CC}">
              <c16:uniqueId val="{00000000-63C4-4964-B4C5-09FDE72C53EB}"/>
            </c:ext>
          </c:extLst>
        </c:ser>
        <c:ser>
          <c:idx val="1"/>
          <c:order val="1"/>
          <c:tx>
            <c:strRef>
              <c:f>'Trends and nat. data'!$B$345</c:f>
              <c:strCache>
                <c:ptCount val="1"/>
                <c:pt idx="0">
                  <c:v>NSW</c:v>
                </c:pt>
              </c:strCache>
            </c:strRef>
          </c:tx>
          <c:spPr>
            <a:solidFill>
              <a:srgbClr val="00B0F0"/>
            </a:solidFill>
            <a:ln>
              <a:noFill/>
              <a:prstDash val="sysDash"/>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data'!$D$345:$L$345</c:f>
              <c:numCache>
                <c:formatCode>#,##0</c:formatCode>
                <c:ptCount val="9"/>
                <c:pt idx="0">
                  <c:v>6786.16</c:v>
                </c:pt>
                <c:pt idx="1">
                  <c:v>6883.8519999999999</c:v>
                </c:pt>
                <c:pt idx="2">
                  <c:v>7001.7820000000002</c:v>
                </c:pt>
                <c:pt idx="3">
                  <c:v>7101.5039999999999</c:v>
                </c:pt>
                <c:pt idx="4">
                  <c:v>7179.8909999999996</c:v>
                </c:pt>
                <c:pt idx="5">
                  <c:v>7261.5919999999996</c:v>
                </c:pt>
                <c:pt idx="6">
                  <c:v>7356.85</c:v>
                </c:pt>
                <c:pt idx="7">
                  <c:v>7459.5619999999999</c:v>
                </c:pt>
                <c:pt idx="8">
                  <c:v>7564.6260000000002</c:v>
                </c:pt>
              </c:numCache>
            </c:numRef>
          </c:val>
          <c:extLst>
            <c:ext xmlns:c16="http://schemas.microsoft.com/office/drawing/2014/chart" uri="{C3380CC4-5D6E-409C-BE32-E72D297353CC}">
              <c16:uniqueId val="{00000001-63C4-4964-B4C5-09FDE72C53EB}"/>
            </c:ext>
          </c:extLst>
        </c:ser>
        <c:ser>
          <c:idx val="2"/>
          <c:order val="2"/>
          <c:tx>
            <c:strRef>
              <c:f>'Trends and nat. data'!$B$347</c:f>
              <c:strCache>
                <c:ptCount val="1"/>
                <c:pt idx="0">
                  <c:v>NT</c:v>
                </c:pt>
              </c:strCache>
            </c:strRef>
          </c:tx>
          <c:spPr>
            <a:solidFill>
              <a:srgbClr val="FFC000"/>
            </a:solidFill>
            <a:ln>
              <a:noFill/>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data'!$D$347:$L$347</c:f>
              <c:numCache>
                <c:formatCode>#,##0</c:formatCode>
                <c:ptCount val="9"/>
                <c:pt idx="0">
                  <c:v>211.029</c:v>
                </c:pt>
                <c:pt idx="1">
                  <c:v>216.61799999999999</c:v>
                </c:pt>
                <c:pt idx="2">
                  <c:v>222.52600000000001</c:v>
                </c:pt>
                <c:pt idx="3">
                  <c:v>227.78299999999999</c:v>
                </c:pt>
                <c:pt idx="4">
                  <c:v>230.29900000000001</c:v>
                </c:pt>
                <c:pt idx="5">
                  <c:v>232.703</c:v>
                </c:pt>
                <c:pt idx="6">
                  <c:v>239.29400000000001</c:v>
                </c:pt>
                <c:pt idx="7">
                  <c:v>242.84</c:v>
                </c:pt>
                <c:pt idx="8">
                  <c:v>243.191</c:v>
                </c:pt>
              </c:numCache>
            </c:numRef>
          </c:val>
          <c:extLst>
            <c:ext xmlns:c16="http://schemas.microsoft.com/office/drawing/2014/chart" uri="{C3380CC4-5D6E-409C-BE32-E72D297353CC}">
              <c16:uniqueId val="{00000002-63C4-4964-B4C5-09FDE72C53EB}"/>
            </c:ext>
          </c:extLst>
        </c:ser>
        <c:ser>
          <c:idx val="3"/>
          <c:order val="3"/>
          <c:tx>
            <c:strRef>
              <c:f>'Trends and nat. data'!$B$349</c:f>
              <c:strCache>
                <c:ptCount val="1"/>
                <c:pt idx="0">
                  <c:v>Qld</c:v>
                </c:pt>
              </c:strCache>
            </c:strRef>
          </c:tx>
          <c:spPr>
            <a:solidFill>
              <a:srgbClr val="73182C"/>
            </a:solidFill>
            <a:ln>
              <a:noFill/>
              <a:prstDash val="sysDash"/>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data'!$D$349:$L$349</c:f>
              <c:numCache>
                <c:formatCode>#,##0</c:formatCode>
                <c:ptCount val="9"/>
                <c:pt idx="0">
                  <c:v>4055.8449999999998</c:v>
                </c:pt>
                <c:pt idx="1">
                  <c:v>4159.99</c:v>
                </c:pt>
                <c:pt idx="2">
                  <c:v>4275.5510000000004</c:v>
                </c:pt>
                <c:pt idx="3">
                  <c:v>4367.4539999999997</c:v>
                </c:pt>
                <c:pt idx="4">
                  <c:v>4436.8819999999996</c:v>
                </c:pt>
                <c:pt idx="5">
                  <c:v>4518.6049999999996</c:v>
                </c:pt>
                <c:pt idx="6">
                  <c:v>4608.8860000000004</c:v>
                </c:pt>
                <c:pt idx="7">
                  <c:v>4685.08</c:v>
                </c:pt>
                <c:pt idx="8">
                  <c:v>4749.0569999999998</c:v>
                </c:pt>
              </c:numCache>
            </c:numRef>
          </c:val>
          <c:extLst>
            <c:ext xmlns:c16="http://schemas.microsoft.com/office/drawing/2014/chart" uri="{C3380CC4-5D6E-409C-BE32-E72D297353CC}">
              <c16:uniqueId val="{00000003-63C4-4964-B4C5-09FDE72C53EB}"/>
            </c:ext>
          </c:extLst>
        </c:ser>
        <c:ser>
          <c:idx val="4"/>
          <c:order val="4"/>
          <c:tx>
            <c:strRef>
              <c:f>'Trends and nat. data'!$B$351</c:f>
              <c:strCache>
                <c:ptCount val="1"/>
                <c:pt idx="0">
                  <c:v>SA</c:v>
                </c:pt>
              </c:strCache>
            </c:strRef>
          </c:tx>
          <c:spPr>
            <a:solidFill>
              <a:srgbClr val="FF0000"/>
            </a:solidFill>
            <a:ln>
              <a:noFill/>
              <a:prstDash val="solid"/>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data'!$D$351:$L$351</c:f>
              <c:numCache>
                <c:formatCode>#,##0</c:formatCode>
                <c:ptCount val="9"/>
                <c:pt idx="0">
                  <c:v>1561.3</c:v>
                </c:pt>
                <c:pt idx="1">
                  <c:v>1578.489</c:v>
                </c:pt>
                <c:pt idx="2">
                  <c:v>1597.88</c:v>
                </c:pt>
                <c:pt idx="3">
                  <c:v>1618.578</c:v>
                </c:pt>
                <c:pt idx="4">
                  <c:v>1632.482</c:v>
                </c:pt>
                <c:pt idx="5">
                  <c:v>1646.951</c:v>
                </c:pt>
                <c:pt idx="6">
                  <c:v>1662.1969999999999</c:v>
                </c:pt>
                <c:pt idx="7">
                  <c:v>1676.671</c:v>
                </c:pt>
                <c:pt idx="8">
                  <c:v>1691.605</c:v>
                </c:pt>
              </c:numCache>
            </c:numRef>
          </c:val>
          <c:extLst>
            <c:ext xmlns:c16="http://schemas.microsoft.com/office/drawing/2014/chart" uri="{C3380CC4-5D6E-409C-BE32-E72D297353CC}">
              <c16:uniqueId val="{00000004-63C4-4964-B4C5-09FDE72C53EB}"/>
            </c:ext>
          </c:extLst>
        </c:ser>
        <c:ser>
          <c:idx val="5"/>
          <c:order val="5"/>
          <c:tx>
            <c:strRef>
              <c:f>'Trends and nat. data'!$B$353</c:f>
              <c:strCache>
                <c:ptCount val="1"/>
                <c:pt idx="0">
                  <c:v>Tas</c:v>
                </c:pt>
              </c:strCache>
            </c:strRef>
          </c:tx>
          <c:spPr>
            <a:solidFill>
              <a:srgbClr val="92D050"/>
            </a:solidFill>
            <a:ln>
              <a:noFill/>
              <a:prstDash val="sysDash"/>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data'!$D$353:$L$353</c:f>
              <c:numCache>
                <c:formatCode>#,##0</c:formatCode>
                <c:ptCount val="9"/>
                <c:pt idx="0">
                  <c:v>491.51499999999999</c:v>
                </c:pt>
                <c:pt idx="1">
                  <c:v>495.858</c:v>
                </c:pt>
                <c:pt idx="2">
                  <c:v>501.774</c:v>
                </c:pt>
                <c:pt idx="3">
                  <c:v>506.46100000000001</c:v>
                </c:pt>
                <c:pt idx="4">
                  <c:v>510.21899999999999</c:v>
                </c:pt>
                <c:pt idx="5">
                  <c:v>511.94400000000002</c:v>
                </c:pt>
                <c:pt idx="6">
                  <c:v>512.47500000000002</c:v>
                </c:pt>
                <c:pt idx="7">
                  <c:v>513.94799999999998</c:v>
                </c:pt>
                <c:pt idx="8">
                  <c:v>515.29399999999998</c:v>
                </c:pt>
              </c:numCache>
            </c:numRef>
          </c:val>
          <c:extLst>
            <c:ext xmlns:c16="http://schemas.microsoft.com/office/drawing/2014/chart" uri="{C3380CC4-5D6E-409C-BE32-E72D297353CC}">
              <c16:uniqueId val="{00000005-63C4-4964-B4C5-09FDE72C53EB}"/>
            </c:ext>
          </c:extLst>
        </c:ser>
        <c:ser>
          <c:idx val="6"/>
          <c:order val="6"/>
          <c:tx>
            <c:strRef>
              <c:f>'Trends and nat. data'!$B$355</c:f>
              <c:strCache>
                <c:ptCount val="1"/>
                <c:pt idx="0">
                  <c:v>Vic</c:v>
                </c:pt>
              </c:strCache>
            </c:strRef>
          </c:tx>
          <c:spPr>
            <a:solidFill>
              <a:srgbClr val="002060"/>
            </a:solidFill>
            <a:ln>
              <a:noFill/>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data'!$D$355:$L$355</c:f>
              <c:numCache>
                <c:formatCode>#,##0</c:formatCode>
                <c:ptCount val="9"/>
                <c:pt idx="0">
                  <c:v>5103.9650000000001</c:v>
                </c:pt>
                <c:pt idx="1">
                  <c:v>5199.5029999999997</c:v>
                </c:pt>
                <c:pt idx="2">
                  <c:v>5313.2849999999999</c:v>
                </c:pt>
                <c:pt idx="3">
                  <c:v>5419.2489999999998</c:v>
                </c:pt>
                <c:pt idx="4">
                  <c:v>5495.7110000000002</c:v>
                </c:pt>
                <c:pt idx="5">
                  <c:v>5582.67</c:v>
                </c:pt>
                <c:pt idx="6">
                  <c:v>5680.5020000000004</c:v>
                </c:pt>
                <c:pt idx="7">
                  <c:v>5784.777</c:v>
                </c:pt>
                <c:pt idx="8">
                  <c:v>5886.5550000000003</c:v>
                </c:pt>
              </c:numCache>
            </c:numRef>
          </c:val>
          <c:extLst>
            <c:ext xmlns:c16="http://schemas.microsoft.com/office/drawing/2014/chart" uri="{C3380CC4-5D6E-409C-BE32-E72D297353CC}">
              <c16:uniqueId val="{00000006-63C4-4964-B4C5-09FDE72C53EB}"/>
            </c:ext>
          </c:extLst>
        </c:ser>
        <c:ser>
          <c:idx val="7"/>
          <c:order val="7"/>
          <c:tx>
            <c:strRef>
              <c:f>'Trends and nat. data'!$B$357</c:f>
              <c:strCache>
                <c:ptCount val="1"/>
                <c:pt idx="0">
                  <c:v>WA</c:v>
                </c:pt>
              </c:strCache>
            </c:strRef>
          </c:tx>
          <c:spPr>
            <a:solidFill>
              <a:srgbClr val="FFCC99"/>
            </a:solidFill>
            <a:ln>
              <a:noFill/>
              <a:prstDash val="sysDash"/>
            </a:ln>
          </c:spPr>
          <c:cat>
            <c:strRef>
              <c:f>'Trends and nat. data'!$D$342:$L$342</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data'!$D$357:$L$357</c:f>
              <c:numCache>
                <c:formatCode>#,##0</c:formatCode>
                <c:ptCount val="9"/>
                <c:pt idx="0">
                  <c:v>2076.8670000000002</c:v>
                </c:pt>
                <c:pt idx="1">
                  <c:v>2135.0059999999999</c:v>
                </c:pt>
                <c:pt idx="2">
                  <c:v>2208.9279999999999</c:v>
                </c:pt>
                <c:pt idx="3">
                  <c:v>2263.7469999999998</c:v>
                </c:pt>
                <c:pt idx="4">
                  <c:v>2319.0630000000001</c:v>
                </c:pt>
                <c:pt idx="5">
                  <c:v>2391.5920000000001</c:v>
                </c:pt>
                <c:pt idx="6">
                  <c:v>2479.5059999999999</c:v>
                </c:pt>
                <c:pt idx="7">
                  <c:v>2536.3679999999999</c:v>
                </c:pt>
                <c:pt idx="8">
                  <c:v>2572.9189999999999</c:v>
                </c:pt>
              </c:numCache>
            </c:numRef>
          </c:val>
          <c:extLst>
            <c:ext xmlns:c16="http://schemas.microsoft.com/office/drawing/2014/chart" uri="{C3380CC4-5D6E-409C-BE32-E72D297353CC}">
              <c16:uniqueId val="{00000007-63C4-4964-B4C5-09FDE72C53EB}"/>
            </c:ext>
          </c:extLst>
        </c:ser>
        <c:dLbls>
          <c:showLegendKey val="0"/>
          <c:showVal val="0"/>
          <c:showCatName val="0"/>
          <c:showSerName val="0"/>
          <c:showPercent val="0"/>
          <c:showBubbleSize val="0"/>
        </c:dLbls>
        <c:axId val="226444032"/>
        <c:axId val="226445568"/>
      </c:areaChart>
      <c:catAx>
        <c:axId val="226444032"/>
        <c:scaling>
          <c:orientation val="minMax"/>
        </c:scaling>
        <c:delete val="0"/>
        <c:axPos val="b"/>
        <c:numFmt formatCode="General" sourceLinked="0"/>
        <c:majorTickMark val="out"/>
        <c:minorTickMark val="none"/>
        <c:tickLblPos val="nextTo"/>
        <c:spPr>
          <a:ln/>
        </c:spPr>
        <c:txPr>
          <a:bodyPr/>
          <a:lstStyle/>
          <a:p>
            <a:pPr>
              <a:defRPr>
                <a:solidFill>
                  <a:sysClr val="windowText" lastClr="000000"/>
                </a:solidFill>
              </a:defRPr>
            </a:pPr>
            <a:endParaRPr lang="en-US"/>
          </a:p>
        </c:txPr>
        <c:crossAx val="226445568"/>
        <c:crosses val="autoZero"/>
        <c:auto val="1"/>
        <c:lblAlgn val="ctr"/>
        <c:lblOffset val="100"/>
        <c:noMultiLvlLbl val="0"/>
      </c:catAx>
      <c:valAx>
        <c:axId val="226445568"/>
        <c:scaling>
          <c:orientation val="minMax"/>
          <c:max val="25000"/>
          <c:min val="0"/>
        </c:scaling>
        <c:delete val="0"/>
        <c:axPos val="l"/>
        <c:majorGridlines>
          <c:spPr>
            <a:ln w="2540"/>
          </c:spPr>
        </c:majorGridlines>
        <c:title>
          <c:tx>
            <c:rich>
              <a:bodyPr rot="-5400000" vert="horz"/>
              <a:lstStyle/>
              <a:p>
                <a:pPr>
                  <a:defRPr/>
                </a:pPr>
                <a:r>
                  <a:rPr lang="en-US"/>
                  <a:t>Population (thousands)</a:t>
                </a:r>
              </a:p>
            </c:rich>
          </c:tx>
          <c:layout>
            <c:manualLayout>
              <c:xMode val="edge"/>
              <c:yMode val="edge"/>
              <c:x val="3.756388888888889E-2"/>
              <c:y val="0.27032514619883041"/>
            </c:manualLayout>
          </c:layout>
          <c:overlay val="0"/>
        </c:title>
        <c:numFmt formatCode="#,##0" sourceLinked="0"/>
        <c:majorTickMark val="out"/>
        <c:minorTickMark val="none"/>
        <c:tickLblPos val="nextTo"/>
        <c:spPr>
          <a:ln>
            <a:solidFill>
              <a:schemeClr val="bg1">
                <a:lumMod val="50000"/>
              </a:schemeClr>
            </a:solidFill>
          </a:ln>
        </c:spPr>
        <c:crossAx val="226444032"/>
        <c:crosses val="autoZero"/>
        <c:crossBetween val="midCat"/>
        <c:majorUnit val="5000"/>
      </c:valAx>
    </c:plotArea>
    <c:legend>
      <c:legendPos val="t"/>
      <c:layout>
        <c:manualLayout>
          <c:xMode val="edge"/>
          <c:yMode val="edge"/>
          <c:x val="0.18901531282981837"/>
          <c:y val="2.4694444444444446E-2"/>
          <c:w val="0.75825189327309428"/>
          <c:h val="6.3792500000000002E-2"/>
        </c:manualLayout>
      </c:layout>
      <c:overlay val="0"/>
      <c:txPr>
        <a:bodyPr/>
        <a:lstStyle/>
        <a:p>
          <a:pPr>
            <a:defRPr sz="1200">
              <a:latin typeface="+mn-lt"/>
            </a:defRPr>
          </a:pPr>
          <a:endParaRPr lang="en-US"/>
        </a:p>
      </c:txPr>
    </c:legend>
    <c:plotVisOnly val="1"/>
    <c:dispBlanksAs val="gap"/>
    <c:showDLblsOverMax val="0"/>
  </c:chart>
  <c:spPr>
    <a:ln>
      <a:noFill/>
    </a:ln>
  </c:spPr>
  <c:printSettings>
    <c:headerFooter/>
    <c:pageMargins b="0.75000000000000466" l="0.70000000000000062" r="0.70000000000000062" t="0.75000000000000466"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52652743984861"/>
          <c:y val="9.4208947885939032E-2"/>
          <c:w val="0.65039098404974316"/>
          <c:h val="0.56478121927236968"/>
        </c:manualLayout>
      </c:layout>
      <c:areaChart>
        <c:grouping val="stacked"/>
        <c:varyColors val="0"/>
        <c:ser>
          <c:idx val="0"/>
          <c:order val="0"/>
          <c:tx>
            <c:strRef>
              <c:f>'Trends and nat. data'!$C$118</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data'!$D$118:$L$118</c:f>
              <c:numCache>
                <c:formatCode>#,##0</c:formatCode>
                <c:ptCount val="9"/>
                <c:pt idx="0">
                  <c:v>29.273882570315926</c:v>
                </c:pt>
                <c:pt idx="1">
                  <c:v>30.021675880681077</c:v>
                </c:pt>
                <c:pt idx="2">
                  <c:v>30.769469191046223</c:v>
                </c:pt>
                <c:pt idx="3">
                  <c:v>28.513815790001804</c:v>
                </c:pt>
                <c:pt idx="4">
                  <c:v>26.325719306071015</c:v>
                </c:pt>
                <c:pt idx="5">
                  <c:v>25.997553613567248</c:v>
                </c:pt>
                <c:pt idx="6">
                  <c:v>25.669387921063485</c:v>
                </c:pt>
                <c:pt idx="7">
                  <c:v>25.341222228559708</c:v>
                </c:pt>
                <c:pt idx="8">
                  <c:v>26.789670052573729</c:v>
                </c:pt>
              </c:numCache>
            </c:numRef>
          </c:val>
          <c:extLst>
            <c:ext xmlns:c16="http://schemas.microsoft.com/office/drawing/2014/chart" uri="{C3380CC4-5D6E-409C-BE32-E72D297353CC}">
              <c16:uniqueId val="{00000000-2058-4BBA-B0B3-F555FF5CE961}"/>
            </c:ext>
          </c:extLst>
        </c:ser>
        <c:ser>
          <c:idx val="1"/>
          <c:order val="1"/>
          <c:tx>
            <c:strRef>
              <c:f>'Trends and nat. data'!$C$119</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data'!$D$119:$L$119</c:f>
              <c:numCache>
                <c:formatCode>#,##0</c:formatCode>
                <c:ptCount val="9"/>
                <c:pt idx="0">
                  <c:v>26.757674395055759</c:v>
                </c:pt>
                <c:pt idx="1">
                  <c:v>27.722179657621233</c:v>
                </c:pt>
                <c:pt idx="2">
                  <c:v>28.686684920186721</c:v>
                </c:pt>
                <c:pt idx="3">
                  <c:v>30.769912488663927</c:v>
                </c:pt>
                <c:pt idx="4">
                  <c:v>33.007714769962675</c:v>
                </c:pt>
                <c:pt idx="5">
                  <c:v>33.689069478579817</c:v>
                </c:pt>
                <c:pt idx="6">
                  <c:v>34.370424187196967</c:v>
                </c:pt>
                <c:pt idx="7">
                  <c:v>35.05177889581411</c:v>
                </c:pt>
                <c:pt idx="8">
                  <c:v>34.770604924866653</c:v>
                </c:pt>
              </c:numCache>
            </c:numRef>
          </c:val>
          <c:extLst>
            <c:ext xmlns:c16="http://schemas.microsoft.com/office/drawing/2014/chart" uri="{C3380CC4-5D6E-409C-BE32-E72D297353CC}">
              <c16:uniqueId val="{00000001-2058-4BBA-B0B3-F555FF5CE961}"/>
            </c:ext>
          </c:extLst>
        </c:ser>
        <c:ser>
          <c:idx val="2"/>
          <c:order val="2"/>
          <c:tx>
            <c:strRef>
              <c:f>'Trends and nat. data'!$C$120</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data'!$D$120:$L$120</c:f>
              <c:numCache>
                <c:formatCode>#,##0.0</c:formatCode>
                <c:ptCount val="9"/>
                <c:pt idx="0">
                  <c:v>1.3680336551714096</c:v>
                </c:pt>
                <c:pt idx="1">
                  <c:v>1.4228168500479004</c:v>
                </c:pt>
                <c:pt idx="2">
                  <c:v>1.4776000449243909</c:v>
                </c:pt>
                <c:pt idx="3">
                  <c:v>1.7193217859195711</c:v>
                </c:pt>
                <c:pt idx="4">
                  <c:v>1.9661091943209188</c:v>
                </c:pt>
                <c:pt idx="5">
                  <c:v>2.2734567438777846</c:v>
                </c:pt>
                <c:pt idx="6">
                  <c:v>2.5808042934346513</c:v>
                </c:pt>
                <c:pt idx="7">
                  <c:v>2.8881518429915176</c:v>
                </c:pt>
                <c:pt idx="8">
                  <c:v>2.3112814754915849</c:v>
                </c:pt>
              </c:numCache>
            </c:numRef>
          </c:val>
          <c:extLst>
            <c:ext xmlns:c16="http://schemas.microsoft.com/office/drawing/2014/chart" uri="{C3380CC4-5D6E-409C-BE32-E72D297353CC}">
              <c16:uniqueId val="{00000002-2058-4BBA-B0B3-F555FF5CE961}"/>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data'!$Q$121:$Y$121</c:f>
              <c:numCache>
                <c:formatCode>#,##0</c:formatCode>
                <c:ptCount val="9"/>
                <c:pt idx="0">
                  <c:v>2782.6668202740298</c:v>
                </c:pt>
                <c:pt idx="1">
                  <c:v>2815.2993784319297</c:v>
                </c:pt>
                <c:pt idx="2">
                  <c:v>2837.3448575376656</c:v>
                </c:pt>
                <c:pt idx="3">
                  <c:v>2789.9067895108824</c:v>
                </c:pt>
                <c:pt idx="4">
                  <c:v>2764.6692513294129</c:v>
                </c:pt>
                <c:pt idx="5">
                  <c:v>2751.2992872485461</c:v>
                </c:pt>
                <c:pt idx="6">
                  <c:v>2732.0434655763338</c:v>
                </c:pt>
                <c:pt idx="7">
                  <c:v>2717.5926418897566</c:v>
                </c:pt>
                <c:pt idx="8">
                  <c:v>2704.7938498430062</c:v>
                </c:pt>
              </c:numCache>
            </c:numRef>
          </c:val>
          <c:smooth val="0"/>
          <c:extLst>
            <c:ext xmlns:c16="http://schemas.microsoft.com/office/drawing/2014/chart" uri="{C3380CC4-5D6E-409C-BE32-E72D297353CC}">
              <c16:uniqueId val="{00000003-2058-4BBA-B0B3-F555FF5CE961}"/>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71"/>
          <c:min val="0"/>
        </c:scaling>
        <c:delete val="0"/>
        <c:axPos val="l"/>
        <c:majorGridlines>
          <c:spPr>
            <a:ln w="2540"/>
          </c:spPr>
        </c:majorGridlines>
        <c:title>
          <c:tx>
            <c:rich>
              <a:bodyPr/>
              <a:lstStyle/>
              <a:p>
                <a:pPr>
                  <a:defRPr/>
                </a:pPr>
                <a:r>
                  <a:rPr lang="en-US"/>
                  <a:t>Megatonnes (Mt)</a:t>
                </a:r>
              </a:p>
            </c:rich>
          </c:tx>
          <c:layout>
            <c:manualLayout>
              <c:xMode val="edge"/>
              <c:yMode val="edge"/>
              <c:x val="0.13034266017842661"/>
              <c:y val="0.22138003933136677"/>
            </c:manualLayout>
          </c:layout>
          <c:overlay val="0"/>
        </c:title>
        <c:numFmt formatCode="#,##0" sourceLinked="0"/>
        <c:majorTickMark val="out"/>
        <c:minorTickMark val="none"/>
        <c:tickLblPos val="nextTo"/>
        <c:spPr>
          <a:ln>
            <a:noFill/>
          </a:ln>
        </c:spPr>
        <c:crossAx val="228055680"/>
        <c:crosses val="autoZero"/>
        <c:crossBetween val="between"/>
        <c:majorUnit val="10"/>
      </c:valAx>
      <c:valAx>
        <c:axId val="228199424"/>
        <c:scaling>
          <c:orientation val="minMax"/>
          <c:max val="2840"/>
          <c:min val="0"/>
        </c:scaling>
        <c:delete val="0"/>
        <c:axPos val="r"/>
        <c:title>
          <c:tx>
            <c:rich>
              <a:bodyPr/>
              <a:lstStyle/>
              <a:p>
                <a:pPr>
                  <a:defRPr/>
                </a:pPr>
                <a:r>
                  <a:rPr lang="en-AU"/>
                  <a:t>Generation (kg per capita)</a:t>
                </a:r>
              </a:p>
            </c:rich>
          </c:tx>
          <c:layout>
            <c:manualLayout>
              <c:xMode val="edge"/>
              <c:yMode val="edge"/>
              <c:x val="0.94892639902676401"/>
              <c:y val="0.15373525073746314"/>
            </c:manualLayout>
          </c:layout>
          <c:overlay val="0"/>
        </c:title>
        <c:numFmt formatCode="#,##0;\-#,##0;;" sourceLinked="0"/>
        <c:majorTickMark val="out"/>
        <c:minorTickMark val="none"/>
        <c:tickLblPos val="nextTo"/>
        <c:spPr>
          <a:ln>
            <a:noFill/>
          </a:ln>
        </c:spPr>
        <c:crossAx val="228209792"/>
        <c:crosses val="max"/>
        <c:crossBetween val="between"/>
        <c:majorUnit val="400"/>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2.618427277642606E-2"/>
          <c:y val="1.2129547689282205E-2"/>
          <c:w val="0.95788387096774197"/>
          <c:h val="6.0380251281370742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74327199823948242"/>
          <c:h val="0.12808528285643614"/>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data'!$D$118:$L$118,'Trends and nat. data'!$N$118)</c:f>
              <c:numCache>
                <c:formatCode>#,##0</c:formatCode>
                <c:ptCount val="10"/>
                <c:pt idx="0">
                  <c:v>29.273882570315926</c:v>
                </c:pt>
                <c:pt idx="1">
                  <c:v>30.021675880681077</c:v>
                </c:pt>
                <c:pt idx="2">
                  <c:v>30.769469191046223</c:v>
                </c:pt>
                <c:pt idx="3">
                  <c:v>28.513815790001804</c:v>
                </c:pt>
                <c:pt idx="4">
                  <c:v>26.325719306071015</c:v>
                </c:pt>
                <c:pt idx="5">
                  <c:v>25.997553613567248</c:v>
                </c:pt>
                <c:pt idx="6">
                  <c:v>25.669387921063485</c:v>
                </c:pt>
                <c:pt idx="7">
                  <c:v>25.341222228559708</c:v>
                </c:pt>
                <c:pt idx="8">
                  <c:v>26.789670052573729</c:v>
                </c:pt>
                <c:pt idx="9" formatCode="0.0%">
                  <c:v>-9.8048791157131499E-3</c:v>
                </c:pt>
              </c:numCache>
            </c:numRef>
          </c:val>
          <c:extLst>
            <c:ext xmlns:c16="http://schemas.microsoft.com/office/drawing/2014/chart" uri="{C3380CC4-5D6E-409C-BE32-E72D297353CC}">
              <c16:uniqueId val="{00000000-252F-4BF7-95C1-B990653AE52C}"/>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data'!$D$119:$L$119,'Trends and nat. data'!$N$119)</c:f>
              <c:numCache>
                <c:formatCode>#,##0</c:formatCode>
                <c:ptCount val="10"/>
                <c:pt idx="0">
                  <c:v>26.757674395055759</c:v>
                </c:pt>
                <c:pt idx="1">
                  <c:v>27.722179657621233</c:v>
                </c:pt>
                <c:pt idx="2">
                  <c:v>28.686684920186721</c:v>
                </c:pt>
                <c:pt idx="3">
                  <c:v>30.769912488663927</c:v>
                </c:pt>
                <c:pt idx="4">
                  <c:v>33.007714769962675</c:v>
                </c:pt>
                <c:pt idx="5">
                  <c:v>33.689069478579817</c:v>
                </c:pt>
                <c:pt idx="6">
                  <c:v>34.370424187196967</c:v>
                </c:pt>
                <c:pt idx="7">
                  <c:v>35.05177889581411</c:v>
                </c:pt>
                <c:pt idx="8">
                  <c:v>34.770604924866653</c:v>
                </c:pt>
                <c:pt idx="9" formatCode="0.0%">
                  <c:v>2.9533378180730097E-2</c:v>
                </c:pt>
              </c:numCache>
            </c:numRef>
          </c:val>
          <c:extLst>
            <c:ext xmlns:c16="http://schemas.microsoft.com/office/drawing/2014/chart" uri="{C3380CC4-5D6E-409C-BE32-E72D297353CC}">
              <c16:uniqueId val="{00000001-252F-4BF7-95C1-B990653AE52C}"/>
            </c:ext>
          </c:extLst>
        </c:ser>
        <c:ser>
          <c:idx val="2"/>
          <c:order val="2"/>
          <c:tx>
            <c:strRef>
              <c:f>'Trends and nat. data'!$B$242</c:f>
              <c:strCache>
                <c:ptCount val="1"/>
                <c:pt idx="0">
                  <c:v>Energy recovery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data'!$D$120:$L$120,'Trends and nat. data'!$N$120)</c:f>
              <c:numCache>
                <c:formatCode>#,##0.0</c:formatCode>
                <c:ptCount val="10"/>
                <c:pt idx="0">
                  <c:v>1.3680336551714096</c:v>
                </c:pt>
                <c:pt idx="1">
                  <c:v>1.4228168500479004</c:v>
                </c:pt>
                <c:pt idx="2">
                  <c:v>1.4776000449243909</c:v>
                </c:pt>
                <c:pt idx="3">
                  <c:v>1.7193217859195711</c:v>
                </c:pt>
                <c:pt idx="4">
                  <c:v>1.9661091943209188</c:v>
                </c:pt>
                <c:pt idx="5">
                  <c:v>2.2734567438777846</c:v>
                </c:pt>
                <c:pt idx="6">
                  <c:v>2.5808042934346513</c:v>
                </c:pt>
                <c:pt idx="7">
                  <c:v>2.8881518429915176</c:v>
                </c:pt>
                <c:pt idx="8">
                  <c:v>2.3112814754915849</c:v>
                </c:pt>
                <c:pt idx="9" formatCode="0.0%">
                  <c:v>6.000088666259118E-2</c:v>
                </c:pt>
              </c:numCache>
            </c:numRef>
          </c:val>
          <c:extLst>
            <c:ext xmlns:c16="http://schemas.microsoft.com/office/drawing/2014/chart" uri="{C3380CC4-5D6E-409C-BE32-E72D297353CC}">
              <c16:uniqueId val="{00000002-252F-4BF7-95C1-B990653AE52C}"/>
            </c:ext>
          </c:extLst>
        </c:ser>
        <c:ser>
          <c:idx val="4"/>
          <c:order val="3"/>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data'!$D$121:$L$121,'Trends and nat. data'!$N$121)</c:f>
              <c:numCache>
                <c:formatCode>#,##0</c:formatCode>
                <c:ptCount val="10"/>
                <c:pt idx="0">
                  <c:v>57.399590620543101</c:v>
                </c:pt>
                <c:pt idx="1">
                  <c:v>59.166672388350221</c:v>
                </c:pt>
                <c:pt idx="2">
                  <c:v>60.933754156157335</c:v>
                </c:pt>
                <c:pt idx="3">
                  <c:v>61.003050064585302</c:v>
                </c:pt>
                <c:pt idx="4">
                  <c:v>61.299543270354611</c:v>
                </c:pt>
                <c:pt idx="5">
                  <c:v>61.96007983602486</c:v>
                </c:pt>
                <c:pt idx="6">
                  <c:v>62.620616401695102</c:v>
                </c:pt>
                <c:pt idx="7">
                  <c:v>63.281152967365337</c:v>
                </c:pt>
                <c:pt idx="8">
                  <c:v>63.871556452931969</c:v>
                </c:pt>
                <c:pt idx="9" formatCode="0.0%">
                  <c:v>1.1941511161344565E-2</c:v>
                </c:pt>
              </c:numCache>
            </c:numRef>
          </c:val>
          <c:extLst>
            <c:ext xmlns:c16="http://schemas.microsoft.com/office/drawing/2014/chart" uri="{C3380CC4-5D6E-409C-BE32-E72D297353CC}">
              <c16:uniqueId val="{00000003-252F-4BF7-95C1-B990653AE52C}"/>
            </c:ext>
          </c:extLst>
        </c:ser>
        <c:ser>
          <c:idx val="3"/>
          <c:order val="5"/>
          <c:tx>
            <c:strRef>
              <c:f>'Trends and nat. data'!$B$245</c:f>
              <c:strCache>
                <c:ptCount val="1"/>
                <c:pt idx="0">
                  <c:v>Generation (kg/cap)</c:v>
                </c:pt>
              </c:strCache>
            </c:strRef>
          </c:tx>
          <c:spPr>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data'!$Q$121:$Y$121,'Trends and nat. data'!$AA$121)</c:f>
              <c:numCache>
                <c:formatCode>#,##0</c:formatCode>
                <c:ptCount val="10"/>
                <c:pt idx="0">
                  <c:v>2782.6668202740298</c:v>
                </c:pt>
                <c:pt idx="1">
                  <c:v>2815.2993784319297</c:v>
                </c:pt>
                <c:pt idx="2">
                  <c:v>2837.3448575376656</c:v>
                </c:pt>
                <c:pt idx="3">
                  <c:v>2789.9067895108824</c:v>
                </c:pt>
                <c:pt idx="4">
                  <c:v>2764.6692513294129</c:v>
                </c:pt>
                <c:pt idx="5">
                  <c:v>2751.2992872485461</c:v>
                </c:pt>
                <c:pt idx="6">
                  <c:v>2732.0434655763338</c:v>
                </c:pt>
                <c:pt idx="7">
                  <c:v>2717.5926418897566</c:v>
                </c:pt>
                <c:pt idx="8">
                  <c:v>2704.7938498430062</c:v>
                </c:pt>
                <c:pt idx="9" formatCode="0.0%">
                  <c:v>-3.1488161727231123E-3</c:v>
                </c:pt>
              </c:numCache>
            </c:numRef>
          </c:val>
          <c:extLst>
            <c:ext xmlns:c16="http://schemas.microsoft.com/office/drawing/2014/chart" uri="{C3380CC4-5D6E-409C-BE32-E72D297353CC}">
              <c16:uniqueId val="{00000005-252F-4BF7-95C1-B990653AE52C}"/>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data'!$C$117</c:f>
              <c:strCache>
                <c:ptCount val="1"/>
                <c:pt idx="0">
                  <c:v>Recovery rate</c:v>
                </c:pt>
              </c:strCache>
            </c:strRef>
          </c:tx>
          <c:spPr>
            <a:ln w="28575">
              <a:noFill/>
            </a:ln>
          </c:spPr>
          <c:marker>
            <c:spPr>
              <a:noFill/>
              <a:ln>
                <a:noFill/>
              </a:ln>
            </c:spPr>
          </c:marker>
          <c:val>
            <c:numRef>
              <c:f>('Trends and nat. data'!$D$122:$L$122,'Trends and nat. data'!$N$122)</c:f>
              <c:numCache>
                <c:formatCode>0%</c:formatCode>
                <c:ptCount val="10"/>
                <c:pt idx="0">
                  <c:v>0.48999840845835374</c:v>
                </c:pt>
                <c:pt idx="1">
                  <c:v>0.49259144263464977</c:v>
                </c:pt>
                <c:pt idx="2">
                  <c:v>0.49503408058213366</c:v>
                </c:pt>
                <c:pt idx="3">
                  <c:v>0.53258376819169551</c:v>
                </c:pt>
                <c:pt idx="4">
                  <c:v>0.57053971528034975</c:v>
                </c:pt>
                <c:pt idx="5">
                  <c:v>0.58041445907802491</c:v>
                </c:pt>
                <c:pt idx="6">
                  <c:v>0.59008088076934628</c:v>
                </c:pt>
                <c:pt idx="7">
                  <c:v>0.59954550383068395</c:v>
                </c:pt>
                <c:pt idx="8">
                  <c:v>0.58056963787448179</c:v>
                </c:pt>
                <c:pt idx="9" formatCode="0.0%">
                  <c:v>1.9023983535076505E-2</c:v>
                </c:pt>
              </c:numCache>
            </c:numRef>
          </c:val>
          <c:smooth val="0"/>
          <c:extLst>
            <c:ext xmlns:c16="http://schemas.microsoft.com/office/drawing/2014/chart" uri="{C3380CC4-5D6E-409C-BE32-E72D297353CC}">
              <c16:uniqueId val="{00000004-252F-4BF7-95C1-B990653AE52C}"/>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599462365591399"/>
          <c:y val="9.6726388888888876E-2"/>
          <c:w val="0.65097526881720436"/>
          <c:h val="0.5322041666666667"/>
        </c:manualLayout>
      </c:layout>
      <c:areaChart>
        <c:grouping val="stacked"/>
        <c:varyColors val="0"/>
        <c:ser>
          <c:idx val="0"/>
          <c:order val="0"/>
          <c:tx>
            <c:strRef>
              <c:f>'Trends and nat. data'!$C$173</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data'!$D$173:$L$173</c:f>
              <c:numCache>
                <c:formatCode>#,##0.00</c:formatCode>
                <c:ptCount val="9"/>
                <c:pt idx="0">
                  <c:v>7.2064071387219784</c:v>
                </c:pt>
                <c:pt idx="1">
                  <c:v>7.1633077836186514</c:v>
                </c:pt>
                <c:pt idx="2">
                  <c:v>7.1202084285153244</c:v>
                </c:pt>
                <c:pt idx="3">
                  <c:v>7.0393159962822054</c:v>
                </c:pt>
                <c:pt idx="4">
                  <c:v>6.5467555381955806</c:v>
                </c:pt>
                <c:pt idx="5">
                  <c:v>6.365195342831071</c:v>
                </c:pt>
                <c:pt idx="6">
                  <c:v>6.1836351474665614</c:v>
                </c:pt>
                <c:pt idx="7">
                  <c:v>6.0020749521020527</c:v>
                </c:pt>
                <c:pt idx="8">
                  <c:v>6.4861293658881785</c:v>
                </c:pt>
              </c:numCache>
            </c:numRef>
          </c:val>
          <c:extLst>
            <c:ext xmlns:c16="http://schemas.microsoft.com/office/drawing/2014/chart" uri="{C3380CC4-5D6E-409C-BE32-E72D297353CC}">
              <c16:uniqueId val="{00000000-07BF-4913-91CB-66DFC68DFC45}"/>
            </c:ext>
          </c:extLst>
        </c:ser>
        <c:ser>
          <c:idx val="1"/>
          <c:order val="1"/>
          <c:tx>
            <c:strRef>
              <c:f>'Trends and nat. data'!$C$174</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data'!$D$174:$L$174</c:f>
              <c:numCache>
                <c:formatCode>#,##0.00</c:formatCode>
                <c:ptCount val="9"/>
                <c:pt idx="0">
                  <c:v>4.7102429690200704</c:v>
                </c:pt>
                <c:pt idx="1">
                  <c:v>4.9717873259801362</c:v>
                </c:pt>
                <c:pt idx="2">
                  <c:v>5.2333316829402019</c:v>
                </c:pt>
                <c:pt idx="3">
                  <c:v>5.4041706916590488</c:v>
                </c:pt>
                <c:pt idx="4">
                  <c:v>5.6894107048106051</c:v>
                </c:pt>
                <c:pt idx="5">
                  <c:v>5.6367387627353533</c:v>
                </c:pt>
                <c:pt idx="6">
                  <c:v>5.5840668206601016</c:v>
                </c:pt>
                <c:pt idx="7">
                  <c:v>5.531394878584849</c:v>
                </c:pt>
                <c:pt idx="8">
                  <c:v>5.6051962954849195</c:v>
                </c:pt>
              </c:numCache>
            </c:numRef>
          </c:val>
          <c:extLst>
            <c:ext xmlns:c16="http://schemas.microsoft.com/office/drawing/2014/chart" uri="{C3380CC4-5D6E-409C-BE32-E72D297353CC}">
              <c16:uniqueId val="{00000001-07BF-4913-91CB-66DFC68DFC45}"/>
            </c:ext>
          </c:extLst>
        </c:ser>
        <c:ser>
          <c:idx val="2"/>
          <c:order val="2"/>
          <c:tx>
            <c:strRef>
              <c:f>'Trends and nat. data'!$C$175</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data'!$D$175:$L$175</c:f>
              <c:numCache>
                <c:formatCode>#,##0.00</c:formatCode>
                <c:ptCount val="9"/>
                <c:pt idx="0">
                  <c:v>0.88201596995414489</c:v>
                </c:pt>
                <c:pt idx="1">
                  <c:v>0.89244726300940869</c:v>
                </c:pt>
                <c:pt idx="2">
                  <c:v>0.90287855606467238</c:v>
                </c:pt>
                <c:pt idx="3">
                  <c:v>1.0721048241097335</c:v>
                </c:pt>
                <c:pt idx="4">
                  <c:v>1.2263532551872192</c:v>
                </c:pt>
                <c:pt idx="5">
                  <c:v>1.3429570972978417</c:v>
                </c:pt>
                <c:pt idx="6">
                  <c:v>1.4595609394084643</c:v>
                </c:pt>
                <c:pt idx="7">
                  <c:v>1.5761647815190869</c:v>
                </c:pt>
                <c:pt idx="8">
                  <c:v>1.2532137416276181</c:v>
                </c:pt>
              </c:numCache>
            </c:numRef>
          </c:val>
          <c:extLst>
            <c:ext xmlns:c16="http://schemas.microsoft.com/office/drawing/2014/chart" uri="{C3380CC4-5D6E-409C-BE32-E72D297353CC}">
              <c16:uniqueId val="{00000002-07BF-4913-91CB-66DFC68DFC45}"/>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data'!$Q$176:$Y$176</c:f>
              <c:numCache>
                <c:formatCode>0</c:formatCode>
                <c:ptCount val="9"/>
                <c:pt idx="0">
                  <c:v>620.4647638275261</c:v>
                </c:pt>
                <c:pt idx="1">
                  <c:v>619.88329685617032</c:v>
                </c:pt>
                <c:pt idx="2">
                  <c:v>617.27743278811204</c:v>
                </c:pt>
                <c:pt idx="3">
                  <c:v>618.12057731220318</c:v>
                </c:pt>
                <c:pt idx="4">
                  <c:v>607.17277350544066</c:v>
                </c:pt>
                <c:pt idx="5">
                  <c:v>592.57169700260033</c:v>
                </c:pt>
                <c:pt idx="6">
                  <c:v>577.0856192500421</c:v>
                </c:pt>
                <c:pt idx="7">
                  <c:v>562.98984593986859</c:v>
                </c:pt>
                <c:pt idx="8">
                  <c:v>565.10644347335506</c:v>
                </c:pt>
              </c:numCache>
            </c:numRef>
          </c:val>
          <c:smooth val="0"/>
          <c:extLst>
            <c:ext xmlns:c16="http://schemas.microsoft.com/office/drawing/2014/chart" uri="{C3380CC4-5D6E-409C-BE32-E72D297353CC}">
              <c16:uniqueId val="{00000003-07BF-4913-91CB-66DFC68DFC45}"/>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20"/>
          <c:min val="0"/>
        </c:scaling>
        <c:delete val="0"/>
        <c:axPos val="l"/>
        <c:majorGridlines>
          <c:spPr>
            <a:ln w="2540"/>
          </c:spPr>
        </c:majorGridlines>
        <c:title>
          <c:tx>
            <c:rich>
              <a:bodyPr/>
              <a:lstStyle/>
              <a:p>
                <a:pPr>
                  <a:defRPr/>
                </a:pPr>
                <a:r>
                  <a:rPr lang="en-US"/>
                  <a:t>Megatonnes (Mt)</a:t>
                </a:r>
              </a:p>
            </c:rich>
          </c:tx>
          <c:layout>
            <c:manualLayout>
              <c:xMode val="edge"/>
              <c:yMode val="edge"/>
              <c:x val="0.15467440524466072"/>
              <c:y val="0.21711611111111112"/>
            </c:manualLayout>
          </c:layout>
          <c:overlay val="0"/>
        </c:title>
        <c:numFmt formatCode="#,##0" sourceLinked="0"/>
        <c:majorTickMark val="out"/>
        <c:minorTickMark val="none"/>
        <c:tickLblPos val="nextTo"/>
        <c:spPr>
          <a:ln>
            <a:noFill/>
          </a:ln>
        </c:spPr>
        <c:crossAx val="228055680"/>
        <c:crosses val="autoZero"/>
        <c:crossBetween val="between"/>
        <c:majorUnit val="5"/>
      </c:valAx>
      <c:valAx>
        <c:axId val="228199424"/>
        <c:scaling>
          <c:orientation val="minMax"/>
          <c:max val="800"/>
          <c:min val="0"/>
        </c:scaling>
        <c:delete val="0"/>
        <c:axPos val="r"/>
        <c:title>
          <c:tx>
            <c:rich>
              <a:bodyPr/>
              <a:lstStyle/>
              <a:p>
                <a:pPr>
                  <a:defRPr/>
                </a:pPr>
                <a:r>
                  <a:rPr lang="en-AU"/>
                  <a:t>Generation (kg per capita)</a:t>
                </a:r>
              </a:p>
            </c:rich>
          </c:tx>
          <c:layout>
            <c:manualLayout>
              <c:xMode val="edge"/>
              <c:yMode val="edge"/>
              <c:x val="0.95536398971958125"/>
              <c:y val="0.1370782602248011"/>
            </c:manualLayout>
          </c:layout>
          <c:overlay val="0"/>
        </c:title>
        <c:numFmt formatCode="#,##0;\-#,##0;;" sourceLinked="0"/>
        <c:majorTickMark val="out"/>
        <c:minorTickMark val="none"/>
        <c:tickLblPos val="nextTo"/>
        <c:spPr>
          <a:ln>
            <a:noFill/>
          </a:ln>
        </c:spPr>
        <c:crossAx val="228209792"/>
        <c:crosses val="max"/>
        <c:crossBetween val="between"/>
        <c:majorUnit val="200"/>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5200376344086022"/>
          <c:y val="1.6969722222222223E-2"/>
          <c:w val="0.8070734406421789"/>
          <c:h val="4.75989034881363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815541362530414"/>
          <c:y val="8.8652020202020204E-2"/>
          <c:w val="0.6473979453906461"/>
          <c:h val="0.53506527777777779"/>
        </c:manualLayout>
      </c:layout>
      <c:areaChart>
        <c:grouping val="stacked"/>
        <c:varyColors val="0"/>
        <c:ser>
          <c:idx val="0"/>
          <c:order val="0"/>
          <c:tx>
            <c:strRef>
              <c:f>'Trends and nat. data'!$C$188</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data'!$D$188:$L$188</c:f>
              <c:numCache>
                <c:formatCode>#,##0.00</c:formatCode>
                <c:ptCount val="9"/>
                <c:pt idx="0">
                  <c:v>5.4587414087159711</c:v>
                </c:pt>
                <c:pt idx="1">
                  <c:v>6.1669629742760907</c:v>
                </c:pt>
                <c:pt idx="2">
                  <c:v>6.8751845398362104</c:v>
                </c:pt>
                <c:pt idx="3">
                  <c:v>6.9642811242748222</c:v>
                </c:pt>
                <c:pt idx="4">
                  <c:v>5.7278264720679362</c:v>
                </c:pt>
                <c:pt idx="5">
                  <c:v>6.2430109029530145</c:v>
                </c:pt>
                <c:pt idx="6">
                  <c:v>6.7581953338380929</c:v>
                </c:pt>
                <c:pt idx="7">
                  <c:v>7.2733797647231722</c:v>
                </c:pt>
                <c:pt idx="8">
                  <c:v>7.1298242820995412</c:v>
                </c:pt>
              </c:numCache>
            </c:numRef>
          </c:val>
          <c:extLst>
            <c:ext xmlns:c16="http://schemas.microsoft.com/office/drawing/2014/chart" uri="{C3380CC4-5D6E-409C-BE32-E72D297353CC}">
              <c16:uniqueId val="{00000000-5A76-43FF-91A6-0581AFE241EE}"/>
            </c:ext>
          </c:extLst>
        </c:ser>
        <c:ser>
          <c:idx val="1"/>
          <c:order val="1"/>
          <c:tx>
            <c:strRef>
              <c:f>'Trends and nat. data'!$C$189</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data'!$D$189:$L$189</c:f>
              <c:numCache>
                <c:formatCode>#,##0.00</c:formatCode>
                <c:ptCount val="9"/>
                <c:pt idx="0">
                  <c:v>9.390559951570344</c:v>
                </c:pt>
                <c:pt idx="1">
                  <c:v>9.8583861538107129</c:v>
                </c:pt>
                <c:pt idx="2">
                  <c:v>10.326212356051082</c:v>
                </c:pt>
                <c:pt idx="3">
                  <c:v>10.592445207267728</c:v>
                </c:pt>
                <c:pt idx="4">
                  <c:v>11.27975977964115</c:v>
                </c:pt>
                <c:pt idx="5">
                  <c:v>11.239759350459119</c:v>
                </c:pt>
                <c:pt idx="6">
                  <c:v>11.199758921277088</c:v>
                </c:pt>
                <c:pt idx="7">
                  <c:v>11.159758492095058</c:v>
                </c:pt>
                <c:pt idx="8">
                  <c:v>12.334640281360533</c:v>
                </c:pt>
              </c:numCache>
            </c:numRef>
          </c:val>
          <c:extLst>
            <c:ext xmlns:c16="http://schemas.microsoft.com/office/drawing/2014/chart" uri="{C3380CC4-5D6E-409C-BE32-E72D297353CC}">
              <c16:uniqueId val="{00000001-5A76-43FF-91A6-0581AFE241EE}"/>
            </c:ext>
          </c:extLst>
        </c:ser>
        <c:ser>
          <c:idx val="2"/>
          <c:order val="2"/>
          <c:tx>
            <c:strRef>
              <c:f>'Trends and nat. data'!$C$190</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data'!$D$190:$L$190</c:f>
              <c:numCache>
                <c:formatCode>#,##0.00</c:formatCode>
                <c:ptCount val="9"/>
                <c:pt idx="0">
                  <c:v>7.5251258128995066E-2</c:v>
                </c:pt>
                <c:pt idx="1">
                  <c:v>8.5052794310696039E-2</c:v>
                </c:pt>
                <c:pt idx="2">
                  <c:v>9.4854330492396999E-2</c:v>
                </c:pt>
                <c:pt idx="3">
                  <c:v>0.11009390933860967</c:v>
                </c:pt>
                <c:pt idx="4">
                  <c:v>0.10411448192267421</c:v>
                </c:pt>
                <c:pt idx="5">
                  <c:v>0.12623938043594224</c:v>
                </c:pt>
                <c:pt idx="6">
                  <c:v>0.14836427894921028</c:v>
                </c:pt>
                <c:pt idx="7">
                  <c:v>0.17048917746247833</c:v>
                </c:pt>
                <c:pt idx="8">
                  <c:v>0.16600556266404012</c:v>
                </c:pt>
              </c:numCache>
            </c:numRef>
          </c:val>
          <c:extLst>
            <c:ext xmlns:c16="http://schemas.microsoft.com/office/drawing/2014/chart" uri="{C3380CC4-5D6E-409C-BE32-E72D297353CC}">
              <c16:uniqueId val="{00000002-5A76-43FF-91A6-0581AFE241EE}"/>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data'!$Q$191:$Y$191</c:f>
              <c:numCache>
                <c:formatCode>0</c:formatCode>
                <c:ptCount val="9"/>
                <c:pt idx="0">
                  <c:v>723.52532360805242</c:v>
                </c:pt>
                <c:pt idx="1">
                  <c:v>766.57352336320764</c:v>
                </c:pt>
                <c:pt idx="2">
                  <c:v>805.3898886006665</c:v>
                </c:pt>
                <c:pt idx="3">
                  <c:v>807.9724159188678</c:v>
                </c:pt>
                <c:pt idx="4">
                  <c:v>771.75441010343764</c:v>
                </c:pt>
                <c:pt idx="5">
                  <c:v>781.9172567720052</c:v>
                </c:pt>
                <c:pt idx="6">
                  <c:v>789.95149008618239</c:v>
                </c:pt>
                <c:pt idx="7">
                  <c:v>798.92793757933589</c:v>
                </c:pt>
                <c:pt idx="8">
                  <c:v>831.29921698080102</c:v>
                </c:pt>
              </c:numCache>
            </c:numRef>
          </c:val>
          <c:smooth val="0"/>
          <c:extLst>
            <c:ext xmlns:c16="http://schemas.microsoft.com/office/drawing/2014/chart" uri="{C3380CC4-5D6E-409C-BE32-E72D297353CC}">
              <c16:uniqueId val="{00000003-5A76-43FF-91A6-0581AFE241EE}"/>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scaling>
        <c:delete val="0"/>
        <c:axPos val="l"/>
        <c:majorGridlines>
          <c:spPr>
            <a:ln w="2540"/>
          </c:spPr>
        </c:majorGridlines>
        <c:title>
          <c:tx>
            <c:rich>
              <a:bodyPr/>
              <a:lstStyle/>
              <a:p>
                <a:pPr>
                  <a:defRPr/>
                </a:pPr>
                <a:r>
                  <a:rPr lang="en-US"/>
                  <a:t>Megatonnes (Mt)</a:t>
                </a:r>
              </a:p>
            </c:rich>
          </c:tx>
          <c:layout>
            <c:manualLayout>
              <c:xMode val="edge"/>
              <c:yMode val="edge"/>
              <c:x val="0.17397675047310085"/>
              <c:y val="0.20892373737373734"/>
            </c:manualLayout>
          </c:layout>
          <c:overlay val="0"/>
        </c:title>
        <c:numFmt formatCode="#,##0" sourceLinked="0"/>
        <c:majorTickMark val="out"/>
        <c:minorTickMark val="none"/>
        <c:tickLblPos val="nextTo"/>
        <c:spPr>
          <a:ln>
            <a:noFill/>
          </a:ln>
        </c:spPr>
        <c:crossAx val="228055680"/>
        <c:crosses val="autoZero"/>
        <c:crossBetween val="between"/>
      </c:valAx>
      <c:valAx>
        <c:axId val="228199424"/>
        <c:scaling>
          <c:orientation val="minMax"/>
          <c:min val="0"/>
        </c:scaling>
        <c:delete val="0"/>
        <c:axPos val="r"/>
        <c:title>
          <c:tx>
            <c:rich>
              <a:bodyPr/>
              <a:lstStyle/>
              <a:p>
                <a:pPr>
                  <a:defRPr/>
                </a:pPr>
                <a:r>
                  <a:rPr lang="en-AU"/>
                  <a:t>Generation (kg per capita)</a:t>
                </a:r>
              </a:p>
            </c:rich>
          </c:tx>
          <c:layout>
            <c:manualLayout>
              <c:xMode val="edge"/>
              <c:yMode val="edge"/>
              <c:x val="0.96167139767504728"/>
              <c:y val="0.14805328282828284"/>
            </c:manualLayout>
          </c:layout>
          <c:overlay val="0"/>
        </c:title>
        <c:numFmt formatCode="#,##0;\-#,##0;;" sourceLinked="0"/>
        <c:majorTickMark val="out"/>
        <c:minorTickMark val="none"/>
        <c:tickLblPos val="nextTo"/>
        <c:spPr>
          <a:ln>
            <a:noFill/>
          </a:ln>
        </c:spPr>
        <c:crossAx val="228209792"/>
        <c:crosses val="max"/>
        <c:crossBetween val="between"/>
        <c:majorUnit val="200"/>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5200376344086022"/>
          <c:y val="1.6969722222222223E-2"/>
          <c:w val="0.8070734406421789"/>
          <c:h val="4.75989034881363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78673835125449"/>
          <c:y val="0.10981861111111112"/>
          <c:w val="0.67828709677419352"/>
          <c:h val="0.55270416666666677"/>
        </c:manualLayout>
      </c:layout>
      <c:areaChart>
        <c:grouping val="stacked"/>
        <c:varyColors val="0"/>
        <c:ser>
          <c:idx val="0"/>
          <c:order val="0"/>
          <c:tx>
            <c:strRef>
              <c:f>'Trends and nat. data'!$C$196</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data'!$D$196:$L$196</c:f>
              <c:numCache>
                <c:formatCode>#,##0.0</c:formatCode>
                <c:ptCount val="9"/>
                <c:pt idx="0">
                  <c:v>5.6202674868685678</c:v>
                </c:pt>
                <c:pt idx="1">
                  <c:v>5.9119090543073085</c:v>
                </c:pt>
                <c:pt idx="2">
                  <c:v>6.2035506217460492</c:v>
                </c:pt>
                <c:pt idx="3">
                  <c:v>6.2043637734519343</c:v>
                </c:pt>
                <c:pt idx="4">
                  <c:v>5.0651125668095514</c:v>
                </c:pt>
                <c:pt idx="5">
                  <c:v>5.2051599407534486</c:v>
                </c:pt>
                <c:pt idx="6">
                  <c:v>5.3452073146973458</c:v>
                </c:pt>
                <c:pt idx="7">
                  <c:v>5.4852546886412421</c:v>
                </c:pt>
                <c:pt idx="8">
                  <c:v>5.193820583808944</c:v>
                </c:pt>
              </c:numCache>
            </c:numRef>
          </c:val>
          <c:extLst>
            <c:ext xmlns:c16="http://schemas.microsoft.com/office/drawing/2014/chart" uri="{C3380CC4-5D6E-409C-BE32-E72D297353CC}">
              <c16:uniqueId val="{00000000-87B3-4CF2-8F60-7507C2E162BC}"/>
            </c:ext>
          </c:extLst>
        </c:ser>
        <c:ser>
          <c:idx val="1"/>
          <c:order val="1"/>
          <c:tx>
            <c:strRef>
              <c:f>'Trends and nat. data'!$C$197</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data'!$D$197:$L$197</c:f>
              <c:numCache>
                <c:formatCode>#,##0.0</c:formatCode>
                <c:ptCount val="9"/>
                <c:pt idx="0">
                  <c:v>8.9353229506452667</c:v>
                </c:pt>
                <c:pt idx="1">
                  <c:v>9.3112116369931996</c:v>
                </c:pt>
                <c:pt idx="2">
                  <c:v>9.6871003233411344</c:v>
                </c:pt>
                <c:pt idx="3">
                  <c:v>10.249584000173458</c:v>
                </c:pt>
                <c:pt idx="4">
                  <c:v>10.626473572124297</c:v>
                </c:pt>
                <c:pt idx="5">
                  <c:v>10.690732187988914</c:v>
                </c:pt>
                <c:pt idx="6">
                  <c:v>10.754990803853531</c:v>
                </c:pt>
                <c:pt idx="7">
                  <c:v>10.819249419718146</c:v>
                </c:pt>
                <c:pt idx="8">
                  <c:v>11.95718375031889</c:v>
                </c:pt>
              </c:numCache>
            </c:numRef>
          </c:val>
          <c:extLst>
            <c:ext xmlns:c16="http://schemas.microsoft.com/office/drawing/2014/chart" uri="{C3380CC4-5D6E-409C-BE32-E72D297353CC}">
              <c16:uniqueId val="{00000001-87B3-4CF2-8F60-7507C2E162BC}"/>
            </c:ext>
          </c:extLst>
        </c:ser>
        <c:dLbls>
          <c:showLegendKey val="0"/>
          <c:showVal val="0"/>
          <c:showCatName val="0"/>
          <c:showSerName val="0"/>
          <c:showPercent val="0"/>
          <c:showBubbleSize val="0"/>
        </c:dLbls>
        <c:axId val="228055680"/>
        <c:axId val="228197120"/>
      </c:areaChart>
      <c:lineChart>
        <c:grouping val="stacked"/>
        <c:varyColors val="0"/>
        <c:ser>
          <c:idx val="3"/>
          <c:order val="2"/>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data'!$Q$198:$Y$198</c:f>
              <c:numCache>
                <c:formatCode>0</c:formatCode>
                <c:ptCount val="9"/>
                <c:pt idx="0">
                  <c:v>705.63845703581887</c:v>
                </c:pt>
                <c:pt idx="1">
                  <c:v>724.35444634623627</c:v>
                </c:pt>
                <c:pt idx="2">
                  <c:v>739.93892820754627</c:v>
                </c:pt>
                <c:pt idx="3">
                  <c:v>752.50303975447639</c:v>
                </c:pt>
                <c:pt idx="4">
                  <c:v>707.70585535304372</c:v>
                </c:pt>
                <c:pt idx="5">
                  <c:v>705.84732620955378</c:v>
                </c:pt>
                <c:pt idx="6">
                  <c:v>702.42746864881747</c:v>
                </c:pt>
                <c:pt idx="7">
                  <c:v>700.19268481706285</c:v>
                </c:pt>
                <c:pt idx="8">
                  <c:v>726.30030670640122</c:v>
                </c:pt>
              </c:numCache>
            </c:numRef>
          </c:val>
          <c:smooth val="0"/>
          <c:extLst>
            <c:ext xmlns:c16="http://schemas.microsoft.com/office/drawing/2014/chart" uri="{C3380CC4-5D6E-409C-BE32-E72D297353CC}">
              <c16:uniqueId val="{00000003-87B3-4CF2-8F60-7507C2E162BC}"/>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20"/>
          <c:min val="0"/>
        </c:scaling>
        <c:delete val="0"/>
        <c:axPos val="l"/>
        <c:majorGridlines>
          <c:spPr>
            <a:ln w="2540"/>
          </c:spPr>
        </c:majorGridlines>
        <c:title>
          <c:tx>
            <c:rich>
              <a:bodyPr/>
              <a:lstStyle/>
              <a:p>
                <a:pPr>
                  <a:defRPr/>
                </a:pPr>
                <a:r>
                  <a:rPr lang="en-US"/>
                  <a:t>Megatonnes (Mt)</a:t>
                </a:r>
              </a:p>
            </c:rich>
          </c:tx>
          <c:layout>
            <c:manualLayout>
              <c:xMode val="edge"/>
              <c:yMode val="edge"/>
              <c:x val="0.12806666666666663"/>
              <c:y val="0.22303472222222223"/>
            </c:manualLayout>
          </c:layout>
          <c:overlay val="0"/>
        </c:title>
        <c:numFmt formatCode="#,##0" sourceLinked="0"/>
        <c:majorTickMark val="out"/>
        <c:minorTickMark val="none"/>
        <c:tickLblPos val="nextTo"/>
        <c:spPr>
          <a:ln>
            <a:noFill/>
          </a:ln>
        </c:spPr>
        <c:crossAx val="228055680"/>
        <c:crosses val="autoZero"/>
        <c:crossBetween val="between"/>
        <c:majorUnit val="4"/>
      </c:valAx>
      <c:valAx>
        <c:axId val="228199424"/>
        <c:scaling>
          <c:orientation val="minMax"/>
          <c:min val="0"/>
        </c:scaling>
        <c:delete val="0"/>
        <c:axPos val="r"/>
        <c:title>
          <c:tx>
            <c:rich>
              <a:bodyPr/>
              <a:lstStyle/>
              <a:p>
                <a:pPr>
                  <a:defRPr/>
                </a:pPr>
                <a:r>
                  <a:rPr lang="en-AU"/>
                  <a:t>Generation (kg per capita)</a:t>
                </a:r>
              </a:p>
            </c:rich>
          </c:tx>
          <c:layout>
            <c:manualLayout>
              <c:xMode val="edge"/>
              <c:yMode val="edge"/>
              <c:x val="0.96219193548387094"/>
              <c:y val="0.14452555555555555"/>
            </c:manualLayout>
          </c:layout>
          <c:overlay val="0"/>
        </c:title>
        <c:numFmt formatCode="#,##0;\-#,##0;;" sourceLinked="0"/>
        <c:majorTickMark val="out"/>
        <c:minorTickMark val="none"/>
        <c:tickLblPos val="nextTo"/>
        <c:spPr>
          <a:ln>
            <a:noFill/>
          </a:ln>
        </c:spPr>
        <c:crossAx val="228209792"/>
        <c:crosses val="max"/>
        <c:crossBetween val="between"/>
        <c:majorUnit val="160"/>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520037037037037"/>
          <c:y val="2.7553086419753087E-2"/>
          <c:w val="0.8070734406421789"/>
          <c:h val="4.75989034881363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51075268817206"/>
          <c:y val="0.10981851851851852"/>
          <c:w val="0.67828709677419352"/>
          <c:h val="0.5315375"/>
        </c:manualLayout>
      </c:layout>
      <c:areaChart>
        <c:grouping val="stacked"/>
        <c:varyColors val="0"/>
        <c:ser>
          <c:idx val="0"/>
          <c:order val="0"/>
          <c:tx>
            <c:strRef>
              <c:f>'Trends and nat. data'!$C$200</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data'!$D$200:$L$200</c:f>
              <c:numCache>
                <c:formatCode>#,##0.0</c:formatCode>
                <c:ptCount val="9"/>
                <c:pt idx="0">
                  <c:v>0.560626055840588</c:v>
                </c:pt>
                <c:pt idx="1">
                  <c:v>0.5820820541281877</c:v>
                </c:pt>
                <c:pt idx="2">
                  <c:v>0.6035380524157874</c:v>
                </c:pt>
                <c:pt idx="3">
                  <c:v>0.60507369160535174</c:v>
                </c:pt>
                <c:pt idx="4">
                  <c:v>0.53114799981825367</c:v>
                </c:pt>
                <c:pt idx="5">
                  <c:v>0.54077644233840039</c:v>
                </c:pt>
                <c:pt idx="6">
                  <c:v>0.55040488485854711</c:v>
                </c:pt>
                <c:pt idx="7">
                  <c:v>0.56003332737869393</c:v>
                </c:pt>
                <c:pt idx="8">
                  <c:v>0.59931824029537706</c:v>
                </c:pt>
              </c:numCache>
            </c:numRef>
          </c:val>
          <c:extLst>
            <c:ext xmlns:c16="http://schemas.microsoft.com/office/drawing/2014/chart" uri="{C3380CC4-5D6E-409C-BE32-E72D297353CC}">
              <c16:uniqueId val="{00000000-374A-45BA-9953-008C3C681F63}"/>
            </c:ext>
          </c:extLst>
        </c:ser>
        <c:ser>
          <c:idx val="1"/>
          <c:order val="1"/>
          <c:tx>
            <c:strRef>
              <c:f>'Trends and nat. data'!$C$201</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data'!$D$201:$L$201</c:f>
              <c:numCache>
                <c:formatCode>#,##0.0</c:formatCode>
                <c:ptCount val="9"/>
                <c:pt idx="0">
                  <c:v>3.4952329963431468</c:v>
                </c:pt>
                <c:pt idx="1">
                  <c:v>3.2810108999322081</c:v>
                </c:pt>
                <c:pt idx="2">
                  <c:v>3.0667888035212689</c:v>
                </c:pt>
                <c:pt idx="3">
                  <c:v>4.1941222451444027</c:v>
                </c:pt>
                <c:pt idx="4">
                  <c:v>5.100722177420046</c:v>
                </c:pt>
                <c:pt idx="5">
                  <c:v>5.0131168467027249</c:v>
                </c:pt>
                <c:pt idx="6">
                  <c:v>4.9255115159854039</c:v>
                </c:pt>
                <c:pt idx="7">
                  <c:v>4.8379061852680838</c:v>
                </c:pt>
                <c:pt idx="8">
                  <c:v>4.5685719138708256</c:v>
                </c:pt>
              </c:numCache>
            </c:numRef>
          </c:val>
          <c:extLst>
            <c:ext xmlns:c16="http://schemas.microsoft.com/office/drawing/2014/chart" uri="{C3380CC4-5D6E-409C-BE32-E72D297353CC}">
              <c16:uniqueId val="{00000001-374A-45BA-9953-008C3C681F63}"/>
            </c:ext>
          </c:extLst>
        </c:ser>
        <c:dLbls>
          <c:showLegendKey val="0"/>
          <c:showVal val="0"/>
          <c:showCatName val="0"/>
          <c:showSerName val="0"/>
          <c:showPercent val="0"/>
          <c:showBubbleSize val="0"/>
        </c:dLbls>
        <c:axId val="228055680"/>
        <c:axId val="228197120"/>
      </c:areaChart>
      <c:lineChart>
        <c:grouping val="stacked"/>
        <c:varyColors val="0"/>
        <c:ser>
          <c:idx val="3"/>
          <c:order val="2"/>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data'!$Q$202:$Y$202</c:f>
              <c:numCache>
                <c:formatCode>0</c:formatCode>
                <c:ptCount val="9"/>
                <c:pt idx="0">
                  <c:v>196.62343041485906</c:v>
                </c:pt>
                <c:pt idx="1">
                  <c:v>183.81569815192802</c:v>
                </c:pt>
                <c:pt idx="2">
                  <c:v>170.90663745232357</c:v>
                </c:pt>
                <c:pt idx="3">
                  <c:v>219.48589970428714</c:v>
                </c:pt>
                <c:pt idx="4">
                  <c:v>254.00284367240741</c:v>
                </c:pt>
                <c:pt idx="5">
                  <c:v>246.6172201203166</c:v>
                </c:pt>
                <c:pt idx="6">
                  <c:v>238.90601020278402</c:v>
                </c:pt>
                <c:pt idx="7">
                  <c:v>231.81310726907904</c:v>
                </c:pt>
                <c:pt idx="8">
                  <c:v>218.84667106795263</c:v>
                </c:pt>
              </c:numCache>
            </c:numRef>
          </c:val>
          <c:smooth val="0"/>
          <c:extLst>
            <c:ext xmlns:c16="http://schemas.microsoft.com/office/drawing/2014/chart" uri="{C3380CC4-5D6E-409C-BE32-E72D297353CC}">
              <c16:uniqueId val="{00000002-374A-45BA-9953-008C3C681F63}"/>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8"/>
          <c:min val="0"/>
        </c:scaling>
        <c:delete val="0"/>
        <c:axPos val="l"/>
        <c:majorGridlines>
          <c:spPr>
            <a:ln w="2540"/>
          </c:spPr>
        </c:majorGridlines>
        <c:title>
          <c:tx>
            <c:rich>
              <a:bodyPr/>
              <a:lstStyle/>
              <a:p>
                <a:pPr>
                  <a:defRPr/>
                </a:pPr>
                <a:r>
                  <a:rPr lang="en-US"/>
                  <a:t>Megatonnes (Mt)</a:t>
                </a:r>
              </a:p>
            </c:rich>
          </c:tx>
          <c:layout>
            <c:manualLayout>
              <c:xMode val="edge"/>
              <c:yMode val="edge"/>
              <c:x val="0.13261863799283155"/>
              <c:y val="0.21950694444444449"/>
            </c:manualLayout>
          </c:layout>
          <c:overlay val="0"/>
        </c:title>
        <c:numFmt formatCode="#,##0" sourceLinked="0"/>
        <c:majorTickMark val="out"/>
        <c:minorTickMark val="none"/>
        <c:tickLblPos val="nextTo"/>
        <c:spPr>
          <a:ln>
            <a:noFill/>
          </a:ln>
        </c:spPr>
        <c:crossAx val="228055680"/>
        <c:crosses val="autoZero"/>
        <c:crossBetween val="between"/>
        <c:majorUnit val="2"/>
      </c:valAx>
      <c:valAx>
        <c:axId val="228199424"/>
        <c:scaling>
          <c:orientation val="minMax"/>
          <c:min val="0"/>
        </c:scaling>
        <c:delete val="0"/>
        <c:axPos val="r"/>
        <c:title>
          <c:tx>
            <c:rich>
              <a:bodyPr/>
              <a:lstStyle/>
              <a:p>
                <a:pPr>
                  <a:defRPr/>
                </a:pPr>
                <a:r>
                  <a:rPr lang="en-AU"/>
                  <a:t>Generation (kg per capita)</a:t>
                </a:r>
              </a:p>
            </c:rich>
          </c:tx>
          <c:layout>
            <c:manualLayout>
              <c:xMode val="edge"/>
              <c:yMode val="edge"/>
              <c:x val="0.96219193548387094"/>
              <c:y val="0.16569222222222221"/>
            </c:manualLayout>
          </c:layout>
          <c:overlay val="0"/>
        </c:title>
        <c:numFmt formatCode="#,##0;\-#,##0;;" sourceLinked="0"/>
        <c:majorTickMark val="out"/>
        <c:minorTickMark val="none"/>
        <c:tickLblPos val="nextTo"/>
        <c:spPr>
          <a:ln>
            <a:noFill/>
          </a:ln>
        </c:spPr>
        <c:crossAx val="228209792"/>
        <c:crosses val="max"/>
        <c:crossBetween val="between"/>
        <c:majorUnit val="75"/>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520037037037037"/>
          <c:y val="2.7553086419753087E-2"/>
          <c:w val="0.8070734406421789"/>
          <c:h val="4.75989034881363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33870967741935"/>
          <c:y val="0.10981851851851852"/>
          <c:w val="0.67828709677419352"/>
          <c:h val="0.52448194444444451"/>
        </c:manualLayout>
      </c:layout>
      <c:areaChart>
        <c:grouping val="stacked"/>
        <c:varyColors val="0"/>
        <c:ser>
          <c:idx val="0"/>
          <c:order val="0"/>
          <c:tx>
            <c:strRef>
              <c:f>'Trends and nat. data'!$C$219</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data'!$D$219:$L$219</c:f>
              <c:numCache>
                <c:formatCode>#,##0.00</c:formatCode>
                <c:ptCount val="9"/>
                <c:pt idx="0">
                  <c:v>0.51842943930790297</c:v>
                </c:pt>
                <c:pt idx="1">
                  <c:v>0.52343922420434663</c:v>
                </c:pt>
                <c:pt idx="2">
                  <c:v>0.52844900910079018</c:v>
                </c:pt>
                <c:pt idx="3">
                  <c:v>0.55699148877092075</c:v>
                </c:pt>
                <c:pt idx="4">
                  <c:v>0.51423640355141531</c:v>
                </c:pt>
                <c:pt idx="5">
                  <c:v>0.49823274060214739</c:v>
                </c:pt>
                <c:pt idx="6">
                  <c:v>0.48222907765287948</c:v>
                </c:pt>
                <c:pt idx="7">
                  <c:v>0.46622541470361162</c:v>
                </c:pt>
                <c:pt idx="8">
                  <c:v>0.46612295505867557</c:v>
                </c:pt>
              </c:numCache>
            </c:numRef>
          </c:val>
          <c:extLst>
            <c:ext xmlns:c16="http://schemas.microsoft.com/office/drawing/2014/chart" uri="{C3380CC4-5D6E-409C-BE32-E72D297353CC}">
              <c16:uniqueId val="{00000000-805A-4A03-95B6-24A0E4CEE6AC}"/>
            </c:ext>
          </c:extLst>
        </c:ser>
        <c:ser>
          <c:idx val="1"/>
          <c:order val="1"/>
          <c:tx>
            <c:strRef>
              <c:f>'Trends and nat. data'!$C$220</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data'!$D$220:$L$220</c:f>
              <c:numCache>
                <c:formatCode>#,##0.00</c:formatCode>
                <c:ptCount val="9"/>
                <c:pt idx="0">
                  <c:v>0.73755934441585713</c:v>
                </c:pt>
                <c:pt idx="1">
                  <c:v>0.77547985219072746</c:v>
                </c:pt>
                <c:pt idx="2">
                  <c:v>0.81340035996559779</c:v>
                </c:pt>
                <c:pt idx="3">
                  <c:v>0.72258869614465482</c:v>
                </c:pt>
                <c:pt idx="4">
                  <c:v>0.70153719146501725</c:v>
                </c:pt>
                <c:pt idx="5">
                  <c:v>0.65739314638259005</c:v>
                </c:pt>
                <c:pt idx="6">
                  <c:v>0.61324910130016286</c:v>
                </c:pt>
                <c:pt idx="7">
                  <c:v>0.56910505621773577</c:v>
                </c:pt>
                <c:pt idx="8">
                  <c:v>0.6020176590864128</c:v>
                </c:pt>
              </c:numCache>
            </c:numRef>
          </c:val>
          <c:extLst>
            <c:ext xmlns:c16="http://schemas.microsoft.com/office/drawing/2014/chart" uri="{C3380CC4-5D6E-409C-BE32-E72D297353CC}">
              <c16:uniqueId val="{00000001-805A-4A03-95B6-24A0E4CEE6AC}"/>
            </c:ext>
          </c:extLst>
        </c:ser>
        <c:dLbls>
          <c:showLegendKey val="0"/>
          <c:showVal val="0"/>
          <c:showCatName val="0"/>
          <c:showSerName val="0"/>
          <c:showPercent val="0"/>
          <c:showBubbleSize val="0"/>
        </c:dLbls>
        <c:axId val="228055680"/>
        <c:axId val="228197120"/>
      </c:areaChart>
      <c:lineChart>
        <c:grouping val="stacked"/>
        <c:varyColors val="0"/>
        <c:ser>
          <c:idx val="3"/>
          <c:order val="2"/>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data'!$Q$221:$Y$221</c:f>
              <c:numCache>
                <c:formatCode>0</c:formatCode>
                <c:ptCount val="9"/>
                <c:pt idx="0">
                  <c:v>60.888906651079743</c:v>
                </c:pt>
                <c:pt idx="1">
                  <c:v>61.805843066618912</c:v>
                </c:pt>
                <c:pt idx="2">
                  <c:v>62.482436206927062</c:v>
                </c:pt>
                <c:pt idx="3">
                  <c:v>58.520179594954861</c:v>
                </c:pt>
                <c:pt idx="4">
                  <c:v>54.832576156332998</c:v>
                </c:pt>
                <c:pt idx="5">
                  <c:v>51.314857689038462</c:v>
                </c:pt>
                <c:pt idx="6">
                  <c:v>47.79406803170825</c:v>
                </c:pt>
                <c:pt idx="7">
                  <c:v>44.461997573765956</c:v>
                </c:pt>
                <c:pt idx="8">
                  <c:v>45.232969483625993</c:v>
                </c:pt>
              </c:numCache>
            </c:numRef>
          </c:val>
          <c:smooth val="0"/>
          <c:extLst>
            <c:ext xmlns:c16="http://schemas.microsoft.com/office/drawing/2014/chart" uri="{C3380CC4-5D6E-409C-BE32-E72D297353CC}">
              <c16:uniqueId val="{00000002-805A-4A03-95B6-24A0E4CEE6AC}"/>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1.8"/>
          <c:min val="0"/>
        </c:scaling>
        <c:delete val="0"/>
        <c:axPos val="l"/>
        <c:majorGridlines>
          <c:spPr>
            <a:ln w="2540"/>
          </c:spPr>
        </c:majorGridlines>
        <c:title>
          <c:tx>
            <c:rich>
              <a:bodyPr/>
              <a:lstStyle/>
              <a:p>
                <a:pPr>
                  <a:defRPr/>
                </a:pPr>
                <a:r>
                  <a:rPr lang="en-US"/>
                  <a:t>Megatonnes (Mt)</a:t>
                </a:r>
              </a:p>
            </c:rich>
          </c:tx>
          <c:layout>
            <c:manualLayout>
              <c:xMode val="edge"/>
              <c:yMode val="edge"/>
              <c:x val="0.13261863799283155"/>
              <c:y val="0.21597916666666667"/>
            </c:manualLayout>
          </c:layout>
          <c:overlay val="0"/>
        </c:title>
        <c:numFmt formatCode="#,##0.0" sourceLinked="0"/>
        <c:majorTickMark val="out"/>
        <c:minorTickMark val="none"/>
        <c:tickLblPos val="nextTo"/>
        <c:spPr>
          <a:ln>
            <a:noFill/>
          </a:ln>
        </c:spPr>
        <c:crossAx val="228055680"/>
        <c:crosses val="autoZero"/>
        <c:crossBetween val="between"/>
      </c:valAx>
      <c:valAx>
        <c:axId val="228199424"/>
        <c:scaling>
          <c:orientation val="minMax"/>
          <c:min val="0"/>
        </c:scaling>
        <c:delete val="0"/>
        <c:axPos val="r"/>
        <c:title>
          <c:tx>
            <c:rich>
              <a:bodyPr/>
              <a:lstStyle/>
              <a:p>
                <a:pPr>
                  <a:defRPr/>
                </a:pPr>
                <a:r>
                  <a:rPr lang="en-AU"/>
                  <a:t>Generation (kg per capita)</a:t>
                </a:r>
              </a:p>
            </c:rich>
          </c:tx>
          <c:layout>
            <c:manualLayout>
              <c:xMode val="edge"/>
              <c:yMode val="edge"/>
              <c:x val="0.95763996415770614"/>
              <c:y val="0.16569222222222221"/>
            </c:manualLayout>
          </c:layout>
          <c:overlay val="0"/>
        </c:title>
        <c:numFmt formatCode="#,##0" sourceLinked="0"/>
        <c:majorTickMark val="out"/>
        <c:minorTickMark val="none"/>
        <c:tickLblPos val="nextTo"/>
        <c:spPr>
          <a:ln>
            <a:noFill/>
          </a:ln>
        </c:spPr>
        <c:crossAx val="228209792"/>
        <c:crosses val="max"/>
        <c:crossBetween val="between"/>
        <c:majorUnit val="8"/>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520037037037037"/>
          <c:y val="2.7553086419753087E-2"/>
          <c:w val="0.8070734406421789"/>
          <c:h val="4.75989034881363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85306839686398"/>
          <c:y val="0.10541783625730994"/>
          <c:w val="0.70338935238062361"/>
          <c:h val="0.49211666666666665"/>
        </c:manualLayout>
      </c:layout>
      <c:barChart>
        <c:barDir val="col"/>
        <c:grouping val="stacked"/>
        <c:varyColors val="0"/>
        <c:ser>
          <c:idx val="0"/>
          <c:order val="0"/>
          <c:tx>
            <c:strRef>
              <c:f>NSW.!$D$78</c:f>
              <c:strCache>
                <c:ptCount val="1"/>
                <c:pt idx="0">
                  <c:v>Disposal</c:v>
                </c:pt>
              </c:strCache>
            </c:strRef>
          </c:tx>
          <c:spPr>
            <a:solidFill>
              <a:schemeClr val="accent3">
                <a:lumMod val="50000"/>
              </a:schemeClr>
            </a:solidFill>
          </c:spPr>
          <c:invertIfNegative val="0"/>
          <c:cat>
            <c:strRef>
              <c:f>NSW.!$C$79:$C$87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NSW.!$D$79:$D$87</c:f>
              <c:numCache>
                <c:formatCode>#,##0</c:formatCode>
                <c:ptCount val="9"/>
                <c:pt idx="0">
                  <c:v>773.0708780098588</c:v>
                </c:pt>
                <c:pt idx="1">
                  <c:v>145.25177252493114</c:v>
                </c:pt>
                <c:pt idx="2">
                  <c:v>1801.6422050122283</c:v>
                </c:pt>
                <c:pt idx="3">
                  <c:v>347.41487451596976</c:v>
                </c:pt>
                <c:pt idx="4">
                  <c:v>496.42708083550252</c:v>
                </c:pt>
                <c:pt idx="5">
                  <c:v>106.49795970083485</c:v>
                </c:pt>
                <c:pt idx="6">
                  <c:v>1189.6515538678175</c:v>
                </c:pt>
                <c:pt idx="7">
                  <c:v>1020.1241918962741</c:v>
                </c:pt>
                <c:pt idx="8">
                  <c:v>801.41209374948153</c:v>
                </c:pt>
              </c:numCache>
            </c:numRef>
          </c:val>
          <c:extLst>
            <c:ext xmlns:c16="http://schemas.microsoft.com/office/drawing/2014/chart" uri="{C3380CC4-5D6E-409C-BE32-E72D297353CC}">
              <c16:uniqueId val="{00000000-E7CC-4A37-9BE4-3850D2FCBC7E}"/>
            </c:ext>
          </c:extLst>
        </c:ser>
        <c:ser>
          <c:idx val="1"/>
          <c:order val="1"/>
          <c:tx>
            <c:strRef>
              <c:f>NSW.!$E$78</c:f>
              <c:strCache>
                <c:ptCount val="1"/>
                <c:pt idx="0">
                  <c:v>Recycling</c:v>
                </c:pt>
              </c:strCache>
            </c:strRef>
          </c:tx>
          <c:spPr>
            <a:solidFill>
              <a:srgbClr val="FFFF00"/>
            </a:solidFill>
          </c:spPr>
          <c:invertIfNegative val="0"/>
          <c:cat>
            <c:strRef>
              <c:f>NSW.!$C$79:$C$87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NSW.!$E$79:$E$87</c:f>
              <c:numCache>
                <c:formatCode>#,##0</c:formatCode>
                <c:ptCount val="9"/>
                <c:pt idx="0">
                  <c:v>4719.4943088617229</c:v>
                </c:pt>
                <c:pt idx="1">
                  <c:v>1344.945513242681</c:v>
                </c:pt>
                <c:pt idx="2">
                  <c:v>1654.5324014524585</c:v>
                </c:pt>
                <c:pt idx="3">
                  <c:v>706.45059291867074</c:v>
                </c:pt>
                <c:pt idx="4">
                  <c:v>91.7</c:v>
                </c:pt>
                <c:pt idx="5">
                  <c:v>191.82699508216035</c:v>
                </c:pt>
                <c:pt idx="6">
                  <c:v>29.568550653760038</c:v>
                </c:pt>
                <c:pt idx="7">
                  <c:v>781.79744071442337</c:v>
                </c:pt>
                <c:pt idx="8">
                  <c:v>1938.6124953078597</c:v>
                </c:pt>
              </c:numCache>
            </c:numRef>
          </c:val>
          <c:extLst>
            <c:ext xmlns:c16="http://schemas.microsoft.com/office/drawing/2014/chart" uri="{C3380CC4-5D6E-409C-BE32-E72D297353CC}">
              <c16:uniqueId val="{00000001-E7CC-4A37-9BE4-3850D2FCBC7E}"/>
            </c:ext>
          </c:extLst>
        </c:ser>
        <c:ser>
          <c:idx val="2"/>
          <c:order val="2"/>
          <c:tx>
            <c:strRef>
              <c:f>NSW.!$F$78</c:f>
              <c:strCache>
                <c:ptCount val="1"/>
                <c:pt idx="0">
                  <c:v>Energy recovery</c:v>
                </c:pt>
              </c:strCache>
            </c:strRef>
          </c:tx>
          <c:spPr>
            <a:solidFill>
              <a:schemeClr val="accent6">
                <a:lumMod val="75000"/>
              </a:schemeClr>
            </a:solidFill>
          </c:spPr>
          <c:invertIfNegative val="0"/>
          <c:cat>
            <c:strRef>
              <c:f>NSW.!$C$79:$C$87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NSW.!$F$79:$F$87</c:f>
              <c:numCache>
                <c:formatCode>#,##0</c:formatCode>
                <c:ptCount val="9"/>
                <c:pt idx="0">
                  <c:v>0</c:v>
                </c:pt>
                <c:pt idx="1">
                  <c:v>0</c:v>
                </c:pt>
                <c:pt idx="2">
                  <c:v>340.66243387575156</c:v>
                </c:pt>
                <c:pt idx="3">
                  <c:v>109.07909802368268</c:v>
                </c:pt>
                <c:pt idx="4">
                  <c:v>0</c:v>
                </c:pt>
                <c:pt idx="5">
                  <c:v>0</c:v>
                </c:pt>
                <c:pt idx="6">
                  <c:v>371.01913039450295</c:v>
                </c:pt>
                <c:pt idx="7">
                  <c:v>1.2002091564209033E-15</c:v>
                </c:pt>
                <c:pt idx="8">
                  <c:v>0</c:v>
                </c:pt>
              </c:numCache>
            </c:numRef>
          </c:val>
          <c:extLst>
            <c:ext xmlns:c16="http://schemas.microsoft.com/office/drawing/2014/chart" uri="{C3380CC4-5D6E-409C-BE32-E72D297353CC}">
              <c16:uniqueId val="{00000002-E7CC-4A37-9BE4-3850D2FCBC7E}"/>
            </c:ext>
          </c:extLst>
        </c:ser>
        <c:ser>
          <c:idx val="3"/>
          <c:order val="3"/>
          <c:tx>
            <c:strRef>
              <c:f>NSW.!$H$78</c:f>
              <c:strCache>
                <c:ptCount val="1"/>
                <c:pt idx="0">
                  <c:v>Recovery rate</c:v>
                </c:pt>
              </c:strCache>
            </c:strRef>
          </c:tx>
          <c:spPr>
            <a:noFill/>
          </c:spPr>
          <c:invertIfNegative val="0"/>
          <c:dLbls>
            <c:dLbl>
              <c:idx val="0"/>
              <c:layout>
                <c:manualLayout>
                  <c:x val="4.2917004595836323E-3"/>
                  <c:y val="-3.562134502923976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CC-4A37-9BE4-3850D2FCBC7E}"/>
                </c:ext>
              </c:extLst>
            </c:dLbl>
            <c:dLbl>
              <c:idx val="1"/>
              <c:layout>
                <c:manualLayout>
                  <c:x val="4.2917004595836323E-3"/>
                  <c:y val="-3.15839181286549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CC-4A37-9BE4-3850D2FCBC7E}"/>
                </c:ext>
              </c:extLst>
            </c:dLbl>
            <c:dLbl>
              <c:idx val="2"/>
              <c:layout>
                <c:manualLayout>
                  <c:x val="0"/>
                  <c:y val="-3.89777777777778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CC-4A37-9BE4-3850D2FCBC7E}"/>
                </c:ext>
              </c:extLst>
            </c:dLbl>
            <c:dLbl>
              <c:idx val="3"/>
              <c:layout>
                <c:manualLayout>
                  <c:x val="-7.8680266171218451E-17"/>
                  <c:y val="-6.11926900584795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CC-4A37-9BE4-3850D2FCBC7E}"/>
                </c:ext>
              </c:extLst>
            </c:dLbl>
            <c:dLbl>
              <c:idx val="4"/>
              <c:layout>
                <c:manualLayout>
                  <c:x val="0"/>
                  <c:y val="-3.56122807017543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7CC-4A37-9BE4-3850D2FCBC7E}"/>
                </c:ext>
              </c:extLst>
            </c:dLbl>
            <c:dLbl>
              <c:idx val="5"/>
              <c:layout>
                <c:manualLayout>
                  <c:x val="0"/>
                  <c:y val="-5.76152046783625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7CC-4A37-9BE4-3850D2FCBC7E}"/>
                </c:ext>
              </c:extLst>
            </c:dLbl>
            <c:dLbl>
              <c:idx val="6"/>
              <c:layout>
                <c:manualLayout>
                  <c:x val="0"/>
                  <c:y val="-3.12935672514619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7CC-4A37-9BE4-3850D2FCBC7E}"/>
                </c:ext>
              </c:extLst>
            </c:dLbl>
            <c:dLbl>
              <c:idx val="7"/>
              <c:layout>
                <c:manualLayout>
                  <c:x val="2.1458502297916782E-3"/>
                  <c:y val="-2.68704678362573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7CC-4A37-9BE4-3850D2FCBC7E}"/>
                </c:ext>
              </c:extLst>
            </c:dLbl>
            <c:dLbl>
              <c:idx val="8"/>
              <c:layout>
                <c:manualLayout>
                  <c:x val="-1.573605323424369E-16"/>
                  <c:y val="-6.162543859649119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7CC-4A37-9BE4-3850D2FCBC7E}"/>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NSW.!$C$79:$C$87</c:f>
              <c:strCache>
                <c:ptCount val="9"/>
                <c:pt idx="0">
                  <c:v>Masonry materials</c:v>
                </c:pt>
                <c:pt idx="1">
                  <c:v>Metals</c:v>
                </c:pt>
                <c:pt idx="2">
                  <c:v>Organics</c:v>
                </c:pt>
                <c:pt idx="3">
                  <c:v>Paper &amp; cardboard</c:v>
                </c:pt>
                <c:pt idx="4">
                  <c:v>Plastics</c:v>
                </c:pt>
                <c:pt idx="5">
                  <c:v>Glass</c:v>
                </c:pt>
                <c:pt idx="6">
                  <c:v>Other</c:v>
                </c:pt>
                <c:pt idx="7">
                  <c:v>Hazardous</c:v>
                </c:pt>
                <c:pt idx="8">
                  <c:v>Fly ash</c:v>
                </c:pt>
              </c:strCache>
            </c:strRef>
          </c:cat>
          <c:val>
            <c:numRef>
              <c:f>NSW.!$H$79:$H$87</c:f>
              <c:numCache>
                <c:formatCode>0%</c:formatCode>
                <c:ptCount val="9"/>
                <c:pt idx="0">
                  <c:v>0.85925139680496376</c:v>
                </c:pt>
                <c:pt idx="1">
                  <c:v>0.90252849477570296</c:v>
                </c:pt>
                <c:pt idx="2">
                  <c:v>0.52548866704832653</c:v>
                </c:pt>
                <c:pt idx="3">
                  <c:v>0.70126273871097922</c:v>
                </c:pt>
                <c:pt idx="4">
                  <c:v>0.15591868320317703</c:v>
                </c:pt>
                <c:pt idx="5">
                  <c:v>0.6430135729734624</c:v>
                </c:pt>
                <c:pt idx="6">
                  <c:v>0.25190403572793413</c:v>
                </c:pt>
                <c:pt idx="7">
                  <c:v>0.43386872468017568</c:v>
                </c:pt>
                <c:pt idx="8">
                  <c:v>0.70751645917703465</c:v>
                </c:pt>
              </c:numCache>
            </c:numRef>
          </c:val>
          <c:extLst>
            <c:ext xmlns:c16="http://schemas.microsoft.com/office/drawing/2014/chart" uri="{C3380CC4-5D6E-409C-BE32-E72D297353CC}">
              <c16:uniqueId val="{0000000B-E7CC-4A37-9BE4-3850D2FCBC7E}"/>
            </c:ext>
          </c:extLst>
        </c:ser>
        <c:dLbls>
          <c:showLegendKey val="0"/>
          <c:showVal val="0"/>
          <c:showCatName val="0"/>
          <c:showSerName val="0"/>
          <c:showPercent val="0"/>
          <c:showBubbleSize val="0"/>
        </c:dLbls>
        <c:gapWidth val="100"/>
        <c:overlap val="100"/>
        <c:axId val="219463040"/>
        <c:axId val="219477120"/>
      </c:barChart>
      <c:lineChart>
        <c:grouping val="stacked"/>
        <c:varyColors val="0"/>
        <c:ser>
          <c:idx val="6"/>
          <c:order val="4"/>
          <c:tx>
            <c:strRef>
              <c:f>NSW.!$C$75</c:f>
              <c:strCache>
                <c:ptCount val="1"/>
                <c:pt idx="0">
                  <c:v>Generation (kg per capita)</c:v>
                </c:pt>
              </c:strCache>
            </c:strRef>
          </c:tx>
          <c:spPr>
            <a:ln>
              <a:noFill/>
            </a:ln>
          </c:spPr>
          <c:marker>
            <c:symbol val="none"/>
          </c:marker>
          <c:val>
            <c:numRef>
              <c:f>NSW.!$L$79:$L$87</c:f>
              <c:numCache>
                <c:formatCode>#,##0</c:formatCode>
                <c:ptCount val="9"/>
                <c:pt idx="0">
                  <c:v>726.08549145345467</c:v>
                </c:pt>
                <c:pt idx="1">
                  <c:v>196.99550060605932</c:v>
                </c:pt>
                <c:pt idx="2">
                  <c:v>501.91999450342138</c:v>
                </c:pt>
                <c:pt idx="3">
                  <c:v>153.73457530594681</c:v>
                </c:pt>
                <c:pt idx="4">
                  <c:v>77.747013644230734</c:v>
                </c:pt>
                <c:pt idx="5">
                  <c:v>39.436841263929665</c:v>
                </c:pt>
                <c:pt idx="6">
                  <c:v>210.22047024083946</c:v>
                </c:pt>
                <c:pt idx="7">
                  <c:v>238.20366434648676</c:v>
                </c:pt>
                <c:pt idx="8">
                  <c:v>362.21547358155459</c:v>
                </c:pt>
              </c:numCache>
            </c:numRef>
          </c:val>
          <c:smooth val="0"/>
          <c:extLst>
            <c:ext xmlns:c16="http://schemas.microsoft.com/office/drawing/2014/chart" uri="{C3380CC4-5D6E-409C-BE32-E72D297353CC}">
              <c16:uniqueId val="{0000000C-E7CC-4A37-9BE4-3850D2FCBC7E}"/>
            </c:ext>
          </c:extLst>
        </c:ser>
        <c:dLbls>
          <c:showLegendKey val="0"/>
          <c:showVal val="0"/>
          <c:showCatName val="0"/>
          <c:showSerName val="0"/>
          <c:showPercent val="0"/>
          <c:showBubbleSize val="0"/>
        </c:dLbls>
        <c:marker val="1"/>
        <c:smooth val="0"/>
        <c:axId val="680694648"/>
        <c:axId val="680693336"/>
      </c:lineChart>
      <c:catAx>
        <c:axId val="219463040"/>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477120"/>
        <c:crosses val="autoZero"/>
        <c:auto val="1"/>
        <c:lblAlgn val="ctr"/>
        <c:lblOffset val="50"/>
        <c:noMultiLvlLbl val="0"/>
      </c:catAx>
      <c:valAx>
        <c:axId val="219477120"/>
        <c:scaling>
          <c:orientation val="minMax"/>
          <c:max val="6400"/>
        </c:scaling>
        <c:delete val="0"/>
        <c:axPos val="l"/>
        <c:majorGridlines>
          <c:spPr>
            <a:ln w="2540"/>
          </c:spPr>
        </c:majorGridlines>
        <c:title>
          <c:tx>
            <c:rich>
              <a:bodyPr/>
              <a:lstStyle/>
              <a:p>
                <a:pPr>
                  <a:defRPr/>
                </a:pPr>
                <a:r>
                  <a:rPr lang="en-AU"/>
                  <a:t>Kilotonnes (kt)</a:t>
                </a:r>
              </a:p>
            </c:rich>
          </c:tx>
          <c:layout>
            <c:manualLayout>
              <c:xMode val="edge"/>
              <c:yMode val="edge"/>
              <c:x val="8.0621282779129499E-2"/>
              <c:y val="0.20742777777777777"/>
            </c:manualLayout>
          </c:layout>
          <c:overlay val="0"/>
        </c:title>
        <c:numFmt formatCode="#,##0" sourceLinked="0"/>
        <c:majorTickMark val="out"/>
        <c:minorTickMark val="none"/>
        <c:tickLblPos val="nextTo"/>
        <c:spPr>
          <a:ln>
            <a:noFill/>
          </a:ln>
        </c:spPr>
        <c:crossAx val="219463040"/>
        <c:crosses val="autoZero"/>
        <c:crossBetween val="between"/>
        <c:majorUnit val="800"/>
      </c:valAx>
      <c:valAx>
        <c:axId val="680693336"/>
        <c:scaling>
          <c:orientation val="minMax"/>
        </c:scaling>
        <c:delete val="0"/>
        <c:axPos val="r"/>
        <c:title>
          <c:tx>
            <c:rich>
              <a:bodyPr/>
              <a:lstStyle/>
              <a:p>
                <a:pPr>
                  <a:defRPr/>
                </a:pPr>
                <a:r>
                  <a:rPr lang="en-AU"/>
                  <a:t>Kg per capita</a:t>
                </a:r>
              </a:p>
            </c:rich>
          </c:tx>
          <c:layout>
            <c:manualLayout>
              <c:xMode val="edge"/>
              <c:yMode val="edge"/>
              <c:x val="0.9582692957556096"/>
              <c:y val="0.22576198830409358"/>
            </c:manualLayout>
          </c:layout>
          <c:overlay val="0"/>
        </c:title>
        <c:numFmt formatCode="#,##0;\-#,##0;;" sourceLinked="0"/>
        <c:majorTickMark val="out"/>
        <c:minorTickMark val="none"/>
        <c:tickLblPos val="nextTo"/>
        <c:spPr>
          <a:ln>
            <a:noFill/>
          </a:ln>
        </c:spPr>
        <c:crossAx val="680694648"/>
        <c:crosses val="max"/>
        <c:crossBetween val="between"/>
        <c:majorUnit val="106"/>
      </c:valAx>
      <c:catAx>
        <c:axId val="680694648"/>
        <c:scaling>
          <c:orientation val="minMax"/>
        </c:scaling>
        <c:delete val="1"/>
        <c:axPos val="b"/>
        <c:majorTickMark val="out"/>
        <c:minorTickMark val="none"/>
        <c:tickLblPos val="nextTo"/>
        <c:crossAx val="680693336"/>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5147370911057041"/>
          <c:y val="2.3100584795321639E-2"/>
          <c:w val="0.43700656565656565"/>
          <c:h val="7.0880555555555558E-2"/>
        </c:manualLayout>
      </c:layout>
      <c:overlay val="0"/>
    </c:legend>
    <c:plotVisOnly val="1"/>
    <c:dispBlanksAs val="gap"/>
    <c:showDLblsOverMax val="0"/>
  </c:chart>
  <c:spPr>
    <a:ln>
      <a:noFill/>
    </a:ln>
  </c:spPr>
  <c:printSettings>
    <c:headerFooter/>
    <c:pageMargins b="0.75000000000000844" l="0.70000000000000062" r="0.70000000000000062" t="0.75000000000000844"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78673835125449"/>
          <c:y val="0.10981851851851852"/>
          <c:w val="0.67828709677419352"/>
          <c:h val="0.57034305555555553"/>
        </c:manualLayout>
      </c:layout>
      <c:areaChart>
        <c:grouping val="stacked"/>
        <c:varyColors val="0"/>
        <c:ser>
          <c:idx val="0"/>
          <c:order val="0"/>
          <c:tx>
            <c:strRef>
              <c:f>'Trends and nat. data'!$C$232</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data'!$D$232:$L$232</c:f>
              <c:numCache>
                <c:formatCode>#,##0.0</c:formatCode>
                <c:ptCount val="9"/>
                <c:pt idx="0">
                  <c:v>10.074337</c:v>
                </c:pt>
                <c:pt idx="1">
                  <c:v>9.8215197500000002</c:v>
                </c:pt>
                <c:pt idx="2">
                  <c:v>9.5687024999999988</c:v>
                </c:pt>
                <c:pt idx="3">
                  <c:v>8.6734475</c:v>
                </c:pt>
                <c:pt idx="4">
                  <c:v>7.6628905000000005</c:v>
                </c:pt>
                <c:pt idx="5">
                  <c:v>6.8975095000000008</c:v>
                </c:pt>
                <c:pt idx="6">
                  <c:v>6.1321285000000012</c:v>
                </c:pt>
                <c:pt idx="7">
                  <c:v>5.3667475000000007</c:v>
                </c:pt>
                <c:pt idx="8">
                  <c:v>5.9383155000000007</c:v>
                </c:pt>
              </c:numCache>
            </c:numRef>
          </c:val>
          <c:extLst>
            <c:ext xmlns:c16="http://schemas.microsoft.com/office/drawing/2014/chart" uri="{C3380CC4-5D6E-409C-BE32-E72D297353CC}">
              <c16:uniqueId val="{00000000-63EC-435F-B202-CF6D4AF29BF3}"/>
            </c:ext>
          </c:extLst>
        </c:ser>
        <c:ser>
          <c:idx val="1"/>
          <c:order val="1"/>
          <c:tx>
            <c:strRef>
              <c:f>'Trends and nat. data'!$C$233</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data'!$D$233:$L$233</c:f>
              <c:numCache>
                <c:formatCode>#,##0.0</c:formatCode>
                <c:ptCount val="9"/>
                <c:pt idx="0">
                  <c:v>4.1830423336933649</c:v>
                </c:pt>
                <c:pt idx="1">
                  <c:v>4.4131711668466824</c:v>
                </c:pt>
                <c:pt idx="2">
                  <c:v>4.6433</c:v>
                </c:pt>
                <c:pt idx="3">
                  <c:v>5.257509999999999</c:v>
                </c:pt>
                <c:pt idx="4">
                  <c:v>5.9383060000000008</c:v>
                </c:pt>
                <c:pt idx="5">
                  <c:v>5.8092488333333341</c:v>
                </c:pt>
                <c:pt idx="6">
                  <c:v>5.6801916666666674</c:v>
                </c:pt>
                <c:pt idx="7">
                  <c:v>5.5511344999999999</c:v>
                </c:pt>
                <c:pt idx="8">
                  <c:v>4.9152464999999994</c:v>
                </c:pt>
              </c:numCache>
            </c:numRef>
          </c:val>
          <c:extLst>
            <c:ext xmlns:c16="http://schemas.microsoft.com/office/drawing/2014/chart" uri="{C3380CC4-5D6E-409C-BE32-E72D297353CC}">
              <c16:uniqueId val="{00000001-63EC-435F-B202-CF6D4AF29BF3}"/>
            </c:ext>
          </c:extLst>
        </c:ser>
        <c:dLbls>
          <c:showLegendKey val="0"/>
          <c:showVal val="0"/>
          <c:showCatName val="0"/>
          <c:showSerName val="0"/>
          <c:showPercent val="0"/>
          <c:showBubbleSize val="0"/>
        </c:dLbls>
        <c:axId val="228055680"/>
        <c:axId val="228197120"/>
      </c:areaChart>
      <c:lineChart>
        <c:grouping val="stacked"/>
        <c:varyColors val="0"/>
        <c:ser>
          <c:idx val="3"/>
          <c:order val="2"/>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data'!$CK$216:$CS$216</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data'!$Q$234:$Y$234</c:f>
              <c:numCache>
                <c:formatCode>0</c:formatCode>
                <c:ptCount val="9"/>
                <c:pt idx="0">
                  <c:v>691.18152215061559</c:v>
                </c:pt>
                <c:pt idx="1">
                  <c:v>677.32246673145266</c:v>
                </c:pt>
                <c:pt idx="2">
                  <c:v>661.77363871831426</c:v>
                </c:pt>
                <c:pt idx="3">
                  <c:v>637.11687977058773</c:v>
                </c:pt>
                <c:pt idx="4">
                  <c:v>613.42724168427083</c:v>
                </c:pt>
                <c:pt idx="5">
                  <c:v>564.2357988927738</c:v>
                </c:pt>
                <c:pt idx="6">
                  <c:v>515.35379207419692</c:v>
                </c:pt>
                <c:pt idx="7">
                  <c:v>468.86560052914797</c:v>
                </c:pt>
                <c:pt idx="8">
                  <c:v>459.62004649320187</c:v>
                </c:pt>
              </c:numCache>
            </c:numRef>
          </c:val>
          <c:smooth val="0"/>
          <c:extLst>
            <c:ext xmlns:c16="http://schemas.microsoft.com/office/drawing/2014/chart" uri="{C3380CC4-5D6E-409C-BE32-E72D297353CC}">
              <c16:uniqueId val="{00000002-63EC-435F-B202-CF6D4AF29BF3}"/>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21"/>
          <c:min val="0"/>
        </c:scaling>
        <c:delete val="0"/>
        <c:axPos val="l"/>
        <c:majorGridlines>
          <c:spPr>
            <a:ln w="2540"/>
          </c:spPr>
        </c:majorGridlines>
        <c:title>
          <c:tx>
            <c:rich>
              <a:bodyPr/>
              <a:lstStyle/>
              <a:p>
                <a:pPr>
                  <a:defRPr/>
                </a:pPr>
                <a:r>
                  <a:rPr lang="en-US"/>
                  <a:t>Megatonnes (Mt)</a:t>
                </a:r>
              </a:p>
            </c:rich>
          </c:tx>
          <c:layout>
            <c:manualLayout>
              <c:xMode val="edge"/>
              <c:yMode val="edge"/>
              <c:x val="0.13717060931899641"/>
              <c:y val="0.2406736111111111"/>
            </c:manualLayout>
          </c:layout>
          <c:overlay val="0"/>
        </c:title>
        <c:numFmt formatCode="#,##0" sourceLinked="0"/>
        <c:majorTickMark val="out"/>
        <c:minorTickMark val="none"/>
        <c:tickLblPos val="nextTo"/>
        <c:spPr>
          <a:ln>
            <a:noFill/>
          </a:ln>
        </c:spPr>
        <c:crossAx val="228055680"/>
        <c:crosses val="autoZero"/>
        <c:crossBetween val="between"/>
        <c:majorUnit val="3"/>
      </c:valAx>
      <c:valAx>
        <c:axId val="228199424"/>
        <c:scaling>
          <c:orientation val="minMax"/>
          <c:max val="700"/>
          <c:min val="0"/>
        </c:scaling>
        <c:delete val="0"/>
        <c:axPos val="r"/>
        <c:title>
          <c:tx>
            <c:rich>
              <a:bodyPr/>
              <a:lstStyle/>
              <a:p>
                <a:pPr>
                  <a:defRPr/>
                </a:pPr>
                <a:r>
                  <a:rPr lang="en-AU"/>
                  <a:t>Generation (kg per capita)</a:t>
                </a:r>
              </a:p>
            </c:rich>
          </c:tx>
          <c:layout>
            <c:manualLayout>
              <c:xMode val="edge"/>
              <c:yMode val="edge"/>
              <c:x val="0.95991594982078854"/>
              <c:y val="0.17274777777777778"/>
            </c:manualLayout>
          </c:layout>
          <c:overlay val="0"/>
        </c:title>
        <c:numFmt formatCode="#,##0;\-#,##0;;" sourceLinked="0"/>
        <c:majorTickMark val="out"/>
        <c:minorTickMark val="none"/>
        <c:tickLblPos val="nextTo"/>
        <c:spPr>
          <a:ln>
            <a:noFill/>
          </a:ln>
        </c:spPr>
        <c:crossAx val="228209792"/>
        <c:crosses val="max"/>
        <c:crossBetween val="between"/>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520037037037037"/>
          <c:y val="2.7553086419753087E-2"/>
          <c:w val="0.64435645161290311"/>
          <c:h val="6.3792500000000002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689068100358424"/>
          <c:y val="0.10981861111111112"/>
          <c:w val="0.65097526881720436"/>
          <c:h val="0.51742638888888892"/>
        </c:manualLayout>
      </c:layout>
      <c:areaChart>
        <c:grouping val="stacked"/>
        <c:varyColors val="0"/>
        <c:ser>
          <c:idx val="0"/>
          <c:order val="0"/>
          <c:tx>
            <c:strRef>
              <c:f>'Trends and nat. data'!$C$204</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data'!$D$204:$L$204</c:f>
              <c:numCache>
                <c:formatCode>#,##0.0</c:formatCode>
                <c:ptCount val="9"/>
                <c:pt idx="0">
                  <c:v>7.4538532459816214</c:v>
                </c:pt>
                <c:pt idx="1">
                  <c:v>7.5732171843974179</c:v>
                </c:pt>
                <c:pt idx="2">
                  <c:v>7.6925811228132135</c:v>
                </c:pt>
                <c:pt idx="3">
                  <c:v>7.3689576317727497</c:v>
                </c:pt>
                <c:pt idx="4">
                  <c:v>6.7106400912712596</c:v>
                </c:pt>
                <c:pt idx="5">
                  <c:v>6.4028831752081423</c:v>
                </c:pt>
                <c:pt idx="6">
                  <c:v>6.095126259145025</c:v>
                </c:pt>
                <c:pt idx="7">
                  <c:v>5.7873693430819078</c:v>
                </c:pt>
                <c:pt idx="8">
                  <c:v>6.2364638260746217</c:v>
                </c:pt>
              </c:numCache>
            </c:numRef>
          </c:val>
          <c:extLst>
            <c:ext xmlns:c16="http://schemas.microsoft.com/office/drawing/2014/chart" uri="{C3380CC4-5D6E-409C-BE32-E72D297353CC}">
              <c16:uniqueId val="{00000000-7006-4250-A29A-43EB63D09365}"/>
            </c:ext>
          </c:extLst>
        </c:ser>
        <c:ser>
          <c:idx val="1"/>
          <c:order val="1"/>
          <c:tx>
            <c:strRef>
              <c:f>'Trends and nat. data'!$C$205</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data'!$D$205:$L$205</c:f>
              <c:numCache>
                <c:formatCode>#,##0.0</c:formatCode>
                <c:ptCount val="9"/>
                <c:pt idx="0">
                  <c:v>4.2268888892427396</c:v>
                </c:pt>
                <c:pt idx="1">
                  <c:v>4.2551716778960458</c:v>
                </c:pt>
                <c:pt idx="2">
                  <c:v>4.2834544665493519</c:v>
                </c:pt>
                <c:pt idx="3">
                  <c:v>4.5910619251077556</c:v>
                </c:pt>
                <c:pt idx="4">
                  <c:v>5.3820904853412932</c:v>
                </c:pt>
                <c:pt idx="5">
                  <c:v>5.2783907901975669</c:v>
                </c:pt>
                <c:pt idx="6">
                  <c:v>5.1746910950538405</c:v>
                </c:pt>
                <c:pt idx="7">
                  <c:v>5.0709913999101133</c:v>
                </c:pt>
                <c:pt idx="8">
                  <c:v>5.2104645639640639</c:v>
                </c:pt>
              </c:numCache>
            </c:numRef>
          </c:val>
          <c:extLst>
            <c:ext xmlns:c16="http://schemas.microsoft.com/office/drawing/2014/chart" uri="{C3380CC4-5D6E-409C-BE32-E72D297353CC}">
              <c16:uniqueId val="{00000001-7006-4250-A29A-43EB63D09365}"/>
            </c:ext>
          </c:extLst>
        </c:ser>
        <c:ser>
          <c:idx val="2"/>
          <c:order val="2"/>
          <c:tx>
            <c:strRef>
              <c:f>'Trends and nat. data'!$C$206</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data'!$D$206:$L$206</c:f>
              <c:numCache>
                <c:formatCode>#,##0.0</c:formatCode>
                <c:ptCount val="9"/>
                <c:pt idx="0">
                  <c:v>0.97669503422202064</c:v>
                </c:pt>
                <c:pt idx="1">
                  <c:v>1.0164783899464269</c:v>
                </c:pt>
                <c:pt idx="2">
                  <c:v>1.056261745670833</c:v>
                </c:pt>
                <c:pt idx="3">
                  <c:v>1.2808612733274356</c:v>
                </c:pt>
                <c:pt idx="4">
                  <c:v>1.3999058653829961</c:v>
                </c:pt>
                <c:pt idx="5">
                  <c:v>1.5166313632373702</c:v>
                </c:pt>
                <c:pt idx="6">
                  <c:v>1.6333568610917444</c:v>
                </c:pt>
                <c:pt idx="7">
                  <c:v>1.7500823589461187</c:v>
                </c:pt>
                <c:pt idx="8">
                  <c:v>1.3600198783885851</c:v>
                </c:pt>
              </c:numCache>
            </c:numRef>
          </c:val>
          <c:extLst>
            <c:ext xmlns:c16="http://schemas.microsoft.com/office/drawing/2014/chart" uri="{C3380CC4-5D6E-409C-BE32-E72D297353CC}">
              <c16:uniqueId val="{00000002-7006-4250-A29A-43EB63D09365}"/>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data'!$Q$207:$Y$207</c:f>
              <c:numCache>
                <c:formatCode>0</c:formatCode>
                <c:ptCount val="9"/>
                <c:pt idx="0">
                  <c:v>613.61814710427666</c:v>
                </c:pt>
                <c:pt idx="1">
                  <c:v>611.19115426866313</c:v>
                </c:pt>
                <c:pt idx="2">
                  <c:v>606.84135316357015</c:v>
                </c:pt>
                <c:pt idx="3">
                  <c:v>605.55698917007487</c:v>
                </c:pt>
                <c:pt idx="4">
                  <c:v>608.53107707560889</c:v>
                </c:pt>
                <c:pt idx="5">
                  <c:v>586.04487954125113</c:v>
                </c:pt>
                <c:pt idx="6">
                  <c:v>562.94611624301263</c:v>
                </c:pt>
                <c:pt idx="7">
                  <c:v>541.46630699322623</c:v>
                </c:pt>
                <c:pt idx="8">
                  <c:v>542.34086086858611</c:v>
                </c:pt>
              </c:numCache>
            </c:numRef>
          </c:val>
          <c:smooth val="0"/>
          <c:extLst>
            <c:ext xmlns:c16="http://schemas.microsoft.com/office/drawing/2014/chart" uri="{C3380CC4-5D6E-409C-BE32-E72D297353CC}">
              <c16:uniqueId val="{00000003-7006-4250-A29A-43EB63D09365}"/>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scaling>
        <c:delete val="0"/>
        <c:axPos val="l"/>
        <c:majorGridlines>
          <c:spPr>
            <a:ln w="2540"/>
          </c:spPr>
        </c:majorGridlines>
        <c:title>
          <c:tx>
            <c:rich>
              <a:bodyPr/>
              <a:lstStyle/>
              <a:p>
                <a:pPr>
                  <a:defRPr/>
                </a:pPr>
                <a:r>
                  <a:rPr lang="en-US"/>
                  <a:t>Megatonnes (Mt)</a:t>
                </a:r>
              </a:p>
            </c:rich>
          </c:tx>
          <c:layout>
            <c:manualLayout>
              <c:xMode val="edge"/>
              <c:yMode val="edge"/>
              <c:x val="0.1417225806451613"/>
              <c:y val="0.21597916666666667"/>
            </c:manualLayout>
          </c:layout>
          <c:overlay val="0"/>
        </c:title>
        <c:numFmt formatCode="#,##0" sourceLinked="0"/>
        <c:majorTickMark val="out"/>
        <c:minorTickMark val="none"/>
        <c:tickLblPos val="nextTo"/>
        <c:spPr>
          <a:ln>
            <a:noFill/>
          </a:ln>
        </c:spPr>
        <c:crossAx val="228055680"/>
        <c:crosses val="autoZero"/>
        <c:crossBetween val="between"/>
      </c:valAx>
      <c:valAx>
        <c:axId val="228199424"/>
        <c:scaling>
          <c:orientation val="minMax"/>
          <c:min val="0"/>
        </c:scaling>
        <c:delete val="0"/>
        <c:axPos val="r"/>
        <c:title>
          <c:tx>
            <c:rich>
              <a:bodyPr/>
              <a:lstStyle/>
              <a:p>
                <a:pPr>
                  <a:defRPr/>
                </a:pPr>
                <a:r>
                  <a:rPr lang="en-AU"/>
                  <a:t>Generation (kg per capita)</a:t>
                </a:r>
              </a:p>
            </c:rich>
          </c:tx>
          <c:layout>
            <c:manualLayout>
              <c:xMode val="edge"/>
              <c:yMode val="edge"/>
              <c:x val="0.95536397849462351"/>
              <c:y val="0.13746999999999998"/>
            </c:manualLayout>
          </c:layout>
          <c:overlay val="0"/>
        </c:title>
        <c:numFmt formatCode="#,##0;\-#,##0;;" sourceLinked="0"/>
        <c:majorTickMark val="out"/>
        <c:minorTickMark val="none"/>
        <c:tickLblPos val="nextTo"/>
        <c:spPr>
          <a:ln>
            <a:noFill/>
          </a:ln>
        </c:spPr>
        <c:crossAx val="228209792"/>
        <c:crosses val="max"/>
        <c:crossBetween val="between"/>
        <c:majorUnit val="81"/>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520037037037037"/>
          <c:y val="2.7553086419753087E-2"/>
          <c:w val="0.8070734406421789"/>
          <c:h val="4.75989034881363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916666666666667"/>
          <c:y val="0.10981861111111112"/>
          <c:w val="0.65097526881720436"/>
          <c:h val="0.52448194444444451"/>
        </c:manualLayout>
      </c:layout>
      <c:areaChart>
        <c:grouping val="stacked"/>
        <c:varyColors val="0"/>
        <c:ser>
          <c:idx val="0"/>
          <c:order val="0"/>
          <c:tx>
            <c:strRef>
              <c:f>'Trends and nat. data'!$C$209</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data'!$D$209:$L$209</c:f>
              <c:numCache>
                <c:formatCode>#,##0.0</c:formatCode>
                <c:ptCount val="9"/>
                <c:pt idx="0">
                  <c:v>1.6096999945206616</c:v>
                </c:pt>
                <c:pt idx="1">
                  <c:v>1.6156487685202536</c:v>
                </c:pt>
                <c:pt idx="2">
                  <c:v>1.6215975425198457</c:v>
                </c:pt>
                <c:pt idx="3">
                  <c:v>1.722890439423566</c:v>
                </c:pt>
                <c:pt idx="4">
                  <c:v>1.5055628136275514</c:v>
                </c:pt>
                <c:pt idx="5">
                  <c:v>1.4868589034997346</c:v>
                </c:pt>
                <c:pt idx="6">
                  <c:v>1.4681549933719178</c:v>
                </c:pt>
                <c:pt idx="7">
                  <c:v>1.4494510832441008</c:v>
                </c:pt>
                <c:pt idx="8">
                  <c:v>1.584406592729183</c:v>
                </c:pt>
              </c:numCache>
            </c:numRef>
          </c:val>
          <c:extLst>
            <c:ext xmlns:c16="http://schemas.microsoft.com/office/drawing/2014/chart" uri="{C3380CC4-5D6E-409C-BE32-E72D297353CC}">
              <c16:uniqueId val="{00000000-B39F-4C41-952D-7B9930D4CE7B}"/>
            </c:ext>
          </c:extLst>
        </c:ser>
        <c:ser>
          <c:idx val="1"/>
          <c:order val="1"/>
          <c:tx>
            <c:strRef>
              <c:f>'Trends and nat. data'!$C$210</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data'!$D$210:$L$210</c:f>
              <c:numCache>
                <c:formatCode>#,##0.0</c:formatCode>
                <c:ptCount val="9"/>
                <c:pt idx="0">
                  <c:v>3.7135394364255125</c:v>
                </c:pt>
                <c:pt idx="1">
                  <c:v>4.0703171674553209</c:v>
                </c:pt>
                <c:pt idx="2">
                  <c:v>4.4270948984851293</c:v>
                </c:pt>
                <c:pt idx="3">
                  <c:v>3.9150539091324896</c:v>
                </c:pt>
                <c:pt idx="4">
                  <c:v>3.2553541762818359</c:v>
                </c:pt>
                <c:pt idx="5">
                  <c:v>3.3031212628760458</c:v>
                </c:pt>
                <c:pt idx="6">
                  <c:v>3.3508883494702557</c:v>
                </c:pt>
                <c:pt idx="7">
                  <c:v>3.3986554360644652</c:v>
                </c:pt>
                <c:pt idx="8">
                  <c:v>3.2282213331406062</c:v>
                </c:pt>
              </c:numCache>
            </c:numRef>
          </c:val>
          <c:extLst>
            <c:ext xmlns:c16="http://schemas.microsoft.com/office/drawing/2014/chart" uri="{C3380CC4-5D6E-409C-BE32-E72D297353CC}">
              <c16:uniqueId val="{00000001-B39F-4C41-952D-7B9930D4CE7B}"/>
            </c:ext>
          </c:extLst>
        </c:ser>
        <c:ser>
          <c:idx val="2"/>
          <c:order val="2"/>
          <c:tx>
            <c:strRef>
              <c:f>'Trends and nat. data'!$C$211</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data'!$D$211:$L$211</c:f>
              <c:numCache>
                <c:formatCode>#,##0.00</c:formatCode>
                <c:ptCount val="9"/>
                <c:pt idx="0">
                  <c:v>0.27670823020342261</c:v>
                </c:pt>
                <c:pt idx="1">
                  <c:v>0.28501529097289113</c:v>
                </c:pt>
                <c:pt idx="2">
                  <c:v>0.29332235174235965</c:v>
                </c:pt>
                <c:pt idx="3">
                  <c:v>0.30926558213073485</c:v>
                </c:pt>
                <c:pt idx="4">
                  <c:v>0.39417008761033834</c:v>
                </c:pt>
                <c:pt idx="5">
                  <c:v>0.45891685305645485</c:v>
                </c:pt>
                <c:pt idx="6">
                  <c:v>0.52366361850257137</c:v>
                </c:pt>
                <c:pt idx="7">
                  <c:v>0.58841038394868783</c:v>
                </c:pt>
                <c:pt idx="8">
                  <c:v>0.45760319209112282</c:v>
                </c:pt>
              </c:numCache>
            </c:numRef>
          </c:val>
          <c:extLst>
            <c:ext xmlns:c16="http://schemas.microsoft.com/office/drawing/2014/chart" uri="{C3380CC4-5D6E-409C-BE32-E72D297353CC}">
              <c16:uniqueId val="{00000002-B39F-4C41-952D-7B9930D4CE7B}"/>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data'!$Q$212:$Y$212</c:f>
              <c:numCache>
                <c:formatCode>0</c:formatCode>
                <c:ptCount val="9"/>
                <c:pt idx="0">
                  <c:v>271.47908867446029</c:v>
                </c:pt>
                <c:pt idx="1">
                  <c:v>284.11433427455358</c:v>
                </c:pt>
                <c:pt idx="2">
                  <c:v>295.31223388131127</c:v>
                </c:pt>
                <c:pt idx="3">
                  <c:v>271.98904557564128</c:v>
                </c:pt>
                <c:pt idx="4">
                  <c:v>232.4994603677076</c:v>
                </c:pt>
                <c:pt idx="5">
                  <c:v>233.07404810683391</c:v>
                </c:pt>
                <c:pt idx="6">
                  <c:v>233.09428237815914</c:v>
                </c:pt>
                <c:pt idx="7">
                  <c:v>233.46980326702337</c:v>
                </c:pt>
                <c:pt idx="8">
                  <c:v>223.18054399717934</c:v>
                </c:pt>
              </c:numCache>
            </c:numRef>
          </c:val>
          <c:smooth val="0"/>
          <c:extLst>
            <c:ext xmlns:c16="http://schemas.microsoft.com/office/drawing/2014/chart" uri="{C3380CC4-5D6E-409C-BE32-E72D297353CC}">
              <c16:uniqueId val="{00000003-B39F-4C41-952D-7B9930D4CE7B}"/>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8"/>
        </c:scaling>
        <c:delete val="0"/>
        <c:axPos val="l"/>
        <c:majorGridlines>
          <c:spPr>
            <a:ln w="2540"/>
          </c:spPr>
        </c:majorGridlines>
        <c:title>
          <c:tx>
            <c:rich>
              <a:bodyPr/>
              <a:lstStyle/>
              <a:p>
                <a:pPr>
                  <a:defRPr/>
                </a:pPr>
                <a:r>
                  <a:rPr lang="en-US"/>
                  <a:t>Megatonnes (Mt)</a:t>
                </a:r>
              </a:p>
            </c:rich>
          </c:tx>
          <c:layout>
            <c:manualLayout>
              <c:xMode val="edge"/>
              <c:yMode val="edge"/>
              <c:x val="0.16448243727598563"/>
              <c:y val="0.2089236111111111"/>
            </c:manualLayout>
          </c:layout>
          <c:overlay val="0"/>
        </c:title>
        <c:numFmt formatCode="#,##0" sourceLinked="0"/>
        <c:majorTickMark val="out"/>
        <c:minorTickMark val="none"/>
        <c:tickLblPos val="nextTo"/>
        <c:spPr>
          <a:ln>
            <a:noFill/>
          </a:ln>
        </c:spPr>
        <c:crossAx val="228055680"/>
        <c:crosses val="autoZero"/>
        <c:crossBetween val="between"/>
      </c:valAx>
      <c:valAx>
        <c:axId val="228199424"/>
        <c:scaling>
          <c:orientation val="minMax"/>
          <c:min val="0"/>
        </c:scaling>
        <c:delete val="0"/>
        <c:axPos val="r"/>
        <c:title>
          <c:tx>
            <c:rich>
              <a:bodyPr/>
              <a:lstStyle/>
              <a:p>
                <a:pPr>
                  <a:defRPr/>
                </a:pPr>
                <a:r>
                  <a:rPr lang="en-AU"/>
                  <a:t>Generation (kg per capita)</a:t>
                </a:r>
              </a:p>
            </c:rich>
          </c:tx>
          <c:layout>
            <c:manualLayout>
              <c:xMode val="edge"/>
              <c:yMode val="edge"/>
              <c:x val="0.95763996415770614"/>
              <c:y val="0.13041444444444442"/>
            </c:manualLayout>
          </c:layout>
          <c:overlay val="0"/>
        </c:title>
        <c:numFmt formatCode="#,##0;\-#,##0;;" sourceLinked="0"/>
        <c:majorTickMark val="out"/>
        <c:minorTickMark val="none"/>
        <c:tickLblPos val="nextTo"/>
        <c:spPr>
          <a:ln>
            <a:noFill/>
          </a:ln>
        </c:spPr>
        <c:crossAx val="228209792"/>
        <c:crosses val="max"/>
        <c:crossBetween val="between"/>
        <c:majorUnit val="40"/>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520037037037037"/>
          <c:y val="2.7553086419753087E-2"/>
          <c:w val="0.8070734406421789"/>
          <c:h val="4.75989034881363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61469534050181"/>
          <c:y val="0.10981861111111112"/>
          <c:w val="0.65097526881720436"/>
          <c:h val="0.52095416666666672"/>
        </c:manualLayout>
      </c:layout>
      <c:areaChart>
        <c:grouping val="stacked"/>
        <c:varyColors val="0"/>
        <c:ser>
          <c:idx val="0"/>
          <c:order val="0"/>
          <c:tx>
            <c:strRef>
              <c:f>'Trends and nat. data'!$C$214</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data'!$D$214:$L$214</c:f>
              <c:numCache>
                <c:formatCode>#,##0.0</c:formatCode>
                <c:ptCount val="9"/>
                <c:pt idx="0">
                  <c:v>2.3121232379955252</c:v>
                </c:pt>
                <c:pt idx="1">
                  <c:v>2.3624972619148981</c:v>
                </c:pt>
                <c:pt idx="2">
                  <c:v>2.4128712858342714</c:v>
                </c:pt>
                <c:pt idx="3">
                  <c:v>2.5557538560598156</c:v>
                </c:pt>
                <c:pt idx="4">
                  <c:v>2.3575754886921589</c:v>
                </c:pt>
                <c:pt idx="5">
                  <c:v>2.298089471289849</c:v>
                </c:pt>
                <c:pt idx="6">
                  <c:v>2.238603453887539</c:v>
                </c:pt>
                <c:pt idx="7">
                  <c:v>2.1791174364852295</c:v>
                </c:pt>
                <c:pt idx="8">
                  <c:v>2.1573670534223037</c:v>
                </c:pt>
              </c:numCache>
            </c:numRef>
          </c:val>
          <c:extLst>
            <c:ext xmlns:c16="http://schemas.microsoft.com/office/drawing/2014/chart" uri="{C3380CC4-5D6E-409C-BE32-E72D297353CC}">
              <c16:uniqueId val="{00000000-D305-409F-86CC-A1B8F370746A}"/>
            </c:ext>
          </c:extLst>
        </c:ser>
        <c:ser>
          <c:idx val="1"/>
          <c:order val="1"/>
          <c:tx>
            <c:strRef>
              <c:f>'Trends and nat. data'!$C$215</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data'!$D$215:$L$215</c:f>
              <c:numCache>
                <c:formatCode>#,##0.00</c:formatCode>
                <c:ptCount val="9"/>
                <c:pt idx="0">
                  <c:v>0.25397027944541661</c:v>
                </c:pt>
                <c:pt idx="1">
                  <c:v>0.2660513387400727</c:v>
                </c:pt>
                <c:pt idx="2">
                  <c:v>0.27813239803472878</c:v>
                </c:pt>
                <c:pt idx="3">
                  <c:v>0.29313609725400452</c:v>
                </c:pt>
                <c:pt idx="4">
                  <c:v>0.292327</c:v>
                </c:pt>
                <c:pt idx="5">
                  <c:v>0.29608133235031581</c:v>
                </c:pt>
                <c:pt idx="6">
                  <c:v>0.29983566470063161</c:v>
                </c:pt>
                <c:pt idx="7">
                  <c:v>0.30358999705094736</c:v>
                </c:pt>
                <c:pt idx="8">
                  <c:v>0.34584083999999998</c:v>
                </c:pt>
              </c:numCache>
            </c:numRef>
          </c:val>
          <c:extLst>
            <c:ext xmlns:c16="http://schemas.microsoft.com/office/drawing/2014/chart" uri="{C3380CC4-5D6E-409C-BE32-E72D297353CC}">
              <c16:uniqueId val="{00000001-D305-409F-86CC-A1B8F370746A}"/>
            </c:ext>
          </c:extLst>
        </c:ser>
        <c:ser>
          <c:idx val="2"/>
          <c:order val="2"/>
          <c:tx>
            <c:strRef>
              <c:f>'Trends and nat. data'!$C$216</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data'!$D$216:$L$216</c:f>
              <c:numCache>
                <c:formatCode>#,##0.00</c:formatCode>
                <c:ptCount val="9"/>
                <c:pt idx="0">
                  <c:v>0</c:v>
                </c:pt>
                <c:pt idx="1">
                  <c:v>0</c:v>
                </c:pt>
                <c:pt idx="2">
                  <c:v>0</c:v>
                </c:pt>
                <c:pt idx="3">
                  <c:v>0</c:v>
                </c:pt>
                <c:pt idx="4">
                  <c:v>0</c:v>
                </c:pt>
                <c:pt idx="5">
                  <c:v>2.5299999999999997E-3</c:v>
                </c:pt>
                <c:pt idx="6">
                  <c:v>5.0599999999999994E-3</c:v>
                </c:pt>
                <c:pt idx="7">
                  <c:v>7.5899999999999995E-3</c:v>
                </c:pt>
                <c:pt idx="8">
                  <c:v>1.6500000000000001E-2</c:v>
                </c:pt>
              </c:numCache>
            </c:numRef>
          </c:val>
          <c:extLst>
            <c:ext xmlns:c16="http://schemas.microsoft.com/office/drawing/2014/chart" uri="{C3380CC4-5D6E-409C-BE32-E72D297353CC}">
              <c16:uniqueId val="{00000002-D305-409F-86CC-A1B8F370746A}"/>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data'!$Q$217:$Y$217</c:f>
              <c:numCache>
                <c:formatCode>0</c:formatCode>
                <c:ptCount val="9"/>
                <c:pt idx="0">
                  <c:v>124.40129296231598</c:v>
                </c:pt>
                <c:pt idx="1">
                  <c:v>125.07296663618231</c:v>
                </c:pt>
                <c:pt idx="2">
                  <c:v>125.30502296762029</c:v>
                </c:pt>
                <c:pt idx="3">
                  <c:v>130.29082012956226</c:v>
                </c:pt>
                <c:pt idx="4">
                  <c:v>119.51318947349341</c:v>
                </c:pt>
                <c:pt idx="5">
                  <c:v>115.30490420864612</c:v>
                </c:pt>
                <c:pt idx="6">
                  <c:v>110.96904735115113</c:v>
                </c:pt>
                <c:pt idx="7">
                  <c:v>106.9451750505396</c:v>
                </c:pt>
                <c:pt idx="8">
                  <c:v>106.70305832537254</c:v>
                </c:pt>
              </c:numCache>
            </c:numRef>
          </c:val>
          <c:smooth val="0"/>
          <c:extLst>
            <c:ext xmlns:c16="http://schemas.microsoft.com/office/drawing/2014/chart" uri="{C3380CC4-5D6E-409C-BE32-E72D297353CC}">
              <c16:uniqueId val="{00000003-D305-409F-86CC-A1B8F370746A}"/>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3.5"/>
        </c:scaling>
        <c:delete val="0"/>
        <c:axPos val="l"/>
        <c:majorGridlines>
          <c:spPr>
            <a:ln w="2540"/>
          </c:spPr>
        </c:majorGridlines>
        <c:title>
          <c:tx>
            <c:rich>
              <a:bodyPr/>
              <a:lstStyle/>
              <a:p>
                <a:pPr>
                  <a:defRPr/>
                </a:pPr>
                <a:r>
                  <a:rPr lang="en-US"/>
                  <a:t>Megatonnes</a:t>
                </a:r>
                <a:r>
                  <a:rPr lang="en-US" baseline="0"/>
                  <a:t> (Mt)</a:t>
                </a:r>
                <a:endParaRPr lang="en-US"/>
              </a:p>
            </c:rich>
          </c:tx>
          <c:layout>
            <c:manualLayout>
              <c:xMode val="edge"/>
              <c:yMode val="edge"/>
              <c:x val="0.13944659498207884"/>
              <c:y val="0.20539583333333333"/>
            </c:manualLayout>
          </c:layout>
          <c:overlay val="0"/>
        </c:title>
        <c:numFmt formatCode="#,##0.0" sourceLinked="0"/>
        <c:majorTickMark val="out"/>
        <c:minorTickMark val="none"/>
        <c:tickLblPos val="nextTo"/>
        <c:spPr>
          <a:ln>
            <a:noFill/>
          </a:ln>
        </c:spPr>
        <c:crossAx val="228055680"/>
        <c:crosses val="autoZero"/>
        <c:crossBetween val="between"/>
      </c:valAx>
      <c:valAx>
        <c:axId val="228199424"/>
        <c:scaling>
          <c:orientation val="minMax"/>
          <c:min val="0"/>
        </c:scaling>
        <c:delete val="0"/>
        <c:axPos val="r"/>
        <c:title>
          <c:tx>
            <c:rich>
              <a:bodyPr/>
              <a:lstStyle/>
              <a:p>
                <a:pPr>
                  <a:defRPr/>
                </a:pPr>
                <a:r>
                  <a:rPr lang="en-AU"/>
                  <a:t>Generation (kg per capita)</a:t>
                </a:r>
              </a:p>
            </c:rich>
          </c:tx>
          <c:layout>
            <c:manualLayout>
              <c:xMode val="edge"/>
              <c:yMode val="edge"/>
              <c:x val="0.95536397849462351"/>
              <c:y val="0.13041444444444442"/>
            </c:manualLayout>
          </c:layout>
          <c:overlay val="0"/>
        </c:title>
        <c:numFmt formatCode="#,##0;\-#,##0;;" sourceLinked="0"/>
        <c:majorTickMark val="out"/>
        <c:minorTickMark val="none"/>
        <c:tickLblPos val="nextTo"/>
        <c:spPr>
          <a:ln>
            <a:noFill/>
          </a:ln>
        </c:spPr>
        <c:crossAx val="228209792"/>
        <c:crosses val="max"/>
        <c:crossBetween val="between"/>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520037037037037"/>
          <c:y val="2.7553086419753087E-2"/>
          <c:w val="0.8070734406421789"/>
          <c:h val="4.75989034881363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69466629719898043"/>
          <c:h val="0.12808528285643614"/>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data'!$D$173:$L$173</c:f>
              <c:numCache>
                <c:formatCode>#,##0.00</c:formatCode>
                <c:ptCount val="9"/>
                <c:pt idx="0">
                  <c:v>7.2064071387219784</c:v>
                </c:pt>
                <c:pt idx="1">
                  <c:v>7.1633077836186514</c:v>
                </c:pt>
                <c:pt idx="2">
                  <c:v>7.1202084285153244</c:v>
                </c:pt>
                <c:pt idx="3">
                  <c:v>7.0393159962822054</c:v>
                </c:pt>
                <c:pt idx="4">
                  <c:v>6.5467555381955806</c:v>
                </c:pt>
                <c:pt idx="5">
                  <c:v>6.365195342831071</c:v>
                </c:pt>
                <c:pt idx="6">
                  <c:v>6.1836351474665614</c:v>
                </c:pt>
                <c:pt idx="7">
                  <c:v>6.0020749521020527</c:v>
                </c:pt>
                <c:pt idx="8">
                  <c:v>6.4861293658881785</c:v>
                </c:pt>
              </c:numCache>
            </c:numRef>
          </c:val>
          <c:extLst>
            <c:ext xmlns:c16="http://schemas.microsoft.com/office/drawing/2014/chart" uri="{C3380CC4-5D6E-409C-BE32-E72D297353CC}">
              <c16:uniqueId val="{00000000-2BC5-4773-9909-C2CC9916D4CF}"/>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data'!$D$174:$L$174</c:f>
              <c:numCache>
                <c:formatCode>#,##0.00</c:formatCode>
                <c:ptCount val="9"/>
                <c:pt idx="0">
                  <c:v>4.7102429690200704</c:v>
                </c:pt>
                <c:pt idx="1">
                  <c:v>4.9717873259801362</c:v>
                </c:pt>
                <c:pt idx="2">
                  <c:v>5.2333316829402019</c:v>
                </c:pt>
                <c:pt idx="3">
                  <c:v>5.4041706916590488</c:v>
                </c:pt>
                <c:pt idx="4">
                  <c:v>5.6894107048106051</c:v>
                </c:pt>
                <c:pt idx="5">
                  <c:v>5.6367387627353533</c:v>
                </c:pt>
                <c:pt idx="6">
                  <c:v>5.5840668206601016</c:v>
                </c:pt>
                <c:pt idx="7">
                  <c:v>5.531394878584849</c:v>
                </c:pt>
                <c:pt idx="8">
                  <c:v>5.6051962954849195</c:v>
                </c:pt>
              </c:numCache>
            </c:numRef>
          </c:val>
          <c:extLst>
            <c:ext xmlns:c16="http://schemas.microsoft.com/office/drawing/2014/chart" uri="{C3380CC4-5D6E-409C-BE32-E72D297353CC}">
              <c16:uniqueId val="{00000001-2BC5-4773-9909-C2CC9916D4CF}"/>
            </c:ext>
          </c:extLst>
        </c:ser>
        <c:ser>
          <c:idx val="2"/>
          <c:order val="2"/>
          <c:tx>
            <c:strRef>
              <c:f>'Trends and nat. data'!$B$242</c:f>
              <c:strCache>
                <c:ptCount val="1"/>
                <c:pt idx="0">
                  <c:v>Energy recovery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data'!$D$175:$L$175</c:f>
              <c:numCache>
                <c:formatCode>#,##0.00</c:formatCode>
                <c:ptCount val="9"/>
                <c:pt idx="0">
                  <c:v>0.88201596995414489</c:v>
                </c:pt>
                <c:pt idx="1">
                  <c:v>0.89244726300940869</c:v>
                </c:pt>
                <c:pt idx="2">
                  <c:v>0.90287855606467238</c:v>
                </c:pt>
                <c:pt idx="3">
                  <c:v>1.0721048241097335</c:v>
                </c:pt>
                <c:pt idx="4">
                  <c:v>1.2263532551872192</c:v>
                </c:pt>
                <c:pt idx="5">
                  <c:v>1.3429570972978417</c:v>
                </c:pt>
                <c:pt idx="6">
                  <c:v>1.4595609394084643</c:v>
                </c:pt>
                <c:pt idx="7">
                  <c:v>1.5761647815190869</c:v>
                </c:pt>
                <c:pt idx="8">
                  <c:v>1.2532137416276181</c:v>
                </c:pt>
              </c:numCache>
            </c:numRef>
          </c:val>
          <c:extLst>
            <c:ext xmlns:c16="http://schemas.microsoft.com/office/drawing/2014/chart" uri="{C3380CC4-5D6E-409C-BE32-E72D297353CC}">
              <c16:uniqueId val="{00000002-2BC5-4773-9909-C2CC9916D4CF}"/>
            </c:ext>
          </c:extLst>
        </c:ser>
        <c:ser>
          <c:idx val="4"/>
          <c:order val="3"/>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data'!$D$176:$L$176</c:f>
              <c:numCache>
                <c:formatCode>#,##0.0</c:formatCode>
                <c:ptCount val="9"/>
                <c:pt idx="0">
                  <c:v>12.798666077696193</c:v>
                </c:pt>
                <c:pt idx="1">
                  <c:v>13.027542372608195</c:v>
                </c:pt>
                <c:pt idx="2">
                  <c:v>13.256418667520199</c:v>
                </c:pt>
                <c:pt idx="3">
                  <c:v>13.515591512050987</c:v>
                </c:pt>
                <c:pt idx="4">
                  <c:v>13.462519498193403</c:v>
                </c:pt>
                <c:pt idx="5">
                  <c:v>13.344891202864265</c:v>
                </c:pt>
                <c:pt idx="6">
                  <c:v>13.227262907535126</c:v>
                </c:pt>
                <c:pt idx="7">
                  <c:v>13.109634612205987</c:v>
                </c:pt>
                <c:pt idx="8">
                  <c:v>13.344539403000717</c:v>
                </c:pt>
              </c:numCache>
            </c:numRef>
          </c:val>
          <c:extLst>
            <c:ext xmlns:c16="http://schemas.microsoft.com/office/drawing/2014/chart" uri="{C3380CC4-5D6E-409C-BE32-E72D297353CC}">
              <c16:uniqueId val="{00000003-2BC5-4773-9909-C2CC9916D4CF}"/>
            </c:ext>
          </c:extLst>
        </c:ser>
        <c:ser>
          <c:idx val="3"/>
          <c:order val="5"/>
          <c:tx>
            <c:strRef>
              <c:f>'Trends and nat. data'!$B$245</c:f>
              <c:strCache>
                <c:ptCount val="1"/>
                <c:pt idx="0">
                  <c:v>Generation (kg/cap)</c:v>
                </c:pt>
              </c:strCache>
            </c:strRef>
          </c:tx>
          <c:spPr>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data'!$Q$176:$Y$176</c:f>
              <c:numCache>
                <c:formatCode>0</c:formatCode>
                <c:ptCount val="9"/>
                <c:pt idx="0">
                  <c:v>620.4647638275261</c:v>
                </c:pt>
                <c:pt idx="1">
                  <c:v>619.88329685617032</c:v>
                </c:pt>
                <c:pt idx="2">
                  <c:v>617.27743278811204</c:v>
                </c:pt>
                <c:pt idx="3">
                  <c:v>618.12057731220318</c:v>
                </c:pt>
                <c:pt idx="4">
                  <c:v>607.17277350544066</c:v>
                </c:pt>
                <c:pt idx="5">
                  <c:v>592.57169700260033</c:v>
                </c:pt>
                <c:pt idx="6">
                  <c:v>577.0856192500421</c:v>
                </c:pt>
                <c:pt idx="7">
                  <c:v>562.98984593986859</c:v>
                </c:pt>
                <c:pt idx="8">
                  <c:v>565.10644347335506</c:v>
                </c:pt>
              </c:numCache>
            </c:numRef>
          </c:val>
          <c:extLst>
            <c:ext xmlns:c16="http://schemas.microsoft.com/office/drawing/2014/chart" uri="{C3380CC4-5D6E-409C-BE32-E72D297353CC}">
              <c16:uniqueId val="{00000005-2BC5-4773-9909-C2CC9916D4CF}"/>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data'!$C$117</c:f>
              <c:strCache>
                <c:ptCount val="1"/>
                <c:pt idx="0">
                  <c:v>Recovery rate</c:v>
                </c:pt>
              </c:strCache>
            </c:strRef>
          </c:tx>
          <c:spPr>
            <a:ln w="28575">
              <a:noFill/>
            </a:ln>
          </c:spPr>
          <c:marker>
            <c:spPr>
              <a:noFill/>
              <a:ln>
                <a:noFill/>
              </a:ln>
            </c:spPr>
          </c:marker>
          <c:val>
            <c:numRef>
              <c:f>'Trends and nat. data'!$D$177:$L$177</c:f>
              <c:numCache>
                <c:formatCode>0%</c:formatCode>
                <c:ptCount val="9"/>
                <c:pt idx="0">
                  <c:v>0.43694076437541074</c:v>
                </c:pt>
                <c:pt idx="1">
                  <c:v>0.45014127924233255</c:v>
                </c:pt>
                <c:pt idx="2">
                  <c:v>0.4628859719133131</c:v>
                </c:pt>
                <c:pt idx="3">
                  <c:v>0.47917070518107202</c:v>
                </c:pt>
                <c:pt idx="4">
                  <c:v>0.51370502831404496</c:v>
                </c:pt>
                <c:pt idx="5">
                  <c:v>0.52302381142943422</c:v>
                </c:pt>
                <c:pt idx="6">
                  <c:v>0.53250833595029312</c:v>
                </c:pt>
                <c:pt idx="7">
                  <c:v>0.54216306330050579</c:v>
                </c:pt>
                <c:pt idx="8">
                  <c:v>0.51394880182753433</c:v>
                </c:pt>
              </c:numCache>
            </c:numRef>
          </c:val>
          <c:smooth val="0"/>
          <c:extLst>
            <c:ext xmlns:c16="http://schemas.microsoft.com/office/drawing/2014/chart" uri="{C3380CC4-5D6E-409C-BE32-E72D297353CC}">
              <c16:uniqueId val="{00000004-2BC5-4773-9909-C2CC9916D4CF}"/>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02105974850757"/>
          <c:y val="8.4665301986195887E-2"/>
          <c:w val="0.73388634565056665"/>
          <c:h val="0.11409991273761333"/>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data'!$D$196:$L$196</c:f>
              <c:numCache>
                <c:formatCode>#,##0.0</c:formatCode>
                <c:ptCount val="9"/>
                <c:pt idx="0">
                  <c:v>5.6202674868685678</c:v>
                </c:pt>
                <c:pt idx="1">
                  <c:v>5.9119090543073085</c:v>
                </c:pt>
                <c:pt idx="2">
                  <c:v>6.2035506217460492</c:v>
                </c:pt>
                <c:pt idx="3">
                  <c:v>6.2043637734519343</c:v>
                </c:pt>
                <c:pt idx="4">
                  <c:v>5.0651125668095514</c:v>
                </c:pt>
                <c:pt idx="5">
                  <c:v>5.2051599407534486</c:v>
                </c:pt>
                <c:pt idx="6">
                  <c:v>5.3452073146973458</c:v>
                </c:pt>
                <c:pt idx="7">
                  <c:v>5.4852546886412421</c:v>
                </c:pt>
                <c:pt idx="8">
                  <c:v>5.193820583808944</c:v>
                </c:pt>
              </c:numCache>
            </c:numRef>
          </c:val>
          <c:extLst>
            <c:ext xmlns:c16="http://schemas.microsoft.com/office/drawing/2014/chart" uri="{C3380CC4-5D6E-409C-BE32-E72D297353CC}">
              <c16:uniqueId val="{00000000-3574-4A0D-B8D2-3A6270ED625C}"/>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data'!$D$197:$L$197</c:f>
              <c:numCache>
                <c:formatCode>#,##0.0</c:formatCode>
                <c:ptCount val="9"/>
                <c:pt idx="0">
                  <c:v>8.9353229506452667</c:v>
                </c:pt>
                <c:pt idx="1">
                  <c:v>9.3112116369931996</c:v>
                </c:pt>
                <c:pt idx="2">
                  <c:v>9.6871003233411344</c:v>
                </c:pt>
                <c:pt idx="3">
                  <c:v>10.249584000173458</c:v>
                </c:pt>
                <c:pt idx="4">
                  <c:v>10.626473572124297</c:v>
                </c:pt>
                <c:pt idx="5">
                  <c:v>10.690732187988914</c:v>
                </c:pt>
                <c:pt idx="6">
                  <c:v>10.754990803853531</c:v>
                </c:pt>
                <c:pt idx="7">
                  <c:v>10.819249419718146</c:v>
                </c:pt>
                <c:pt idx="8">
                  <c:v>11.95718375031889</c:v>
                </c:pt>
              </c:numCache>
            </c:numRef>
          </c:val>
          <c:extLst>
            <c:ext xmlns:c16="http://schemas.microsoft.com/office/drawing/2014/chart" uri="{C3380CC4-5D6E-409C-BE32-E72D297353CC}">
              <c16:uniqueId val="{00000001-3574-4A0D-B8D2-3A6270ED625C}"/>
            </c:ext>
          </c:extLst>
        </c:ser>
        <c:ser>
          <c:idx val="4"/>
          <c:order val="2"/>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data'!$D$198:$L$198</c:f>
              <c:numCache>
                <c:formatCode>#,##0.0</c:formatCode>
                <c:ptCount val="9"/>
                <c:pt idx="0">
                  <c:v>14.555590437513835</c:v>
                </c:pt>
                <c:pt idx="1">
                  <c:v>15.223120691300508</c:v>
                </c:pt>
                <c:pt idx="2">
                  <c:v>15.890650945087184</c:v>
                </c:pt>
                <c:pt idx="3">
                  <c:v>16.453947773625394</c:v>
                </c:pt>
                <c:pt idx="4">
                  <c:v>15.691586138933848</c:v>
                </c:pt>
                <c:pt idx="5">
                  <c:v>15.895892128742362</c:v>
                </c:pt>
                <c:pt idx="6">
                  <c:v>16.100198118550878</c:v>
                </c:pt>
                <c:pt idx="7">
                  <c:v>16.304504108359389</c:v>
                </c:pt>
                <c:pt idx="8">
                  <c:v>17.151004334127833</c:v>
                </c:pt>
              </c:numCache>
            </c:numRef>
          </c:val>
          <c:extLst>
            <c:ext xmlns:c16="http://schemas.microsoft.com/office/drawing/2014/chart" uri="{C3380CC4-5D6E-409C-BE32-E72D297353CC}">
              <c16:uniqueId val="{00000003-3574-4A0D-B8D2-3A6270ED625C}"/>
            </c:ext>
          </c:extLst>
        </c:ser>
        <c:ser>
          <c:idx val="3"/>
          <c:order val="4"/>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data'!$Q$198:$Y$198</c:f>
              <c:numCache>
                <c:formatCode>0</c:formatCode>
                <c:ptCount val="9"/>
                <c:pt idx="0">
                  <c:v>705.63845703581887</c:v>
                </c:pt>
                <c:pt idx="1">
                  <c:v>724.35444634623627</c:v>
                </c:pt>
                <c:pt idx="2">
                  <c:v>739.93892820754627</c:v>
                </c:pt>
                <c:pt idx="3">
                  <c:v>752.50303975447639</c:v>
                </c:pt>
                <c:pt idx="4">
                  <c:v>707.70585535304372</c:v>
                </c:pt>
                <c:pt idx="5">
                  <c:v>705.84732620955378</c:v>
                </c:pt>
                <c:pt idx="6">
                  <c:v>702.42746864881747</c:v>
                </c:pt>
                <c:pt idx="7">
                  <c:v>700.19268481706285</c:v>
                </c:pt>
                <c:pt idx="8">
                  <c:v>726.30030670640122</c:v>
                </c:pt>
              </c:numCache>
            </c:numRef>
          </c:val>
          <c:extLst>
            <c:ext xmlns:c16="http://schemas.microsoft.com/office/drawing/2014/chart" uri="{C3380CC4-5D6E-409C-BE32-E72D297353CC}">
              <c16:uniqueId val="{00000005-3574-4A0D-B8D2-3A6270ED625C}"/>
            </c:ext>
          </c:extLst>
        </c:ser>
        <c:dLbls>
          <c:showLegendKey val="0"/>
          <c:showVal val="0"/>
          <c:showCatName val="0"/>
          <c:showSerName val="0"/>
          <c:showPercent val="0"/>
          <c:showBubbleSize val="0"/>
        </c:dLbls>
        <c:axId val="228272768"/>
        <c:axId val="228291328"/>
      </c:areaChart>
      <c:lineChart>
        <c:grouping val="stacked"/>
        <c:varyColors val="0"/>
        <c:ser>
          <c:idx val="5"/>
          <c:order val="3"/>
          <c:tx>
            <c:strRef>
              <c:f>'Trends and nat. data'!$C$117</c:f>
              <c:strCache>
                <c:ptCount val="1"/>
                <c:pt idx="0">
                  <c:v>Recovery rate</c:v>
                </c:pt>
              </c:strCache>
            </c:strRef>
          </c:tx>
          <c:spPr>
            <a:ln w="28575">
              <a:noFill/>
            </a:ln>
          </c:spPr>
          <c:marker>
            <c:spPr>
              <a:noFill/>
              <a:ln>
                <a:noFill/>
              </a:ln>
            </c:spPr>
          </c:marker>
          <c:val>
            <c:numRef>
              <c:f>'Trends and nat. data'!$D$199:$L$199</c:f>
              <c:numCache>
                <c:formatCode>0%</c:formatCode>
                <c:ptCount val="9"/>
                <c:pt idx="0">
                  <c:v>0.61387567814607069</c:v>
                </c:pt>
                <c:pt idx="1">
                  <c:v>0.61164933431252622</c:v>
                </c:pt>
                <c:pt idx="2">
                  <c:v>0.60961003780251277</c:v>
                </c:pt>
                <c:pt idx="3">
                  <c:v>0.62292552165522697</c:v>
                </c:pt>
                <c:pt idx="4">
                  <c:v>0.67720837638955877</c:v>
                </c:pt>
                <c:pt idx="5">
                  <c:v>0.67254685055759333</c:v>
                </c:pt>
                <c:pt idx="6">
                  <c:v>0.66800363105230842</c:v>
                </c:pt>
                <c:pt idx="7">
                  <c:v>0.66357427050915763</c:v>
                </c:pt>
                <c:pt idx="8">
                  <c:v>0.69717105292346948</c:v>
                </c:pt>
              </c:numCache>
            </c:numRef>
          </c:val>
          <c:smooth val="0"/>
          <c:extLst>
            <c:ext xmlns:c16="http://schemas.microsoft.com/office/drawing/2014/chart" uri="{C3380CC4-5D6E-409C-BE32-E72D297353CC}">
              <c16:uniqueId val="{00000004-3574-4A0D-B8D2-3A6270ED625C}"/>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02105974850757"/>
          <c:y val="8.4665301986195887E-2"/>
          <c:w val="0.73388634565056665"/>
          <c:h val="0.11409991273761333"/>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data'!$D$200:$L$200</c:f>
              <c:numCache>
                <c:formatCode>#,##0.0</c:formatCode>
                <c:ptCount val="9"/>
                <c:pt idx="0">
                  <c:v>0.560626055840588</c:v>
                </c:pt>
                <c:pt idx="1">
                  <c:v>0.5820820541281877</c:v>
                </c:pt>
                <c:pt idx="2">
                  <c:v>0.6035380524157874</c:v>
                </c:pt>
                <c:pt idx="3">
                  <c:v>0.60507369160535174</c:v>
                </c:pt>
                <c:pt idx="4">
                  <c:v>0.53114799981825367</c:v>
                </c:pt>
                <c:pt idx="5">
                  <c:v>0.54077644233840039</c:v>
                </c:pt>
                <c:pt idx="6">
                  <c:v>0.55040488485854711</c:v>
                </c:pt>
                <c:pt idx="7">
                  <c:v>0.56003332737869393</c:v>
                </c:pt>
                <c:pt idx="8">
                  <c:v>0.59931824029537706</c:v>
                </c:pt>
              </c:numCache>
            </c:numRef>
          </c:val>
          <c:extLst>
            <c:ext xmlns:c16="http://schemas.microsoft.com/office/drawing/2014/chart" uri="{C3380CC4-5D6E-409C-BE32-E72D297353CC}">
              <c16:uniqueId val="{00000000-D211-483F-8E0A-35FD6BE79D98}"/>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data'!$D$201:$L$201</c:f>
              <c:numCache>
                <c:formatCode>#,##0.0</c:formatCode>
                <c:ptCount val="9"/>
                <c:pt idx="0">
                  <c:v>3.4952329963431468</c:v>
                </c:pt>
                <c:pt idx="1">
                  <c:v>3.2810108999322081</c:v>
                </c:pt>
                <c:pt idx="2">
                  <c:v>3.0667888035212689</c:v>
                </c:pt>
                <c:pt idx="3">
                  <c:v>4.1941222451444027</c:v>
                </c:pt>
                <c:pt idx="4">
                  <c:v>5.100722177420046</c:v>
                </c:pt>
                <c:pt idx="5">
                  <c:v>5.0131168467027249</c:v>
                </c:pt>
                <c:pt idx="6">
                  <c:v>4.9255115159854039</c:v>
                </c:pt>
                <c:pt idx="7">
                  <c:v>4.8379061852680838</c:v>
                </c:pt>
                <c:pt idx="8">
                  <c:v>4.5685719138708256</c:v>
                </c:pt>
              </c:numCache>
            </c:numRef>
          </c:val>
          <c:extLst>
            <c:ext xmlns:c16="http://schemas.microsoft.com/office/drawing/2014/chart" uri="{C3380CC4-5D6E-409C-BE32-E72D297353CC}">
              <c16:uniqueId val="{00000001-D211-483F-8E0A-35FD6BE79D98}"/>
            </c:ext>
          </c:extLst>
        </c:ser>
        <c:ser>
          <c:idx val="4"/>
          <c:order val="2"/>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data'!$D$202:$L$202</c:f>
              <c:numCache>
                <c:formatCode>#,##0.0</c:formatCode>
                <c:ptCount val="9"/>
                <c:pt idx="0">
                  <c:v>4.0558590521837345</c:v>
                </c:pt>
                <c:pt idx="1">
                  <c:v>3.863092954060396</c:v>
                </c:pt>
                <c:pt idx="2">
                  <c:v>3.6703268559370565</c:v>
                </c:pt>
                <c:pt idx="3">
                  <c:v>4.7991959367497543</c:v>
                </c:pt>
                <c:pt idx="4">
                  <c:v>5.6318701772382997</c:v>
                </c:pt>
                <c:pt idx="5">
                  <c:v>5.5538932890411257</c:v>
                </c:pt>
                <c:pt idx="6">
                  <c:v>5.4759164008439507</c:v>
                </c:pt>
                <c:pt idx="7">
                  <c:v>5.3979395126467775</c:v>
                </c:pt>
                <c:pt idx="8">
                  <c:v>5.1678901541662023</c:v>
                </c:pt>
              </c:numCache>
            </c:numRef>
          </c:val>
          <c:extLst>
            <c:ext xmlns:c16="http://schemas.microsoft.com/office/drawing/2014/chart" uri="{C3380CC4-5D6E-409C-BE32-E72D297353CC}">
              <c16:uniqueId val="{00000002-D211-483F-8E0A-35FD6BE79D98}"/>
            </c:ext>
          </c:extLst>
        </c:ser>
        <c:ser>
          <c:idx val="3"/>
          <c:order val="4"/>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data'!$Q$202:$Y$202</c:f>
              <c:numCache>
                <c:formatCode>0</c:formatCode>
                <c:ptCount val="9"/>
                <c:pt idx="0">
                  <c:v>196.62343041485906</c:v>
                </c:pt>
                <c:pt idx="1">
                  <c:v>183.81569815192802</c:v>
                </c:pt>
                <c:pt idx="2">
                  <c:v>170.90663745232357</c:v>
                </c:pt>
                <c:pt idx="3">
                  <c:v>219.48589970428714</c:v>
                </c:pt>
                <c:pt idx="4">
                  <c:v>254.00284367240741</c:v>
                </c:pt>
                <c:pt idx="5">
                  <c:v>246.6172201203166</c:v>
                </c:pt>
                <c:pt idx="6">
                  <c:v>238.90601020278402</c:v>
                </c:pt>
                <c:pt idx="7">
                  <c:v>231.81310726907904</c:v>
                </c:pt>
                <c:pt idx="8">
                  <c:v>218.84667106795263</c:v>
                </c:pt>
              </c:numCache>
            </c:numRef>
          </c:val>
          <c:extLst>
            <c:ext xmlns:c16="http://schemas.microsoft.com/office/drawing/2014/chart" uri="{C3380CC4-5D6E-409C-BE32-E72D297353CC}">
              <c16:uniqueId val="{00000004-D211-483F-8E0A-35FD6BE79D98}"/>
            </c:ext>
          </c:extLst>
        </c:ser>
        <c:dLbls>
          <c:showLegendKey val="0"/>
          <c:showVal val="0"/>
          <c:showCatName val="0"/>
          <c:showSerName val="0"/>
          <c:showPercent val="0"/>
          <c:showBubbleSize val="0"/>
        </c:dLbls>
        <c:axId val="228272768"/>
        <c:axId val="228291328"/>
      </c:areaChart>
      <c:lineChart>
        <c:grouping val="stacked"/>
        <c:varyColors val="0"/>
        <c:ser>
          <c:idx val="5"/>
          <c:order val="3"/>
          <c:tx>
            <c:strRef>
              <c:f>'Trends and nat. data'!$C$117</c:f>
              <c:strCache>
                <c:ptCount val="1"/>
                <c:pt idx="0">
                  <c:v>Recovery rate</c:v>
                </c:pt>
              </c:strCache>
            </c:strRef>
          </c:tx>
          <c:spPr>
            <a:ln w="28575">
              <a:noFill/>
            </a:ln>
          </c:spPr>
          <c:marker>
            <c:spPr>
              <a:noFill/>
              <a:ln>
                <a:noFill/>
              </a:ln>
            </c:spPr>
          </c:marker>
          <c:val>
            <c:numRef>
              <c:f>'Trends and nat. data'!$D$203:$L$203</c:f>
              <c:numCache>
                <c:formatCode>0%</c:formatCode>
                <c:ptCount val="9"/>
                <c:pt idx="0">
                  <c:v>0.861773782415161</c:v>
                </c:pt>
                <c:pt idx="1">
                  <c:v>0.84932227594565735</c:v>
                </c:pt>
                <c:pt idx="2">
                  <c:v>0.83556285962937737</c:v>
                </c:pt>
                <c:pt idx="3">
                  <c:v>0.8739218611659485</c:v>
                </c:pt>
                <c:pt idx="4">
                  <c:v>0.90568887721081792</c:v>
                </c:pt>
                <c:pt idx="5">
                  <c:v>0.90263110682996839</c:v>
                </c:pt>
                <c:pt idx="6">
                  <c:v>0.89948625132887017</c:v>
                </c:pt>
                <c:pt idx="7">
                  <c:v>0.89625053669708643</c:v>
                </c:pt>
                <c:pt idx="8">
                  <c:v>0.88403038330599504</c:v>
                </c:pt>
              </c:numCache>
            </c:numRef>
          </c:val>
          <c:smooth val="0"/>
          <c:extLst>
            <c:ext xmlns:c16="http://schemas.microsoft.com/office/drawing/2014/chart" uri="{C3380CC4-5D6E-409C-BE32-E72D297353CC}">
              <c16:uniqueId val="{00000003-D211-483F-8E0A-35FD6BE79D98}"/>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66604301075268812"/>
          <c:h val="0.12808528285643614"/>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data'!$D$204:$L$204</c:f>
              <c:numCache>
                <c:formatCode>#,##0.0</c:formatCode>
                <c:ptCount val="9"/>
                <c:pt idx="0">
                  <c:v>7.4538532459816214</c:v>
                </c:pt>
                <c:pt idx="1">
                  <c:v>7.5732171843974179</c:v>
                </c:pt>
                <c:pt idx="2">
                  <c:v>7.6925811228132135</c:v>
                </c:pt>
                <c:pt idx="3">
                  <c:v>7.3689576317727497</c:v>
                </c:pt>
                <c:pt idx="4">
                  <c:v>6.7106400912712596</c:v>
                </c:pt>
                <c:pt idx="5">
                  <c:v>6.4028831752081423</c:v>
                </c:pt>
                <c:pt idx="6">
                  <c:v>6.095126259145025</c:v>
                </c:pt>
                <c:pt idx="7">
                  <c:v>5.7873693430819078</c:v>
                </c:pt>
                <c:pt idx="8">
                  <c:v>6.2364638260746217</c:v>
                </c:pt>
              </c:numCache>
            </c:numRef>
          </c:val>
          <c:extLst>
            <c:ext xmlns:c16="http://schemas.microsoft.com/office/drawing/2014/chart" uri="{C3380CC4-5D6E-409C-BE32-E72D297353CC}">
              <c16:uniqueId val="{00000000-93B6-45E8-8DB3-AB755F71F112}"/>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data'!$D$205:$L$205</c:f>
              <c:numCache>
                <c:formatCode>#,##0.0</c:formatCode>
                <c:ptCount val="9"/>
                <c:pt idx="0">
                  <c:v>4.2268888892427396</c:v>
                </c:pt>
                <c:pt idx="1">
                  <c:v>4.2551716778960458</c:v>
                </c:pt>
                <c:pt idx="2">
                  <c:v>4.2834544665493519</c:v>
                </c:pt>
                <c:pt idx="3">
                  <c:v>4.5910619251077556</c:v>
                </c:pt>
                <c:pt idx="4">
                  <c:v>5.3820904853412932</c:v>
                </c:pt>
                <c:pt idx="5">
                  <c:v>5.2783907901975669</c:v>
                </c:pt>
                <c:pt idx="6">
                  <c:v>5.1746910950538405</c:v>
                </c:pt>
                <c:pt idx="7">
                  <c:v>5.0709913999101133</c:v>
                </c:pt>
                <c:pt idx="8">
                  <c:v>5.2104645639640639</c:v>
                </c:pt>
              </c:numCache>
            </c:numRef>
          </c:val>
          <c:extLst>
            <c:ext xmlns:c16="http://schemas.microsoft.com/office/drawing/2014/chart" uri="{C3380CC4-5D6E-409C-BE32-E72D297353CC}">
              <c16:uniqueId val="{00000001-93B6-45E8-8DB3-AB755F71F112}"/>
            </c:ext>
          </c:extLst>
        </c:ser>
        <c:ser>
          <c:idx val="2"/>
          <c:order val="2"/>
          <c:tx>
            <c:strRef>
              <c:f>'Trends and nat. data'!$B$242</c:f>
              <c:strCache>
                <c:ptCount val="1"/>
                <c:pt idx="0">
                  <c:v>Energy recovery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data'!$D$206:$L$206</c:f>
              <c:numCache>
                <c:formatCode>#,##0.0</c:formatCode>
                <c:ptCount val="9"/>
                <c:pt idx="0">
                  <c:v>0.97669503422202064</c:v>
                </c:pt>
                <c:pt idx="1">
                  <c:v>1.0164783899464269</c:v>
                </c:pt>
                <c:pt idx="2">
                  <c:v>1.056261745670833</c:v>
                </c:pt>
                <c:pt idx="3">
                  <c:v>1.2808612733274356</c:v>
                </c:pt>
                <c:pt idx="4">
                  <c:v>1.3999058653829961</c:v>
                </c:pt>
                <c:pt idx="5">
                  <c:v>1.5166313632373702</c:v>
                </c:pt>
                <c:pt idx="6">
                  <c:v>1.6333568610917444</c:v>
                </c:pt>
                <c:pt idx="7">
                  <c:v>1.7500823589461187</c:v>
                </c:pt>
                <c:pt idx="8">
                  <c:v>1.3600198783885851</c:v>
                </c:pt>
              </c:numCache>
            </c:numRef>
          </c:val>
          <c:extLst>
            <c:ext xmlns:c16="http://schemas.microsoft.com/office/drawing/2014/chart" uri="{C3380CC4-5D6E-409C-BE32-E72D297353CC}">
              <c16:uniqueId val="{00000002-93B6-45E8-8DB3-AB755F71F112}"/>
            </c:ext>
          </c:extLst>
        </c:ser>
        <c:ser>
          <c:idx val="4"/>
          <c:order val="3"/>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data'!$D$207:$L$207</c:f>
              <c:numCache>
                <c:formatCode>#,##0.0</c:formatCode>
                <c:ptCount val="9"/>
                <c:pt idx="0">
                  <c:v>12.65743716944638</c:v>
                </c:pt>
                <c:pt idx="1">
                  <c:v>12.84486725223989</c:v>
                </c:pt>
                <c:pt idx="2">
                  <c:v>13.032297335033398</c:v>
                </c:pt>
                <c:pt idx="3">
                  <c:v>13.24088083020794</c:v>
                </c:pt>
                <c:pt idx="4">
                  <c:v>13.492636441995549</c:v>
                </c:pt>
                <c:pt idx="5">
                  <c:v>13.197905328643078</c:v>
                </c:pt>
                <c:pt idx="6">
                  <c:v>12.90317421529061</c:v>
                </c:pt>
                <c:pt idx="7">
                  <c:v>12.608443101938139</c:v>
                </c:pt>
                <c:pt idx="8">
                  <c:v>12.80694826842727</c:v>
                </c:pt>
              </c:numCache>
            </c:numRef>
          </c:val>
          <c:extLst>
            <c:ext xmlns:c16="http://schemas.microsoft.com/office/drawing/2014/chart" uri="{C3380CC4-5D6E-409C-BE32-E72D297353CC}">
              <c16:uniqueId val="{00000003-93B6-45E8-8DB3-AB755F71F112}"/>
            </c:ext>
          </c:extLst>
        </c:ser>
        <c:ser>
          <c:idx val="3"/>
          <c:order val="5"/>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data'!$Q$207:$Y$207</c:f>
              <c:numCache>
                <c:formatCode>0</c:formatCode>
                <c:ptCount val="9"/>
                <c:pt idx="0">
                  <c:v>613.61814710427666</c:v>
                </c:pt>
                <c:pt idx="1">
                  <c:v>611.19115426866313</c:v>
                </c:pt>
                <c:pt idx="2">
                  <c:v>606.84135316357015</c:v>
                </c:pt>
                <c:pt idx="3">
                  <c:v>605.55698917007487</c:v>
                </c:pt>
                <c:pt idx="4">
                  <c:v>608.53107707560889</c:v>
                </c:pt>
                <c:pt idx="5">
                  <c:v>586.04487954125113</c:v>
                </c:pt>
                <c:pt idx="6">
                  <c:v>562.94611624301263</c:v>
                </c:pt>
                <c:pt idx="7">
                  <c:v>541.46630699322623</c:v>
                </c:pt>
                <c:pt idx="8">
                  <c:v>542.34086086858611</c:v>
                </c:pt>
              </c:numCache>
            </c:numRef>
          </c:val>
          <c:extLst>
            <c:ext xmlns:c16="http://schemas.microsoft.com/office/drawing/2014/chart" uri="{C3380CC4-5D6E-409C-BE32-E72D297353CC}">
              <c16:uniqueId val="{00000005-93B6-45E8-8DB3-AB755F71F112}"/>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data'!$C$117</c:f>
              <c:strCache>
                <c:ptCount val="1"/>
                <c:pt idx="0">
                  <c:v>Recovery rate</c:v>
                </c:pt>
              </c:strCache>
            </c:strRef>
          </c:tx>
          <c:spPr>
            <a:ln w="28575">
              <a:noFill/>
            </a:ln>
          </c:spPr>
          <c:marker>
            <c:spPr>
              <a:noFill/>
              <a:ln>
                <a:noFill/>
              </a:ln>
            </c:spPr>
          </c:marker>
          <c:val>
            <c:numRef>
              <c:f>'Trends and nat. data'!$D$208:$L$208</c:f>
              <c:numCache>
                <c:formatCode>0%</c:formatCode>
                <c:ptCount val="9"/>
                <c:pt idx="0">
                  <c:v>0.41110880929558341</c:v>
                </c:pt>
                <c:pt idx="1">
                  <c:v>0.41040907347043243</c:v>
                </c:pt>
                <c:pt idx="2">
                  <c:v>0.40972946480172528</c:v>
                </c:pt>
                <c:pt idx="3">
                  <c:v>0.44346922789599458</c:v>
                </c:pt>
                <c:pt idx="4">
                  <c:v>0.50264426673614859</c:v>
                </c:pt>
                <c:pt idx="5">
                  <c:v>0.51485610664958126</c:v>
                </c:pt>
                <c:pt idx="6">
                  <c:v>0.52762582621552645</c:v>
                </c:pt>
                <c:pt idx="7">
                  <c:v>0.54099254790686357</c:v>
                </c:pt>
                <c:pt idx="8">
                  <c:v>0.5130406014484139</c:v>
                </c:pt>
              </c:numCache>
            </c:numRef>
          </c:val>
          <c:smooth val="0"/>
          <c:extLst>
            <c:ext xmlns:c16="http://schemas.microsoft.com/office/drawing/2014/chart" uri="{C3380CC4-5D6E-409C-BE32-E72D297353CC}">
              <c16:uniqueId val="{00000004-93B6-45E8-8DB3-AB755F71F112}"/>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66604301075268812"/>
          <c:h val="0.12808528285643614"/>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data'!$D$209:$L$209</c:f>
              <c:numCache>
                <c:formatCode>#,##0.0</c:formatCode>
                <c:ptCount val="9"/>
                <c:pt idx="0">
                  <c:v>1.6096999945206616</c:v>
                </c:pt>
                <c:pt idx="1">
                  <c:v>1.6156487685202536</c:v>
                </c:pt>
                <c:pt idx="2">
                  <c:v>1.6215975425198457</c:v>
                </c:pt>
                <c:pt idx="3">
                  <c:v>1.722890439423566</c:v>
                </c:pt>
                <c:pt idx="4">
                  <c:v>1.5055628136275514</c:v>
                </c:pt>
                <c:pt idx="5">
                  <c:v>1.4868589034997346</c:v>
                </c:pt>
                <c:pt idx="6">
                  <c:v>1.4681549933719178</c:v>
                </c:pt>
                <c:pt idx="7">
                  <c:v>1.4494510832441008</c:v>
                </c:pt>
                <c:pt idx="8">
                  <c:v>1.584406592729183</c:v>
                </c:pt>
              </c:numCache>
            </c:numRef>
          </c:val>
          <c:extLst>
            <c:ext xmlns:c16="http://schemas.microsoft.com/office/drawing/2014/chart" uri="{C3380CC4-5D6E-409C-BE32-E72D297353CC}">
              <c16:uniqueId val="{00000000-DC98-4ECE-AABB-586B0C1B4602}"/>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data'!$D$210:$L$210</c:f>
              <c:numCache>
                <c:formatCode>#,##0.0</c:formatCode>
                <c:ptCount val="9"/>
                <c:pt idx="0">
                  <c:v>3.7135394364255125</c:v>
                </c:pt>
                <c:pt idx="1">
                  <c:v>4.0703171674553209</c:v>
                </c:pt>
                <c:pt idx="2">
                  <c:v>4.4270948984851293</c:v>
                </c:pt>
                <c:pt idx="3">
                  <c:v>3.9150539091324896</c:v>
                </c:pt>
                <c:pt idx="4">
                  <c:v>3.2553541762818359</c:v>
                </c:pt>
                <c:pt idx="5">
                  <c:v>3.3031212628760458</c:v>
                </c:pt>
                <c:pt idx="6">
                  <c:v>3.3508883494702557</c:v>
                </c:pt>
                <c:pt idx="7">
                  <c:v>3.3986554360644652</c:v>
                </c:pt>
                <c:pt idx="8">
                  <c:v>3.2282213331406062</c:v>
                </c:pt>
              </c:numCache>
            </c:numRef>
          </c:val>
          <c:extLst>
            <c:ext xmlns:c16="http://schemas.microsoft.com/office/drawing/2014/chart" uri="{C3380CC4-5D6E-409C-BE32-E72D297353CC}">
              <c16:uniqueId val="{00000001-DC98-4ECE-AABB-586B0C1B4602}"/>
            </c:ext>
          </c:extLst>
        </c:ser>
        <c:ser>
          <c:idx val="2"/>
          <c:order val="2"/>
          <c:tx>
            <c:strRef>
              <c:f>'Trends and nat. data'!$B$242</c:f>
              <c:strCache>
                <c:ptCount val="1"/>
                <c:pt idx="0">
                  <c:v>Energy recovery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data'!$D$211:$L$211</c:f>
              <c:numCache>
                <c:formatCode>#,##0.00</c:formatCode>
                <c:ptCount val="9"/>
                <c:pt idx="0">
                  <c:v>0.27670823020342261</c:v>
                </c:pt>
                <c:pt idx="1">
                  <c:v>0.28501529097289113</c:v>
                </c:pt>
                <c:pt idx="2">
                  <c:v>0.29332235174235965</c:v>
                </c:pt>
                <c:pt idx="3">
                  <c:v>0.30926558213073485</c:v>
                </c:pt>
                <c:pt idx="4">
                  <c:v>0.39417008761033834</c:v>
                </c:pt>
                <c:pt idx="5">
                  <c:v>0.45891685305645485</c:v>
                </c:pt>
                <c:pt idx="6">
                  <c:v>0.52366361850257137</c:v>
                </c:pt>
                <c:pt idx="7">
                  <c:v>0.58841038394868783</c:v>
                </c:pt>
                <c:pt idx="8">
                  <c:v>0.45760319209112282</c:v>
                </c:pt>
              </c:numCache>
            </c:numRef>
          </c:val>
          <c:extLst>
            <c:ext xmlns:c16="http://schemas.microsoft.com/office/drawing/2014/chart" uri="{C3380CC4-5D6E-409C-BE32-E72D297353CC}">
              <c16:uniqueId val="{00000002-DC98-4ECE-AABB-586B0C1B4602}"/>
            </c:ext>
          </c:extLst>
        </c:ser>
        <c:ser>
          <c:idx val="4"/>
          <c:order val="3"/>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data'!$D$212:$L$212</c:f>
              <c:numCache>
                <c:formatCode>#,##0.0</c:formatCode>
                <c:ptCount val="9"/>
                <c:pt idx="0">
                  <c:v>5.5999476611495966</c:v>
                </c:pt>
                <c:pt idx="1">
                  <c:v>5.9709812269484654</c:v>
                </c:pt>
                <c:pt idx="2">
                  <c:v>6.3420147927473343</c:v>
                </c:pt>
                <c:pt idx="3">
                  <c:v>5.9472099306867907</c:v>
                </c:pt>
                <c:pt idx="4">
                  <c:v>5.1550870775197257</c:v>
                </c:pt>
                <c:pt idx="5">
                  <c:v>5.2488970194322357</c:v>
                </c:pt>
                <c:pt idx="6">
                  <c:v>5.342706961344744</c:v>
                </c:pt>
                <c:pt idx="7">
                  <c:v>5.4365169032572531</c:v>
                </c:pt>
                <c:pt idx="8">
                  <c:v>5.270231117960912</c:v>
                </c:pt>
              </c:numCache>
            </c:numRef>
          </c:val>
          <c:extLst>
            <c:ext xmlns:c16="http://schemas.microsoft.com/office/drawing/2014/chart" uri="{C3380CC4-5D6E-409C-BE32-E72D297353CC}">
              <c16:uniqueId val="{00000003-DC98-4ECE-AABB-586B0C1B4602}"/>
            </c:ext>
          </c:extLst>
        </c:ser>
        <c:ser>
          <c:idx val="3"/>
          <c:order val="5"/>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data'!$Q$212:$Y$212</c:f>
              <c:numCache>
                <c:formatCode>0</c:formatCode>
                <c:ptCount val="9"/>
                <c:pt idx="0">
                  <c:v>271.47908867446029</c:v>
                </c:pt>
                <c:pt idx="1">
                  <c:v>284.11433427455358</c:v>
                </c:pt>
                <c:pt idx="2">
                  <c:v>295.31223388131127</c:v>
                </c:pt>
                <c:pt idx="3">
                  <c:v>271.98904557564128</c:v>
                </c:pt>
                <c:pt idx="4">
                  <c:v>232.4994603677076</c:v>
                </c:pt>
                <c:pt idx="5">
                  <c:v>233.07404810683391</c:v>
                </c:pt>
                <c:pt idx="6">
                  <c:v>233.09428237815914</c:v>
                </c:pt>
                <c:pt idx="7">
                  <c:v>233.46980326702337</c:v>
                </c:pt>
                <c:pt idx="8">
                  <c:v>223.18054399717934</c:v>
                </c:pt>
              </c:numCache>
            </c:numRef>
          </c:val>
          <c:extLst>
            <c:ext xmlns:c16="http://schemas.microsoft.com/office/drawing/2014/chart" uri="{C3380CC4-5D6E-409C-BE32-E72D297353CC}">
              <c16:uniqueId val="{00000005-DC98-4ECE-AABB-586B0C1B4602}"/>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data'!$C$117</c:f>
              <c:strCache>
                <c:ptCount val="1"/>
                <c:pt idx="0">
                  <c:v>Recovery rate</c:v>
                </c:pt>
              </c:strCache>
            </c:strRef>
          </c:tx>
          <c:spPr>
            <a:ln w="28575">
              <a:noFill/>
            </a:ln>
          </c:spPr>
          <c:marker>
            <c:spPr>
              <a:noFill/>
              <a:ln>
                <a:noFill/>
              </a:ln>
            </c:spPr>
          </c:marker>
          <c:val>
            <c:numRef>
              <c:f>'Trends and nat. data'!$D$213:$L$213</c:f>
              <c:numCache>
                <c:formatCode>0%</c:formatCode>
                <c:ptCount val="9"/>
                <c:pt idx="0">
                  <c:v>0.71255088584342041</c:v>
                </c:pt>
                <c:pt idx="1">
                  <c:v>0.72941653857016919</c:v>
                </c:pt>
                <c:pt idx="2">
                  <c:v>0.74430877323492084</c:v>
                </c:pt>
                <c:pt idx="3">
                  <c:v>0.71030273699711066</c:v>
                </c:pt>
                <c:pt idx="4">
                  <c:v>0.70794619159916794</c:v>
                </c:pt>
                <c:pt idx="5">
                  <c:v>0.71672926750226729</c:v>
                </c:pt>
                <c:pt idx="6">
                  <c:v>0.72520390805742663</c:v>
                </c:pt>
                <c:pt idx="7">
                  <c:v>0.73338607990427263</c:v>
                </c:pt>
                <c:pt idx="8">
                  <c:v>0.6993667721080512</c:v>
                </c:pt>
              </c:numCache>
            </c:numRef>
          </c:val>
          <c:smooth val="0"/>
          <c:extLst>
            <c:ext xmlns:c16="http://schemas.microsoft.com/office/drawing/2014/chart" uri="{C3380CC4-5D6E-409C-BE32-E72D297353CC}">
              <c16:uniqueId val="{00000004-DC98-4ECE-AABB-586B0C1B4602}"/>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66604301075268812"/>
          <c:h val="0.12808528285643614"/>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data'!$D$214:$L$214</c:f>
              <c:numCache>
                <c:formatCode>#,##0.0</c:formatCode>
                <c:ptCount val="9"/>
                <c:pt idx="0">
                  <c:v>2.3121232379955252</c:v>
                </c:pt>
                <c:pt idx="1">
                  <c:v>2.3624972619148981</c:v>
                </c:pt>
                <c:pt idx="2">
                  <c:v>2.4128712858342714</c:v>
                </c:pt>
                <c:pt idx="3">
                  <c:v>2.5557538560598156</c:v>
                </c:pt>
                <c:pt idx="4">
                  <c:v>2.3575754886921589</c:v>
                </c:pt>
                <c:pt idx="5">
                  <c:v>2.298089471289849</c:v>
                </c:pt>
                <c:pt idx="6">
                  <c:v>2.238603453887539</c:v>
                </c:pt>
                <c:pt idx="7">
                  <c:v>2.1791174364852295</c:v>
                </c:pt>
                <c:pt idx="8">
                  <c:v>2.1573670534223037</c:v>
                </c:pt>
              </c:numCache>
            </c:numRef>
          </c:val>
          <c:extLst>
            <c:ext xmlns:c16="http://schemas.microsoft.com/office/drawing/2014/chart" uri="{C3380CC4-5D6E-409C-BE32-E72D297353CC}">
              <c16:uniqueId val="{00000000-C08A-40EA-A5DA-5A6EFC845C24}"/>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data'!$D$215:$L$215</c:f>
              <c:numCache>
                <c:formatCode>#,##0.00</c:formatCode>
                <c:ptCount val="9"/>
                <c:pt idx="0">
                  <c:v>0.25397027944541661</c:v>
                </c:pt>
                <c:pt idx="1">
                  <c:v>0.2660513387400727</c:v>
                </c:pt>
                <c:pt idx="2">
                  <c:v>0.27813239803472878</c:v>
                </c:pt>
                <c:pt idx="3">
                  <c:v>0.29313609725400452</c:v>
                </c:pt>
                <c:pt idx="4">
                  <c:v>0.292327</c:v>
                </c:pt>
                <c:pt idx="5">
                  <c:v>0.29608133235031581</c:v>
                </c:pt>
                <c:pt idx="6">
                  <c:v>0.29983566470063161</c:v>
                </c:pt>
                <c:pt idx="7">
                  <c:v>0.30358999705094736</c:v>
                </c:pt>
                <c:pt idx="8">
                  <c:v>0.34584083999999998</c:v>
                </c:pt>
              </c:numCache>
            </c:numRef>
          </c:val>
          <c:extLst>
            <c:ext xmlns:c16="http://schemas.microsoft.com/office/drawing/2014/chart" uri="{C3380CC4-5D6E-409C-BE32-E72D297353CC}">
              <c16:uniqueId val="{00000001-C08A-40EA-A5DA-5A6EFC845C24}"/>
            </c:ext>
          </c:extLst>
        </c:ser>
        <c:ser>
          <c:idx val="2"/>
          <c:order val="2"/>
          <c:tx>
            <c:strRef>
              <c:f>'Trends and nat. data'!$B$242</c:f>
              <c:strCache>
                <c:ptCount val="1"/>
                <c:pt idx="0">
                  <c:v>Energy recovery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data'!$D$216:$L$216</c:f>
              <c:numCache>
                <c:formatCode>#,##0.00</c:formatCode>
                <c:ptCount val="9"/>
                <c:pt idx="0">
                  <c:v>0</c:v>
                </c:pt>
                <c:pt idx="1">
                  <c:v>0</c:v>
                </c:pt>
                <c:pt idx="2">
                  <c:v>0</c:v>
                </c:pt>
                <c:pt idx="3">
                  <c:v>0</c:v>
                </c:pt>
                <c:pt idx="4">
                  <c:v>0</c:v>
                </c:pt>
                <c:pt idx="5">
                  <c:v>2.5299999999999997E-3</c:v>
                </c:pt>
                <c:pt idx="6">
                  <c:v>5.0599999999999994E-3</c:v>
                </c:pt>
                <c:pt idx="7">
                  <c:v>7.5899999999999995E-3</c:v>
                </c:pt>
                <c:pt idx="8">
                  <c:v>1.6500000000000001E-2</c:v>
                </c:pt>
              </c:numCache>
            </c:numRef>
          </c:val>
          <c:extLst>
            <c:ext xmlns:c16="http://schemas.microsoft.com/office/drawing/2014/chart" uri="{C3380CC4-5D6E-409C-BE32-E72D297353CC}">
              <c16:uniqueId val="{00000002-C08A-40EA-A5DA-5A6EFC845C24}"/>
            </c:ext>
          </c:extLst>
        </c:ser>
        <c:ser>
          <c:idx val="4"/>
          <c:order val="3"/>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data'!$D$217:$L$217</c:f>
              <c:numCache>
                <c:formatCode>#,##0.0</c:formatCode>
                <c:ptCount val="9"/>
                <c:pt idx="0">
                  <c:v>2.5660935174409421</c:v>
                </c:pt>
                <c:pt idx="1">
                  <c:v>2.6285486006549705</c:v>
                </c:pt>
                <c:pt idx="2">
                  <c:v>2.6910036838689999</c:v>
                </c:pt>
                <c:pt idx="3">
                  <c:v>2.8488899533138201</c:v>
                </c:pt>
                <c:pt idx="4">
                  <c:v>2.6499024886921587</c:v>
                </c:pt>
                <c:pt idx="5">
                  <c:v>2.5967008036401649</c:v>
                </c:pt>
                <c:pt idx="6">
                  <c:v>2.5434991185881706</c:v>
                </c:pt>
                <c:pt idx="7">
                  <c:v>2.4902974335361767</c:v>
                </c:pt>
                <c:pt idx="8">
                  <c:v>2.5197078934223041</c:v>
                </c:pt>
              </c:numCache>
            </c:numRef>
          </c:val>
          <c:extLst>
            <c:ext xmlns:c16="http://schemas.microsoft.com/office/drawing/2014/chart" uri="{C3380CC4-5D6E-409C-BE32-E72D297353CC}">
              <c16:uniqueId val="{00000003-C08A-40EA-A5DA-5A6EFC845C24}"/>
            </c:ext>
          </c:extLst>
        </c:ser>
        <c:ser>
          <c:idx val="3"/>
          <c:order val="5"/>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data'!$Q$217:$Y$217</c:f>
              <c:numCache>
                <c:formatCode>0</c:formatCode>
                <c:ptCount val="9"/>
                <c:pt idx="0">
                  <c:v>124.40129296231598</c:v>
                </c:pt>
                <c:pt idx="1">
                  <c:v>125.07296663618231</c:v>
                </c:pt>
                <c:pt idx="2">
                  <c:v>125.30502296762029</c:v>
                </c:pt>
                <c:pt idx="3">
                  <c:v>130.29082012956226</c:v>
                </c:pt>
                <c:pt idx="4">
                  <c:v>119.51318947349341</c:v>
                </c:pt>
                <c:pt idx="5">
                  <c:v>115.30490420864612</c:v>
                </c:pt>
                <c:pt idx="6">
                  <c:v>110.96904735115113</c:v>
                </c:pt>
                <c:pt idx="7">
                  <c:v>106.9451750505396</c:v>
                </c:pt>
                <c:pt idx="8">
                  <c:v>106.70305832537254</c:v>
                </c:pt>
              </c:numCache>
            </c:numRef>
          </c:val>
          <c:extLst>
            <c:ext xmlns:c16="http://schemas.microsoft.com/office/drawing/2014/chart" uri="{C3380CC4-5D6E-409C-BE32-E72D297353CC}">
              <c16:uniqueId val="{00000005-C08A-40EA-A5DA-5A6EFC845C24}"/>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data'!$C$117</c:f>
              <c:strCache>
                <c:ptCount val="1"/>
                <c:pt idx="0">
                  <c:v>Recovery rate</c:v>
                </c:pt>
              </c:strCache>
            </c:strRef>
          </c:tx>
          <c:spPr>
            <a:ln w="28575">
              <a:noFill/>
            </a:ln>
          </c:spPr>
          <c:marker>
            <c:spPr>
              <a:noFill/>
              <a:ln>
                <a:noFill/>
              </a:ln>
            </c:spPr>
          </c:marker>
          <c:val>
            <c:numRef>
              <c:f>'Trends and nat. data'!$D$218:$L$218</c:f>
              <c:numCache>
                <c:formatCode>0%</c:formatCode>
                <c:ptCount val="9"/>
                <c:pt idx="0">
                  <c:v>9.897156035789785E-2</c:v>
                </c:pt>
                <c:pt idx="1">
                  <c:v>0.10121606223060861</c:v>
                </c:pt>
                <c:pt idx="2">
                  <c:v>0.10335637951815917</c:v>
                </c:pt>
                <c:pt idx="3">
                  <c:v>0.1028948474871869</c:v>
                </c:pt>
                <c:pt idx="4">
                  <c:v>0.11031613474361315</c:v>
                </c:pt>
                <c:pt idx="5">
                  <c:v>0.11499643391017933</c:v>
                </c:pt>
                <c:pt idx="6">
                  <c:v>0.11987252618741664</c:v>
                </c:pt>
                <c:pt idx="7">
                  <c:v>0.12495696010459179</c:v>
                </c:pt>
                <c:pt idx="8">
                  <c:v>0.14380271655531601</c:v>
                </c:pt>
              </c:numCache>
            </c:numRef>
          </c:val>
          <c:smooth val="0"/>
          <c:extLst>
            <c:ext xmlns:c16="http://schemas.microsoft.com/office/drawing/2014/chart" uri="{C3380CC4-5D6E-409C-BE32-E72D297353CC}">
              <c16:uniqueId val="{00000004-C08A-40EA-A5DA-5A6EFC845C24}"/>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1535152724705"/>
          <c:y val="8.0557449704387885E-2"/>
          <c:w val="0.72450620821394462"/>
          <c:h val="0.23359453286202525"/>
        </c:manualLayout>
      </c:layout>
      <c:barChart>
        <c:barDir val="col"/>
        <c:grouping val="stacked"/>
        <c:varyColors val="0"/>
        <c:ser>
          <c:idx val="0"/>
          <c:order val="0"/>
          <c:tx>
            <c:strRef>
              <c:f>NSW.!$N$75</c:f>
              <c:strCache>
                <c:ptCount val="1"/>
                <c:pt idx="0">
                  <c:v>Disposal (kt)</c:v>
                </c:pt>
              </c:strCache>
            </c:strRef>
          </c:tx>
          <c:spPr>
            <a:noFill/>
          </c:spPr>
          <c:invertIfNegative val="0"/>
          <c:cat>
            <c:strRef>
              <c:f>NSW.!$B$79:$B$87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NSW.!$D$79:$D$87</c:f>
              <c:numCache>
                <c:formatCode>#,##0</c:formatCode>
                <c:ptCount val="9"/>
                <c:pt idx="0">
                  <c:v>773.0708780098588</c:v>
                </c:pt>
                <c:pt idx="1">
                  <c:v>145.25177252493114</c:v>
                </c:pt>
                <c:pt idx="2">
                  <c:v>1801.6422050122283</c:v>
                </c:pt>
                <c:pt idx="3">
                  <c:v>347.41487451596976</c:v>
                </c:pt>
                <c:pt idx="4">
                  <c:v>496.42708083550252</c:v>
                </c:pt>
                <c:pt idx="5">
                  <c:v>106.49795970083485</c:v>
                </c:pt>
                <c:pt idx="6">
                  <c:v>1189.6515538678175</c:v>
                </c:pt>
                <c:pt idx="7">
                  <c:v>1020.1241918962741</c:v>
                </c:pt>
                <c:pt idx="8">
                  <c:v>801.41209374948153</c:v>
                </c:pt>
              </c:numCache>
            </c:numRef>
          </c:val>
          <c:extLst>
            <c:ext xmlns:c16="http://schemas.microsoft.com/office/drawing/2014/chart" uri="{C3380CC4-5D6E-409C-BE32-E72D297353CC}">
              <c16:uniqueId val="{00000000-A8FD-44C9-88BD-D17C07D9F641}"/>
            </c:ext>
          </c:extLst>
        </c:ser>
        <c:ser>
          <c:idx val="1"/>
          <c:order val="1"/>
          <c:tx>
            <c:strRef>
              <c:f>NSW.!$O$75</c:f>
              <c:strCache>
                <c:ptCount val="1"/>
                <c:pt idx="0">
                  <c:v>Recycling (kt)</c:v>
                </c:pt>
              </c:strCache>
            </c:strRef>
          </c:tx>
          <c:spPr>
            <a:noFill/>
          </c:spPr>
          <c:invertIfNegative val="0"/>
          <c:cat>
            <c:strRef>
              <c:f>NSW.!$B$79:$B$87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NSW.!$E$79:$E$87</c:f>
              <c:numCache>
                <c:formatCode>#,##0</c:formatCode>
                <c:ptCount val="9"/>
                <c:pt idx="0">
                  <c:v>4719.4943088617229</c:v>
                </c:pt>
                <c:pt idx="1">
                  <c:v>1344.945513242681</c:v>
                </c:pt>
                <c:pt idx="2">
                  <c:v>1654.5324014524585</c:v>
                </c:pt>
                <c:pt idx="3">
                  <c:v>706.45059291867074</c:v>
                </c:pt>
                <c:pt idx="4">
                  <c:v>91.7</c:v>
                </c:pt>
                <c:pt idx="5">
                  <c:v>191.82699508216035</c:v>
                </c:pt>
                <c:pt idx="6">
                  <c:v>29.568550653760038</c:v>
                </c:pt>
                <c:pt idx="7">
                  <c:v>781.79744071442337</c:v>
                </c:pt>
                <c:pt idx="8">
                  <c:v>1938.6124953078597</c:v>
                </c:pt>
              </c:numCache>
            </c:numRef>
          </c:val>
          <c:extLst>
            <c:ext xmlns:c16="http://schemas.microsoft.com/office/drawing/2014/chart" uri="{C3380CC4-5D6E-409C-BE32-E72D297353CC}">
              <c16:uniqueId val="{00000001-A8FD-44C9-88BD-D17C07D9F641}"/>
            </c:ext>
          </c:extLst>
        </c:ser>
        <c:ser>
          <c:idx val="2"/>
          <c:order val="2"/>
          <c:tx>
            <c:strRef>
              <c:f>NSW.!$P$75</c:f>
              <c:strCache>
                <c:ptCount val="1"/>
                <c:pt idx="0">
                  <c:v>En recovery (kt)</c:v>
                </c:pt>
              </c:strCache>
            </c:strRef>
          </c:tx>
          <c:spPr>
            <a:noFill/>
          </c:spPr>
          <c:invertIfNegative val="0"/>
          <c:cat>
            <c:strRef>
              <c:f>NSW.!$B$79:$B$87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NSW.!$F$79:$F$87</c:f>
              <c:numCache>
                <c:formatCode>#,##0</c:formatCode>
                <c:ptCount val="9"/>
                <c:pt idx="0">
                  <c:v>0</c:v>
                </c:pt>
                <c:pt idx="1">
                  <c:v>0</c:v>
                </c:pt>
                <c:pt idx="2">
                  <c:v>340.66243387575156</c:v>
                </c:pt>
                <c:pt idx="3">
                  <c:v>109.07909802368268</c:v>
                </c:pt>
                <c:pt idx="4">
                  <c:v>0</c:v>
                </c:pt>
                <c:pt idx="5">
                  <c:v>0</c:v>
                </c:pt>
                <c:pt idx="6">
                  <c:v>371.01913039450295</c:v>
                </c:pt>
                <c:pt idx="7">
                  <c:v>1.2002091564209033E-15</c:v>
                </c:pt>
                <c:pt idx="8">
                  <c:v>0</c:v>
                </c:pt>
              </c:numCache>
            </c:numRef>
          </c:val>
          <c:extLst>
            <c:ext xmlns:c16="http://schemas.microsoft.com/office/drawing/2014/chart" uri="{C3380CC4-5D6E-409C-BE32-E72D297353CC}">
              <c16:uniqueId val="{00000002-A8FD-44C9-88BD-D17C07D9F641}"/>
            </c:ext>
          </c:extLst>
        </c:ser>
        <c:ser>
          <c:idx val="4"/>
          <c:order val="3"/>
          <c:tx>
            <c:strRef>
              <c:f>NSW.!$Q$75</c:f>
              <c:strCache>
                <c:ptCount val="1"/>
                <c:pt idx="0">
                  <c:v>Generation (kt)</c:v>
                </c:pt>
              </c:strCache>
            </c:strRef>
          </c:tx>
          <c:spPr>
            <a:noFill/>
            <a:ln>
              <a:noFill/>
            </a:ln>
          </c:spPr>
          <c:invertIfNegative val="0"/>
          <c:cat>
            <c:strRef>
              <c:f>NSW.!$B$79:$B$87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NSW.!$G$79:$G$87</c:f>
              <c:numCache>
                <c:formatCode>#,##0</c:formatCode>
                <c:ptCount val="9"/>
                <c:pt idx="0">
                  <c:v>5492.5651868715813</c:v>
                </c:pt>
                <c:pt idx="1">
                  <c:v>1490.1972857676121</c:v>
                </c:pt>
                <c:pt idx="2">
                  <c:v>3796.8370403404383</c:v>
                </c:pt>
                <c:pt idx="3">
                  <c:v>1162.9445654583233</c:v>
                </c:pt>
                <c:pt idx="4">
                  <c:v>588.12708083550251</c:v>
                </c:pt>
                <c:pt idx="5">
                  <c:v>298.32495478299518</c:v>
                </c:pt>
                <c:pt idx="6">
                  <c:v>1590.2392349160805</c:v>
                </c:pt>
                <c:pt idx="7">
                  <c:v>1801.9216326106975</c:v>
                </c:pt>
                <c:pt idx="8">
                  <c:v>2740.0245890573415</c:v>
                </c:pt>
              </c:numCache>
            </c:numRef>
          </c:val>
          <c:extLst>
            <c:ext xmlns:c16="http://schemas.microsoft.com/office/drawing/2014/chart" uri="{C3380CC4-5D6E-409C-BE32-E72D297353CC}">
              <c16:uniqueId val="{00000003-A8FD-44C9-88BD-D17C07D9F641}"/>
            </c:ext>
          </c:extLst>
        </c:ser>
        <c:ser>
          <c:idx val="3"/>
          <c:order val="4"/>
          <c:tx>
            <c:strRef>
              <c:f>NSW.!$R$75</c:f>
              <c:strCache>
                <c:ptCount val="1"/>
                <c:pt idx="0">
                  <c:v>Generation (kg/cap)</c:v>
                </c:pt>
              </c:strCache>
            </c:strRef>
          </c:tx>
          <c:spPr>
            <a:noFill/>
          </c:spPr>
          <c:invertIfNegative val="0"/>
          <c:cat>
            <c:strRef>
              <c:f>NSW.!$B$79:$B$87</c:f>
              <c:strCache>
                <c:ptCount val="9"/>
                <c:pt idx="0">
                  <c:v>Masonry mat.</c:v>
                </c:pt>
                <c:pt idx="1">
                  <c:v>Metals</c:v>
                </c:pt>
                <c:pt idx="2">
                  <c:v>Organics</c:v>
                </c:pt>
                <c:pt idx="3">
                  <c:v>Paper &amp; c'board</c:v>
                </c:pt>
                <c:pt idx="4">
                  <c:v>Plastics</c:v>
                </c:pt>
                <c:pt idx="5">
                  <c:v>Glass</c:v>
                </c:pt>
                <c:pt idx="6">
                  <c:v>Other</c:v>
                </c:pt>
                <c:pt idx="7">
                  <c:v>Hazwaste</c:v>
                </c:pt>
                <c:pt idx="8">
                  <c:v>Fly ash</c:v>
                </c:pt>
              </c:strCache>
            </c:strRef>
          </c:cat>
          <c:val>
            <c:numRef>
              <c:f>NSW.!$L$79:$L$87</c:f>
              <c:numCache>
                <c:formatCode>#,##0</c:formatCode>
                <c:ptCount val="9"/>
                <c:pt idx="0">
                  <c:v>726.08549145345467</c:v>
                </c:pt>
                <c:pt idx="1">
                  <c:v>196.99550060605932</c:v>
                </c:pt>
                <c:pt idx="2">
                  <c:v>501.91999450342138</c:v>
                </c:pt>
                <c:pt idx="3">
                  <c:v>153.73457530594681</c:v>
                </c:pt>
                <c:pt idx="4">
                  <c:v>77.747013644230734</c:v>
                </c:pt>
                <c:pt idx="5">
                  <c:v>39.436841263929665</c:v>
                </c:pt>
                <c:pt idx="6">
                  <c:v>210.22047024083946</c:v>
                </c:pt>
                <c:pt idx="7">
                  <c:v>238.20366434648676</c:v>
                </c:pt>
                <c:pt idx="8">
                  <c:v>362.21547358155459</c:v>
                </c:pt>
              </c:numCache>
            </c:numRef>
          </c:val>
          <c:extLst>
            <c:ext xmlns:c16="http://schemas.microsoft.com/office/drawing/2014/chart" uri="{C3380CC4-5D6E-409C-BE32-E72D297353CC}">
              <c16:uniqueId val="{00000004-A8FD-44C9-88BD-D17C07D9F641}"/>
            </c:ext>
          </c:extLst>
        </c:ser>
        <c:dLbls>
          <c:showLegendKey val="0"/>
          <c:showVal val="0"/>
          <c:showCatName val="0"/>
          <c:showSerName val="0"/>
          <c:showPercent val="0"/>
          <c:showBubbleSize val="0"/>
        </c:dLbls>
        <c:gapWidth val="150"/>
        <c:overlap val="100"/>
        <c:axId val="220093056"/>
        <c:axId val="220111232"/>
      </c:barChart>
      <c:catAx>
        <c:axId val="220093056"/>
        <c:scaling>
          <c:orientation val="minMax"/>
        </c:scaling>
        <c:delete val="1"/>
        <c:axPos val="b"/>
        <c:numFmt formatCode="General" sourceLinked="0"/>
        <c:majorTickMark val="none"/>
        <c:minorTickMark val="none"/>
        <c:tickLblPos val="nextTo"/>
        <c:crossAx val="220111232"/>
        <c:crosses val="autoZero"/>
        <c:auto val="1"/>
        <c:lblAlgn val="ctr"/>
        <c:lblOffset val="100"/>
        <c:noMultiLvlLbl val="0"/>
      </c:catAx>
      <c:valAx>
        <c:axId val="220111232"/>
        <c:scaling>
          <c:orientation val="minMax"/>
        </c:scaling>
        <c:delete val="1"/>
        <c:axPos val="l"/>
        <c:numFmt formatCode="#,##0" sourceLinked="0"/>
        <c:majorTickMark val="out"/>
        <c:minorTickMark val="none"/>
        <c:tickLblPos val="nextTo"/>
        <c:crossAx val="220093056"/>
        <c:crosses val="autoZero"/>
        <c:crossBetween val="between"/>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844" l="0.70000000000000062" r="0.70000000000000062" t="0.75000000000000844"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02105974850757"/>
          <c:y val="8.4665301986195887E-2"/>
          <c:w val="0.73388634565056665"/>
          <c:h val="0.11409991273761333"/>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data'!$D$219:$L$219</c:f>
              <c:numCache>
                <c:formatCode>#,##0.00</c:formatCode>
                <c:ptCount val="9"/>
                <c:pt idx="0">
                  <c:v>0.51842943930790297</c:v>
                </c:pt>
                <c:pt idx="1">
                  <c:v>0.52343922420434663</c:v>
                </c:pt>
                <c:pt idx="2">
                  <c:v>0.52844900910079018</c:v>
                </c:pt>
                <c:pt idx="3">
                  <c:v>0.55699148877092075</c:v>
                </c:pt>
                <c:pt idx="4">
                  <c:v>0.51423640355141531</c:v>
                </c:pt>
                <c:pt idx="5">
                  <c:v>0.49823274060214739</c:v>
                </c:pt>
                <c:pt idx="6">
                  <c:v>0.48222907765287948</c:v>
                </c:pt>
                <c:pt idx="7">
                  <c:v>0.46622541470361162</c:v>
                </c:pt>
                <c:pt idx="8">
                  <c:v>0.46612295505867557</c:v>
                </c:pt>
              </c:numCache>
            </c:numRef>
          </c:val>
          <c:extLst>
            <c:ext xmlns:c16="http://schemas.microsoft.com/office/drawing/2014/chart" uri="{C3380CC4-5D6E-409C-BE32-E72D297353CC}">
              <c16:uniqueId val="{00000000-A97A-40B7-AD6B-4745207F310C}"/>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data'!$D$220:$L$220</c:f>
              <c:numCache>
                <c:formatCode>#,##0.00</c:formatCode>
                <c:ptCount val="9"/>
                <c:pt idx="0">
                  <c:v>0.73755934441585713</c:v>
                </c:pt>
                <c:pt idx="1">
                  <c:v>0.77547985219072746</c:v>
                </c:pt>
                <c:pt idx="2">
                  <c:v>0.81340035996559779</c:v>
                </c:pt>
                <c:pt idx="3">
                  <c:v>0.72258869614465482</c:v>
                </c:pt>
                <c:pt idx="4">
                  <c:v>0.70153719146501725</c:v>
                </c:pt>
                <c:pt idx="5">
                  <c:v>0.65739314638259005</c:v>
                </c:pt>
                <c:pt idx="6">
                  <c:v>0.61324910130016286</c:v>
                </c:pt>
                <c:pt idx="7">
                  <c:v>0.56910505621773577</c:v>
                </c:pt>
                <c:pt idx="8">
                  <c:v>0.6020176590864128</c:v>
                </c:pt>
              </c:numCache>
            </c:numRef>
          </c:val>
          <c:extLst>
            <c:ext xmlns:c16="http://schemas.microsoft.com/office/drawing/2014/chart" uri="{C3380CC4-5D6E-409C-BE32-E72D297353CC}">
              <c16:uniqueId val="{00000001-A97A-40B7-AD6B-4745207F310C}"/>
            </c:ext>
          </c:extLst>
        </c:ser>
        <c:ser>
          <c:idx val="4"/>
          <c:order val="2"/>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data'!$D$221:$L$221</c:f>
              <c:numCache>
                <c:formatCode>#,##0.00</c:formatCode>
                <c:ptCount val="9"/>
                <c:pt idx="0">
                  <c:v>1.25598878372376</c:v>
                </c:pt>
                <c:pt idx="1">
                  <c:v>1.298919076395074</c:v>
                </c:pt>
                <c:pt idx="2">
                  <c:v>1.341849369066388</c:v>
                </c:pt>
                <c:pt idx="3">
                  <c:v>1.2795801849155755</c:v>
                </c:pt>
                <c:pt idx="4">
                  <c:v>1.2157735950164326</c:v>
                </c:pt>
                <c:pt idx="5">
                  <c:v>1.1556258869847373</c:v>
                </c:pt>
                <c:pt idx="6">
                  <c:v>1.0954781789530423</c:v>
                </c:pt>
                <c:pt idx="7">
                  <c:v>1.0353304709213473</c:v>
                </c:pt>
                <c:pt idx="8">
                  <c:v>1.0681406141450884</c:v>
                </c:pt>
              </c:numCache>
            </c:numRef>
          </c:val>
          <c:extLst>
            <c:ext xmlns:c16="http://schemas.microsoft.com/office/drawing/2014/chart" uri="{C3380CC4-5D6E-409C-BE32-E72D297353CC}">
              <c16:uniqueId val="{00000002-A97A-40B7-AD6B-4745207F310C}"/>
            </c:ext>
          </c:extLst>
        </c:ser>
        <c:ser>
          <c:idx val="3"/>
          <c:order val="4"/>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data'!$Q$221:$Y$221</c:f>
              <c:numCache>
                <c:formatCode>0</c:formatCode>
                <c:ptCount val="9"/>
                <c:pt idx="0">
                  <c:v>60.888906651079743</c:v>
                </c:pt>
                <c:pt idx="1">
                  <c:v>61.805843066618912</c:v>
                </c:pt>
                <c:pt idx="2">
                  <c:v>62.482436206927062</c:v>
                </c:pt>
                <c:pt idx="3">
                  <c:v>58.520179594954861</c:v>
                </c:pt>
                <c:pt idx="4">
                  <c:v>54.832576156332998</c:v>
                </c:pt>
                <c:pt idx="5">
                  <c:v>51.314857689038462</c:v>
                </c:pt>
                <c:pt idx="6">
                  <c:v>47.79406803170825</c:v>
                </c:pt>
                <c:pt idx="7">
                  <c:v>44.461997573765956</c:v>
                </c:pt>
                <c:pt idx="8">
                  <c:v>45.232969483625993</c:v>
                </c:pt>
              </c:numCache>
            </c:numRef>
          </c:val>
          <c:extLst>
            <c:ext xmlns:c16="http://schemas.microsoft.com/office/drawing/2014/chart" uri="{C3380CC4-5D6E-409C-BE32-E72D297353CC}">
              <c16:uniqueId val="{00000004-A97A-40B7-AD6B-4745207F310C}"/>
            </c:ext>
          </c:extLst>
        </c:ser>
        <c:dLbls>
          <c:showLegendKey val="0"/>
          <c:showVal val="0"/>
          <c:showCatName val="0"/>
          <c:showSerName val="0"/>
          <c:showPercent val="0"/>
          <c:showBubbleSize val="0"/>
        </c:dLbls>
        <c:axId val="228272768"/>
        <c:axId val="228291328"/>
      </c:areaChart>
      <c:lineChart>
        <c:grouping val="stacked"/>
        <c:varyColors val="0"/>
        <c:ser>
          <c:idx val="5"/>
          <c:order val="3"/>
          <c:tx>
            <c:strRef>
              <c:f>'Trends and nat. data'!$C$117</c:f>
              <c:strCache>
                <c:ptCount val="1"/>
                <c:pt idx="0">
                  <c:v>Recovery rate</c:v>
                </c:pt>
              </c:strCache>
            </c:strRef>
          </c:tx>
          <c:spPr>
            <a:ln w="28575">
              <a:noFill/>
            </a:ln>
          </c:spPr>
          <c:marker>
            <c:spPr>
              <a:noFill/>
              <a:ln>
                <a:noFill/>
              </a:ln>
            </c:spPr>
          </c:marker>
          <c:val>
            <c:numRef>
              <c:f>'Trends and nat. data'!$D$222:$L$222</c:f>
              <c:numCache>
                <c:formatCode>0%</c:formatCode>
                <c:ptCount val="9"/>
                <c:pt idx="0">
                  <c:v>0.58723402149272275</c:v>
                </c:pt>
                <c:pt idx="1">
                  <c:v>0.59701937271022154</c:v>
                </c:pt>
                <c:pt idx="2">
                  <c:v>0.60617859106759009</c:v>
                </c:pt>
                <c:pt idx="3">
                  <c:v>0.56470763197409934</c:v>
                </c:pt>
                <c:pt idx="4">
                  <c:v>0.57702946859570114</c:v>
                </c:pt>
                <c:pt idx="5">
                  <c:v>0.56886329199310537</c:v>
                </c:pt>
                <c:pt idx="6">
                  <c:v>0.55980038040214564</c:v>
                </c:pt>
                <c:pt idx="7">
                  <c:v>0.5496844458864284</c:v>
                </c:pt>
                <c:pt idx="8">
                  <c:v>0.56361274078905033</c:v>
                </c:pt>
              </c:numCache>
            </c:numRef>
          </c:val>
          <c:smooth val="0"/>
          <c:extLst>
            <c:ext xmlns:c16="http://schemas.microsoft.com/office/drawing/2014/chart" uri="{C3380CC4-5D6E-409C-BE32-E72D297353CC}">
              <c16:uniqueId val="{00000003-A97A-40B7-AD6B-4745207F310C}"/>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102105974850757"/>
          <c:y val="8.4665301986195887E-2"/>
          <c:w val="0.73388634565056665"/>
          <c:h val="0.11409991273761333"/>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data'!$D$232:$L$232</c:f>
              <c:numCache>
                <c:formatCode>#,##0.0</c:formatCode>
                <c:ptCount val="9"/>
                <c:pt idx="0">
                  <c:v>10.074337</c:v>
                </c:pt>
                <c:pt idx="1">
                  <c:v>9.8215197500000002</c:v>
                </c:pt>
                <c:pt idx="2">
                  <c:v>9.5687024999999988</c:v>
                </c:pt>
                <c:pt idx="3">
                  <c:v>8.6734475</c:v>
                </c:pt>
                <c:pt idx="4">
                  <c:v>7.6628905000000005</c:v>
                </c:pt>
                <c:pt idx="5">
                  <c:v>6.8975095000000008</c:v>
                </c:pt>
                <c:pt idx="6">
                  <c:v>6.1321285000000012</c:v>
                </c:pt>
                <c:pt idx="7">
                  <c:v>5.3667475000000007</c:v>
                </c:pt>
                <c:pt idx="8">
                  <c:v>5.9383155000000007</c:v>
                </c:pt>
              </c:numCache>
            </c:numRef>
          </c:val>
          <c:extLst>
            <c:ext xmlns:c16="http://schemas.microsoft.com/office/drawing/2014/chart" uri="{C3380CC4-5D6E-409C-BE32-E72D297353CC}">
              <c16:uniqueId val="{00000000-4528-436D-A8F8-836A1E1CC039}"/>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data'!$D$233:$L$233</c:f>
              <c:numCache>
                <c:formatCode>#,##0.0</c:formatCode>
                <c:ptCount val="9"/>
                <c:pt idx="0">
                  <c:v>4.1830423336933649</c:v>
                </c:pt>
                <c:pt idx="1">
                  <c:v>4.4131711668466824</c:v>
                </c:pt>
                <c:pt idx="2">
                  <c:v>4.6433</c:v>
                </c:pt>
                <c:pt idx="3">
                  <c:v>5.257509999999999</c:v>
                </c:pt>
                <c:pt idx="4">
                  <c:v>5.9383060000000008</c:v>
                </c:pt>
                <c:pt idx="5">
                  <c:v>5.8092488333333341</c:v>
                </c:pt>
                <c:pt idx="6">
                  <c:v>5.6801916666666674</c:v>
                </c:pt>
                <c:pt idx="7">
                  <c:v>5.5511344999999999</c:v>
                </c:pt>
                <c:pt idx="8">
                  <c:v>4.9152464999999994</c:v>
                </c:pt>
              </c:numCache>
            </c:numRef>
          </c:val>
          <c:extLst>
            <c:ext xmlns:c16="http://schemas.microsoft.com/office/drawing/2014/chart" uri="{C3380CC4-5D6E-409C-BE32-E72D297353CC}">
              <c16:uniqueId val="{00000001-4528-436D-A8F8-836A1E1CC039}"/>
            </c:ext>
          </c:extLst>
        </c:ser>
        <c:ser>
          <c:idx val="4"/>
          <c:order val="2"/>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data'!$D$234:$L$234</c:f>
              <c:numCache>
                <c:formatCode>#,##0.0</c:formatCode>
                <c:ptCount val="9"/>
                <c:pt idx="0">
                  <c:v>14.257379333693365</c:v>
                </c:pt>
                <c:pt idx="1">
                  <c:v>14.234690916846683</c:v>
                </c:pt>
                <c:pt idx="2">
                  <c:v>14.212002499999999</c:v>
                </c:pt>
                <c:pt idx="3">
                  <c:v>13.930957499999998</c:v>
                </c:pt>
                <c:pt idx="4">
                  <c:v>13.6011965</c:v>
                </c:pt>
                <c:pt idx="5">
                  <c:v>12.706758333333335</c:v>
                </c:pt>
                <c:pt idx="6">
                  <c:v>11.81232016666667</c:v>
                </c:pt>
                <c:pt idx="7">
                  <c:v>10.917882000000001</c:v>
                </c:pt>
                <c:pt idx="8">
                  <c:v>10.853562</c:v>
                </c:pt>
              </c:numCache>
            </c:numRef>
          </c:val>
          <c:extLst>
            <c:ext xmlns:c16="http://schemas.microsoft.com/office/drawing/2014/chart" uri="{C3380CC4-5D6E-409C-BE32-E72D297353CC}">
              <c16:uniqueId val="{00000002-4528-436D-A8F8-836A1E1CC039}"/>
            </c:ext>
          </c:extLst>
        </c:ser>
        <c:ser>
          <c:idx val="3"/>
          <c:order val="4"/>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data'!$Q$234:$Y$234</c:f>
              <c:numCache>
                <c:formatCode>0</c:formatCode>
                <c:ptCount val="9"/>
                <c:pt idx="0">
                  <c:v>691.18152215061559</c:v>
                </c:pt>
                <c:pt idx="1">
                  <c:v>677.32246673145266</c:v>
                </c:pt>
                <c:pt idx="2">
                  <c:v>661.77363871831426</c:v>
                </c:pt>
                <c:pt idx="3">
                  <c:v>637.11687977058773</c:v>
                </c:pt>
                <c:pt idx="4">
                  <c:v>613.42724168427083</c:v>
                </c:pt>
                <c:pt idx="5">
                  <c:v>564.2357988927738</c:v>
                </c:pt>
                <c:pt idx="6">
                  <c:v>515.35379207419692</c:v>
                </c:pt>
                <c:pt idx="7">
                  <c:v>468.86560052914797</c:v>
                </c:pt>
                <c:pt idx="8">
                  <c:v>459.62004649320187</c:v>
                </c:pt>
              </c:numCache>
            </c:numRef>
          </c:val>
          <c:extLst>
            <c:ext xmlns:c16="http://schemas.microsoft.com/office/drawing/2014/chart" uri="{C3380CC4-5D6E-409C-BE32-E72D297353CC}">
              <c16:uniqueId val="{00000004-4528-436D-A8F8-836A1E1CC039}"/>
            </c:ext>
          </c:extLst>
        </c:ser>
        <c:dLbls>
          <c:showLegendKey val="0"/>
          <c:showVal val="0"/>
          <c:showCatName val="0"/>
          <c:showSerName val="0"/>
          <c:showPercent val="0"/>
          <c:showBubbleSize val="0"/>
        </c:dLbls>
        <c:axId val="228272768"/>
        <c:axId val="228291328"/>
      </c:areaChart>
      <c:lineChart>
        <c:grouping val="stacked"/>
        <c:varyColors val="0"/>
        <c:ser>
          <c:idx val="5"/>
          <c:order val="3"/>
          <c:tx>
            <c:strRef>
              <c:f>'Trends and nat. data'!$C$117</c:f>
              <c:strCache>
                <c:ptCount val="1"/>
                <c:pt idx="0">
                  <c:v>Recovery rate</c:v>
                </c:pt>
              </c:strCache>
            </c:strRef>
          </c:tx>
          <c:spPr>
            <a:ln w="28575">
              <a:noFill/>
            </a:ln>
          </c:spPr>
          <c:marker>
            <c:spPr>
              <a:noFill/>
              <a:ln>
                <a:noFill/>
              </a:ln>
            </c:spPr>
          </c:marker>
          <c:val>
            <c:numRef>
              <c:f>'Trends and nat. data'!$D$235:$L$235</c:f>
              <c:numCache>
                <c:formatCode>0%</c:formatCode>
                <c:ptCount val="9"/>
                <c:pt idx="0">
                  <c:v>0.29339489648058276</c:v>
                </c:pt>
                <c:pt idx="1">
                  <c:v>0.31002929340908397</c:v>
                </c:pt>
                <c:pt idx="2">
                  <c:v>0.32671680152040505</c:v>
                </c:pt>
                <c:pt idx="3">
                  <c:v>0.37739760529741045</c:v>
                </c:pt>
                <c:pt idx="4">
                  <c:v>0.43660173573699934</c:v>
                </c:pt>
                <c:pt idx="5">
                  <c:v>0.45717787975034285</c:v>
                </c:pt>
                <c:pt idx="6">
                  <c:v>0.48087010735584951</c:v>
                </c:pt>
                <c:pt idx="7">
                  <c:v>0.50844426602155979</c:v>
                </c:pt>
                <c:pt idx="8">
                  <c:v>0.4528694358589373</c:v>
                </c:pt>
              </c:numCache>
            </c:numRef>
          </c:val>
          <c:smooth val="0"/>
          <c:extLst>
            <c:ext xmlns:c16="http://schemas.microsoft.com/office/drawing/2014/chart" uri="{C3380CC4-5D6E-409C-BE32-E72D297353CC}">
              <c16:uniqueId val="{00000003-4528-436D-A8F8-836A1E1CC039}"/>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652008825975433"/>
          <c:y val="0.11008504574192583"/>
          <c:w val="0.62359730639730637"/>
          <c:h val="0.51645184197454652"/>
        </c:manualLayout>
      </c:layout>
      <c:barChart>
        <c:barDir val="col"/>
        <c:grouping val="stacked"/>
        <c:varyColors val="0"/>
        <c:ser>
          <c:idx val="0"/>
          <c:order val="0"/>
          <c:tx>
            <c:strRef>
              <c:f>'Trends and nat. data'!$C$57</c:f>
              <c:strCache>
                <c:ptCount val="1"/>
                <c:pt idx="0">
                  <c:v>Disposal</c:v>
                </c:pt>
              </c:strCache>
            </c:strRef>
          </c:tx>
          <c:spPr>
            <a:solidFill>
              <a:schemeClr val="accent3">
                <a:lumMod val="50000"/>
              </a:schemeClr>
            </a:solidFill>
          </c:spPr>
          <c:invertIfNegative val="0"/>
          <c:cat>
            <c:strRef>
              <c:f>'Trends and nat. data'!$M$56:$N$56</c:f>
              <c:strCache>
                <c:ptCount val="2"/>
                <c:pt idx="0">
                  <c:v>Non-hazardous organics</c:v>
                </c:pt>
                <c:pt idx="1">
                  <c:v>All organics</c:v>
                </c:pt>
              </c:strCache>
            </c:strRef>
          </c:cat>
          <c:val>
            <c:numRef>
              <c:f>'Trends and nat. data'!$M$57:$N$57</c:f>
              <c:numCache>
                <c:formatCode>#,##0.0</c:formatCode>
                <c:ptCount val="2"/>
                <c:pt idx="0" formatCode="0.0">
                  <c:v>6.2364638260746217</c:v>
                </c:pt>
                <c:pt idx="1">
                  <c:v>6.3117115767925043</c:v>
                </c:pt>
              </c:numCache>
            </c:numRef>
          </c:val>
          <c:extLst>
            <c:ext xmlns:c16="http://schemas.microsoft.com/office/drawing/2014/chart" uri="{C3380CC4-5D6E-409C-BE32-E72D297353CC}">
              <c16:uniqueId val="{00000000-CD21-45AD-BC6B-514151F16127}"/>
            </c:ext>
          </c:extLst>
        </c:ser>
        <c:ser>
          <c:idx val="1"/>
          <c:order val="1"/>
          <c:tx>
            <c:strRef>
              <c:f>'Trends and nat. data'!$C$58</c:f>
              <c:strCache>
                <c:ptCount val="1"/>
                <c:pt idx="0">
                  <c:v>Recycling</c:v>
                </c:pt>
              </c:strCache>
            </c:strRef>
          </c:tx>
          <c:spPr>
            <a:solidFill>
              <a:srgbClr val="FFFF00"/>
            </a:solidFill>
          </c:spPr>
          <c:invertIfNegative val="0"/>
          <c:cat>
            <c:strRef>
              <c:f>'Trends and nat. data'!$M$56:$N$56</c:f>
              <c:strCache>
                <c:ptCount val="2"/>
                <c:pt idx="0">
                  <c:v>Non-hazardous organics</c:v>
                </c:pt>
                <c:pt idx="1">
                  <c:v>All organics</c:v>
                </c:pt>
              </c:strCache>
            </c:strRef>
          </c:cat>
          <c:val>
            <c:numRef>
              <c:f>'Trends and nat. data'!$M$58:$N$58</c:f>
              <c:numCache>
                <c:formatCode>#,##0.0</c:formatCode>
                <c:ptCount val="2"/>
                <c:pt idx="0" formatCode="0.0">
                  <c:v>5.2104645639640639</c:v>
                </c:pt>
                <c:pt idx="1">
                  <c:v>7.3665311298185916</c:v>
                </c:pt>
              </c:numCache>
            </c:numRef>
          </c:val>
          <c:extLst>
            <c:ext xmlns:c16="http://schemas.microsoft.com/office/drawing/2014/chart" uri="{C3380CC4-5D6E-409C-BE32-E72D297353CC}">
              <c16:uniqueId val="{00000001-CD21-45AD-BC6B-514151F16127}"/>
            </c:ext>
          </c:extLst>
        </c:ser>
        <c:ser>
          <c:idx val="2"/>
          <c:order val="2"/>
          <c:tx>
            <c:strRef>
              <c:f>'Trends and nat. data'!$C$59</c:f>
              <c:strCache>
                <c:ptCount val="1"/>
                <c:pt idx="0">
                  <c:v>Energy recovery</c:v>
                </c:pt>
              </c:strCache>
            </c:strRef>
          </c:tx>
          <c:spPr>
            <a:solidFill>
              <a:schemeClr val="accent6">
                <a:lumMod val="75000"/>
              </a:schemeClr>
            </a:solidFill>
          </c:spPr>
          <c:invertIfNegative val="0"/>
          <c:cat>
            <c:strRef>
              <c:f>'Trends and nat. data'!$M$56:$N$56</c:f>
              <c:strCache>
                <c:ptCount val="2"/>
                <c:pt idx="0">
                  <c:v>Non-hazardous organics</c:v>
                </c:pt>
                <c:pt idx="1">
                  <c:v>All organics</c:v>
                </c:pt>
              </c:strCache>
            </c:strRef>
          </c:cat>
          <c:val>
            <c:numRef>
              <c:f>'Trends and nat. data'!$M$59:$N$59</c:f>
              <c:numCache>
                <c:formatCode>#,##0.0</c:formatCode>
                <c:ptCount val="2"/>
                <c:pt idx="0" formatCode="0.0">
                  <c:v>1.3600198783885851</c:v>
                </c:pt>
                <c:pt idx="1">
                  <c:v>1.360019878388594</c:v>
                </c:pt>
              </c:numCache>
            </c:numRef>
          </c:val>
          <c:extLst>
            <c:ext xmlns:c16="http://schemas.microsoft.com/office/drawing/2014/chart" uri="{C3380CC4-5D6E-409C-BE32-E72D297353CC}">
              <c16:uniqueId val="{00000002-CD21-45AD-BC6B-514151F16127}"/>
            </c:ext>
          </c:extLst>
        </c:ser>
        <c:ser>
          <c:idx val="3"/>
          <c:order val="3"/>
          <c:tx>
            <c:strRef>
              <c:f>'Trends and nat. data'!$C$60</c:f>
              <c:strCache>
                <c:ptCount val="1"/>
                <c:pt idx="0">
                  <c:v>Recovery rate</c:v>
                </c:pt>
              </c:strCache>
            </c:strRef>
          </c:tx>
          <c:spPr>
            <a:noFill/>
          </c:spPr>
          <c:invertIfNegative val="0"/>
          <c:dLbls>
            <c:dLbl>
              <c:idx val="0"/>
              <c:layout>
                <c:manualLayout>
                  <c:x val="-2.1380471380471771E-3"/>
                  <c:y val="-1.4076543209876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21-45AD-BC6B-514151F16127}"/>
                </c:ext>
              </c:extLst>
            </c:dLbl>
            <c:dLbl>
              <c:idx val="1"/>
              <c:layout>
                <c:manualLayout>
                  <c:x val="2.1380885050700836E-3"/>
                  <c:y val="-3.04760017489606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21-45AD-BC6B-514151F16127}"/>
                </c:ext>
              </c:extLst>
            </c:dLbl>
            <c:dLbl>
              <c:idx val="2"/>
              <c:layout>
                <c:manualLayout>
                  <c:x val="-1.4193025141930251E-5"/>
                  <c:y val="-3.0018421052631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21-45AD-BC6B-514151F16127}"/>
                </c:ext>
              </c:extLst>
            </c:dLbl>
            <c:spPr>
              <a:noFill/>
              <a:ln>
                <a:noFill/>
              </a:ln>
              <a:effectLst/>
            </c:spPr>
            <c:txPr>
              <a:bodyPr wrap="square" lIns="38100" tIns="19050" rIns="38100" bIns="19050" anchor="ctr">
                <a:spAutoFit/>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'Trends and nat. data'!$M$56:$N$56</c:f>
              <c:strCache>
                <c:ptCount val="2"/>
                <c:pt idx="0">
                  <c:v>Non-hazardous organics</c:v>
                </c:pt>
                <c:pt idx="1">
                  <c:v>All organics</c:v>
                </c:pt>
              </c:strCache>
            </c:strRef>
          </c:cat>
          <c:val>
            <c:numRef>
              <c:f>'Trends and nat. data'!$M$60:$N$60</c:f>
              <c:numCache>
                <c:formatCode>0%</c:formatCode>
                <c:ptCount val="2"/>
                <c:pt idx="0">
                  <c:v>0.5130406014484139</c:v>
                </c:pt>
                <c:pt idx="1">
                  <c:v>0.58028984125544614</c:v>
                </c:pt>
              </c:numCache>
            </c:numRef>
          </c:val>
          <c:extLst>
            <c:ext xmlns:c16="http://schemas.microsoft.com/office/drawing/2014/chart" uri="{C3380CC4-5D6E-409C-BE32-E72D297353CC}">
              <c16:uniqueId val="{00000006-CD21-45AD-BC6B-514151F16127}"/>
            </c:ext>
          </c:extLst>
        </c:ser>
        <c:dLbls>
          <c:showLegendKey val="0"/>
          <c:showVal val="0"/>
          <c:showCatName val="0"/>
          <c:showSerName val="0"/>
          <c:showPercent val="0"/>
          <c:showBubbleSize val="0"/>
        </c:dLbls>
        <c:gapWidth val="150"/>
        <c:overlap val="100"/>
        <c:axId val="219379584"/>
        <c:axId val="219381120"/>
      </c:barChart>
      <c:lineChart>
        <c:grouping val="stacked"/>
        <c:varyColors val="0"/>
        <c:ser>
          <c:idx val="4"/>
          <c:order val="4"/>
          <c:tx>
            <c:v>Generation per cap</c:v>
          </c:tx>
          <c:spPr>
            <a:ln>
              <a:noFill/>
            </a:ln>
          </c:spPr>
          <c:marker>
            <c:symbol val="none"/>
          </c:marker>
          <c:val>
            <c:numRef>
              <c:f>'Trends and nat. data'!$M$62:$N$62</c:f>
              <c:numCache>
                <c:formatCode>0</c:formatCode>
                <c:ptCount val="2"/>
                <c:pt idx="0">
                  <c:v>542.34086086858611</c:v>
                </c:pt>
                <c:pt idx="1">
                  <c:v>636.83120329478334</c:v>
                </c:pt>
              </c:numCache>
            </c:numRef>
          </c:val>
          <c:smooth val="0"/>
          <c:extLst>
            <c:ext xmlns:c16="http://schemas.microsoft.com/office/drawing/2014/chart" uri="{C3380CC4-5D6E-409C-BE32-E72D297353CC}">
              <c16:uniqueId val="{00000000-EF9A-4549-A8E5-D2D6F741D596}"/>
            </c:ext>
          </c:extLst>
        </c:ser>
        <c:dLbls>
          <c:showLegendKey val="0"/>
          <c:showVal val="0"/>
          <c:showCatName val="0"/>
          <c:showSerName val="0"/>
          <c:showPercent val="0"/>
          <c:showBubbleSize val="0"/>
        </c:dLbls>
        <c:marker val="1"/>
        <c:smooth val="0"/>
        <c:axId val="361839272"/>
        <c:axId val="361838944"/>
      </c:lineChart>
      <c:catAx>
        <c:axId val="21937958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381120"/>
        <c:crosses val="autoZero"/>
        <c:auto val="1"/>
        <c:lblAlgn val="ctr"/>
        <c:lblOffset val="100"/>
        <c:noMultiLvlLbl val="0"/>
      </c:catAx>
      <c:valAx>
        <c:axId val="219381120"/>
        <c:scaling>
          <c:orientation val="minMax"/>
          <c:max val="16"/>
          <c:min val="0"/>
        </c:scaling>
        <c:delete val="0"/>
        <c:axPos val="l"/>
        <c:majorGridlines>
          <c:spPr>
            <a:ln w="2540"/>
          </c:spPr>
        </c:majorGridlines>
        <c:title>
          <c:tx>
            <c:rich>
              <a:bodyPr/>
              <a:lstStyle/>
              <a:p>
                <a:pPr>
                  <a:defRPr/>
                </a:pPr>
                <a:r>
                  <a:rPr lang="en-AU"/>
                  <a:t>Megatonnes</a:t>
                </a:r>
                <a:r>
                  <a:rPr lang="en-AU" baseline="0"/>
                  <a:t> (Mt)</a:t>
                </a:r>
                <a:endParaRPr lang="en-AU"/>
              </a:p>
            </c:rich>
          </c:tx>
          <c:layout>
            <c:manualLayout>
              <c:xMode val="edge"/>
              <c:yMode val="edge"/>
              <c:x val="0.15613493511759938"/>
              <c:y val="0.20185994152046782"/>
            </c:manualLayout>
          </c:layout>
          <c:overlay val="0"/>
        </c:title>
        <c:numFmt formatCode="#,##0" sourceLinked="0"/>
        <c:majorTickMark val="out"/>
        <c:minorTickMark val="none"/>
        <c:tickLblPos val="nextTo"/>
        <c:spPr>
          <a:ln>
            <a:noFill/>
          </a:ln>
        </c:spPr>
        <c:crossAx val="219379584"/>
        <c:crosses val="autoZero"/>
        <c:crossBetween val="between"/>
      </c:valAx>
      <c:valAx>
        <c:axId val="361838944"/>
        <c:scaling>
          <c:orientation val="minMax"/>
          <c:min val="0"/>
        </c:scaling>
        <c:delete val="0"/>
        <c:axPos val="r"/>
        <c:title>
          <c:tx>
            <c:rich>
              <a:bodyPr/>
              <a:lstStyle/>
              <a:p>
                <a:pPr>
                  <a:defRPr/>
                </a:pPr>
                <a:r>
                  <a:rPr lang="en-AU"/>
                  <a:t>Kg per capita</a:t>
                </a:r>
              </a:p>
            </c:rich>
          </c:tx>
          <c:layout>
            <c:manualLayout>
              <c:xMode val="edge"/>
              <c:yMode val="edge"/>
              <c:x val="0.93231650446066494"/>
              <c:y val="0.23289532163742691"/>
            </c:manualLayout>
          </c:layout>
          <c:overlay val="0"/>
        </c:title>
        <c:numFmt formatCode="#,##0;\-#,##0;;" sourceLinked="0"/>
        <c:majorTickMark val="out"/>
        <c:minorTickMark val="none"/>
        <c:tickLblPos val="nextTo"/>
        <c:spPr>
          <a:ln>
            <a:noFill/>
          </a:ln>
        </c:spPr>
        <c:crossAx val="361839272"/>
        <c:crosses val="max"/>
        <c:crossBetween val="between"/>
        <c:majorUnit val="84"/>
      </c:valAx>
      <c:catAx>
        <c:axId val="361839272"/>
        <c:scaling>
          <c:orientation val="minMax"/>
        </c:scaling>
        <c:delete val="1"/>
        <c:axPos val="b"/>
        <c:majorTickMark val="out"/>
        <c:minorTickMark val="none"/>
        <c:tickLblPos val="nextTo"/>
        <c:crossAx val="361838944"/>
        <c:crossesAt val="0"/>
        <c:auto val="1"/>
        <c:lblAlgn val="ctr"/>
        <c:lblOffset val="100"/>
        <c:noMultiLvlLbl val="0"/>
      </c:catAx>
    </c:plotArea>
    <c:legend>
      <c:legendPos val="t"/>
      <c:legendEntry>
        <c:idx val="3"/>
        <c:delete val="1"/>
      </c:legendEntry>
      <c:legendEntry>
        <c:idx val="4"/>
        <c:delete val="1"/>
      </c:legendEntry>
      <c:layout>
        <c:manualLayout>
          <c:xMode val="edge"/>
          <c:yMode val="edge"/>
          <c:x val="0.33900192619626929"/>
          <c:y val="2.1354093567251462E-2"/>
          <c:w val="0.4386014801297648"/>
          <c:h val="6.3436549707602333E-2"/>
        </c:manualLayout>
      </c:layout>
      <c:overlay val="0"/>
    </c:legend>
    <c:plotVisOnly val="1"/>
    <c:dispBlanksAs val="gap"/>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59380913760476"/>
          <c:y val="9.46976401179941E-2"/>
          <c:w val="0.65188615166261155"/>
          <c:h val="0.56478121927236968"/>
        </c:manualLayout>
      </c:layout>
      <c:areaChart>
        <c:grouping val="stacked"/>
        <c:varyColors val="0"/>
        <c:ser>
          <c:idx val="0"/>
          <c:order val="0"/>
          <c:tx>
            <c:strRef>
              <c:f>'Trends and nat. data'!$C$165</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data'!$D$165:$L$165</c:f>
              <c:numCache>
                <c:formatCode>#,##0</c:formatCode>
                <c:ptCount val="9"/>
                <c:pt idx="0">
                  <c:v>19.199545570315927</c:v>
                </c:pt>
                <c:pt idx="1">
                  <c:v>20.20015613068108</c:v>
                </c:pt>
                <c:pt idx="2">
                  <c:v>21.200766691046226</c:v>
                </c:pt>
                <c:pt idx="3">
                  <c:v>19.866375444182339</c:v>
                </c:pt>
                <c:pt idx="4">
                  <c:v>18.662828806071019</c:v>
                </c:pt>
                <c:pt idx="5">
                  <c:v>19.134318601929532</c:v>
                </c:pt>
                <c:pt idx="6">
                  <c:v>19.605808397788039</c:v>
                </c:pt>
                <c:pt idx="7">
                  <c:v>19.974474728559709</c:v>
                </c:pt>
                <c:pt idx="8">
                  <c:v>20.851354552573728</c:v>
                </c:pt>
              </c:numCache>
            </c:numRef>
          </c:val>
          <c:extLst>
            <c:ext xmlns:c16="http://schemas.microsoft.com/office/drawing/2014/chart" uri="{C3380CC4-5D6E-409C-BE32-E72D297353CC}">
              <c16:uniqueId val="{00000000-BC3C-4006-B500-324D569B923D}"/>
            </c:ext>
          </c:extLst>
        </c:ser>
        <c:ser>
          <c:idx val="1"/>
          <c:order val="1"/>
          <c:tx>
            <c:strRef>
              <c:f>'Trends and nat. data'!$C$166</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data'!$D$166:$L$166</c:f>
              <c:numCache>
                <c:formatCode>#,##0</c:formatCode>
                <c:ptCount val="9"/>
                <c:pt idx="0">
                  <c:v>22.57463206136239</c:v>
                </c:pt>
                <c:pt idx="1">
                  <c:v>23.309008490774552</c:v>
                </c:pt>
                <c:pt idx="2">
                  <c:v>24.043384920186718</c:v>
                </c:pt>
                <c:pt idx="3">
                  <c:v>25.51240248866393</c:v>
                </c:pt>
                <c:pt idx="4">
                  <c:v>27.069408769962674</c:v>
                </c:pt>
                <c:pt idx="5">
                  <c:v>27.902715669941152</c:v>
                </c:pt>
                <c:pt idx="6">
                  <c:v>28.736022569919633</c:v>
                </c:pt>
                <c:pt idx="7">
                  <c:v>29.569329469898111</c:v>
                </c:pt>
                <c:pt idx="8">
                  <c:v>29.855358424866658</c:v>
                </c:pt>
              </c:numCache>
            </c:numRef>
          </c:val>
          <c:extLst>
            <c:ext xmlns:c16="http://schemas.microsoft.com/office/drawing/2014/chart" uri="{C3380CC4-5D6E-409C-BE32-E72D297353CC}">
              <c16:uniqueId val="{00000001-BC3C-4006-B500-324D569B923D}"/>
            </c:ext>
          </c:extLst>
        </c:ser>
        <c:ser>
          <c:idx val="2"/>
          <c:order val="2"/>
          <c:tx>
            <c:strRef>
              <c:f>'Trends and nat. data'!$C$167</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data'!$D$167:$L$167</c:f>
              <c:numCache>
                <c:formatCode>#,##0.0</c:formatCode>
                <c:ptCount val="9"/>
                <c:pt idx="0">
                  <c:v>1.3680336551714096</c:v>
                </c:pt>
                <c:pt idx="1">
                  <c:v>1.4228168500479004</c:v>
                </c:pt>
                <c:pt idx="2">
                  <c:v>1.4776000449243909</c:v>
                </c:pt>
                <c:pt idx="3">
                  <c:v>1.7193217859195711</c:v>
                </c:pt>
                <c:pt idx="4">
                  <c:v>1.9661091943209188</c:v>
                </c:pt>
                <c:pt idx="5">
                  <c:v>2.2734567438777846</c:v>
                </c:pt>
                <c:pt idx="6">
                  <c:v>2.5808042934346513</c:v>
                </c:pt>
                <c:pt idx="7">
                  <c:v>2.8881518429915176</c:v>
                </c:pt>
                <c:pt idx="8">
                  <c:v>2.3112814754915849</c:v>
                </c:pt>
              </c:numCache>
            </c:numRef>
          </c:val>
          <c:extLst>
            <c:ext xmlns:c16="http://schemas.microsoft.com/office/drawing/2014/chart" uri="{C3380CC4-5D6E-409C-BE32-E72D297353CC}">
              <c16:uniqueId val="{00000002-BC3C-4006-B500-324D569B923D}"/>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data'!$Q$168:$Y$168</c:f>
              <c:numCache>
                <c:formatCode>#,##0</c:formatCode>
                <c:ptCount val="9"/>
                <c:pt idx="0">
                  <c:v>2091.4852981234135</c:v>
                </c:pt>
                <c:pt idx="1">
                  <c:v>2137.9769117004766</c:v>
                </c:pt>
                <c:pt idx="2">
                  <c:v>2175.5712188193511</c:v>
                </c:pt>
                <c:pt idx="3">
                  <c:v>2153.9793180722927</c:v>
                </c:pt>
                <c:pt idx="4">
                  <c:v>2151.2420096451415</c:v>
                </c:pt>
                <c:pt idx="5">
                  <c:v>2189.6020654677154</c:v>
                </c:pt>
                <c:pt idx="6">
                  <c:v>2221.6781135256429</c:v>
                </c:pt>
                <c:pt idx="7">
                  <c:v>2251.6767039881934</c:v>
                </c:pt>
                <c:pt idx="8">
                  <c:v>2245.1738033498045</c:v>
                </c:pt>
              </c:numCache>
            </c:numRef>
          </c:val>
          <c:smooth val="0"/>
          <c:extLst>
            <c:ext xmlns:c16="http://schemas.microsoft.com/office/drawing/2014/chart" uri="{C3380CC4-5D6E-409C-BE32-E72D297353CC}">
              <c16:uniqueId val="{00000003-BC3C-4006-B500-324D569B923D}"/>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71"/>
          <c:min val="0"/>
        </c:scaling>
        <c:delete val="0"/>
        <c:axPos val="l"/>
        <c:majorGridlines>
          <c:spPr>
            <a:ln w="2540"/>
          </c:spPr>
        </c:majorGridlines>
        <c:title>
          <c:tx>
            <c:rich>
              <a:bodyPr/>
              <a:lstStyle/>
              <a:p>
                <a:pPr>
                  <a:defRPr/>
                </a:pPr>
                <a:r>
                  <a:rPr lang="en-US"/>
                  <a:t>Megatonnes (Mt)</a:t>
                </a:r>
              </a:p>
            </c:rich>
          </c:tx>
          <c:layout>
            <c:manualLayout>
              <c:xMode val="edge"/>
              <c:yMode val="edge"/>
              <c:x val="0.13034266017842661"/>
              <c:y val="0.19189806763285025"/>
            </c:manualLayout>
          </c:layout>
          <c:overlay val="0"/>
        </c:title>
        <c:numFmt formatCode="#,##0" sourceLinked="0"/>
        <c:majorTickMark val="out"/>
        <c:minorTickMark val="none"/>
        <c:tickLblPos val="nextTo"/>
        <c:spPr>
          <a:ln>
            <a:noFill/>
          </a:ln>
        </c:spPr>
        <c:crossAx val="228055680"/>
        <c:crosses val="autoZero"/>
        <c:crossBetween val="between"/>
      </c:valAx>
      <c:valAx>
        <c:axId val="228199424"/>
        <c:scaling>
          <c:orientation val="minMax"/>
          <c:max val="2840"/>
          <c:min val="0"/>
        </c:scaling>
        <c:delete val="0"/>
        <c:axPos val="r"/>
        <c:title>
          <c:tx>
            <c:rich>
              <a:bodyPr/>
              <a:lstStyle/>
              <a:p>
                <a:pPr>
                  <a:defRPr/>
                </a:pPr>
                <a:r>
                  <a:rPr lang="en-AU"/>
                  <a:t>Generation (kg per capita)</a:t>
                </a:r>
              </a:p>
            </c:rich>
          </c:tx>
          <c:layout>
            <c:manualLayout>
              <c:xMode val="edge"/>
              <c:yMode val="edge"/>
              <c:x val="0.95107224925655565"/>
              <c:y val="0.13608972468043265"/>
            </c:manualLayout>
          </c:layout>
          <c:overlay val="0"/>
        </c:title>
        <c:numFmt formatCode="#,##0;\-#,##0;;" sourceLinked="0"/>
        <c:majorTickMark val="out"/>
        <c:minorTickMark val="none"/>
        <c:tickLblPos val="nextTo"/>
        <c:spPr>
          <a:ln>
            <a:noFill/>
          </a:ln>
        </c:spPr>
        <c:crossAx val="228209792"/>
        <c:crosses val="max"/>
        <c:crossBetween val="between"/>
        <c:majorUnit val="400"/>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7.8531866720735338E-2"/>
          <c:y val="9.9180555555555532E-3"/>
          <c:w val="0.87594838709677414"/>
          <c:h val="6.3068182659964195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73439784946236564"/>
          <c:h val="0.12808528285643614"/>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data'!$D$165:$L$165,'Trends and nat. data'!$N$165)</c:f>
              <c:numCache>
                <c:formatCode>#,##0</c:formatCode>
                <c:ptCount val="10"/>
                <c:pt idx="0">
                  <c:v>19.199545570315927</c:v>
                </c:pt>
                <c:pt idx="1">
                  <c:v>20.20015613068108</c:v>
                </c:pt>
                <c:pt idx="2">
                  <c:v>21.200766691046226</c:v>
                </c:pt>
                <c:pt idx="3">
                  <c:v>19.866375444182339</c:v>
                </c:pt>
                <c:pt idx="4">
                  <c:v>18.662828806071019</c:v>
                </c:pt>
                <c:pt idx="5">
                  <c:v>19.134318601929532</c:v>
                </c:pt>
                <c:pt idx="6">
                  <c:v>19.605808397788039</c:v>
                </c:pt>
                <c:pt idx="7">
                  <c:v>19.974474728559709</c:v>
                </c:pt>
                <c:pt idx="8">
                  <c:v>20.851354552573728</c:v>
                </c:pt>
                <c:pt idx="9" formatCode="0.0%">
                  <c:v>9.2124314112540517E-3</c:v>
                </c:pt>
              </c:numCache>
            </c:numRef>
          </c:val>
          <c:extLst>
            <c:ext xmlns:c16="http://schemas.microsoft.com/office/drawing/2014/chart" uri="{C3380CC4-5D6E-409C-BE32-E72D297353CC}">
              <c16:uniqueId val="{00000000-B1DB-4783-81A8-54B62DB76C3E}"/>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data'!$D$166:$L$166,'Trends and nat. data'!$N$166)</c:f>
              <c:numCache>
                <c:formatCode>#,##0</c:formatCode>
                <c:ptCount val="10"/>
                <c:pt idx="0">
                  <c:v>22.57463206136239</c:v>
                </c:pt>
                <c:pt idx="1">
                  <c:v>23.309008490774552</c:v>
                </c:pt>
                <c:pt idx="2">
                  <c:v>24.043384920186718</c:v>
                </c:pt>
                <c:pt idx="3">
                  <c:v>25.51240248866393</c:v>
                </c:pt>
                <c:pt idx="4">
                  <c:v>27.069408769962674</c:v>
                </c:pt>
                <c:pt idx="5">
                  <c:v>27.902715669941152</c:v>
                </c:pt>
                <c:pt idx="6">
                  <c:v>28.736022569919633</c:v>
                </c:pt>
                <c:pt idx="7">
                  <c:v>29.569329469898111</c:v>
                </c:pt>
                <c:pt idx="8">
                  <c:v>29.855358424866658</c:v>
                </c:pt>
                <c:pt idx="9" formatCode="0.0%">
                  <c:v>3.1547112318795811E-2</c:v>
                </c:pt>
              </c:numCache>
            </c:numRef>
          </c:val>
          <c:extLst>
            <c:ext xmlns:c16="http://schemas.microsoft.com/office/drawing/2014/chart" uri="{C3380CC4-5D6E-409C-BE32-E72D297353CC}">
              <c16:uniqueId val="{00000001-B1DB-4783-81A8-54B62DB76C3E}"/>
            </c:ext>
          </c:extLst>
        </c:ser>
        <c:ser>
          <c:idx val="2"/>
          <c:order val="2"/>
          <c:tx>
            <c:strRef>
              <c:f>'Trends and nat. data'!$B$242</c:f>
              <c:strCache>
                <c:ptCount val="1"/>
                <c:pt idx="0">
                  <c:v>Energy recovery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data'!$D$167:$L$167,'Trends and nat. data'!$N$167)</c:f>
              <c:numCache>
                <c:formatCode>#,##0.0</c:formatCode>
                <c:ptCount val="10"/>
                <c:pt idx="0">
                  <c:v>1.3680336551714096</c:v>
                </c:pt>
                <c:pt idx="1">
                  <c:v>1.4228168500479004</c:v>
                </c:pt>
                <c:pt idx="2">
                  <c:v>1.4776000449243909</c:v>
                </c:pt>
                <c:pt idx="3">
                  <c:v>1.7193217859195711</c:v>
                </c:pt>
                <c:pt idx="4">
                  <c:v>1.9661091943209188</c:v>
                </c:pt>
                <c:pt idx="5">
                  <c:v>2.2734567438777846</c:v>
                </c:pt>
                <c:pt idx="6">
                  <c:v>2.5808042934346513</c:v>
                </c:pt>
                <c:pt idx="7">
                  <c:v>2.8881518429915176</c:v>
                </c:pt>
                <c:pt idx="8">
                  <c:v>2.3112814754915849</c:v>
                </c:pt>
                <c:pt idx="9" formatCode="0.0%">
                  <c:v>6.000088666259118E-2</c:v>
                </c:pt>
              </c:numCache>
            </c:numRef>
          </c:val>
          <c:extLst>
            <c:ext xmlns:c16="http://schemas.microsoft.com/office/drawing/2014/chart" uri="{C3380CC4-5D6E-409C-BE32-E72D297353CC}">
              <c16:uniqueId val="{00000002-B1DB-4783-81A8-54B62DB76C3E}"/>
            </c:ext>
          </c:extLst>
        </c:ser>
        <c:ser>
          <c:idx val="4"/>
          <c:order val="3"/>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data'!$D$168:$L$168,'Trends and nat. data'!$N$168)</c:f>
              <c:numCache>
                <c:formatCode>#,##0</c:formatCode>
                <c:ptCount val="10"/>
                <c:pt idx="0">
                  <c:v>43.142211286849736</c:v>
                </c:pt>
                <c:pt idx="1">
                  <c:v>44.931981471503526</c:v>
                </c:pt>
                <c:pt idx="2">
                  <c:v>46.721751656157331</c:v>
                </c:pt>
                <c:pt idx="3">
                  <c:v>47.09809971876583</c:v>
                </c:pt>
                <c:pt idx="4">
                  <c:v>47.698346770354625</c:v>
                </c:pt>
                <c:pt idx="5">
                  <c:v>49.310491015748468</c:v>
                </c:pt>
                <c:pt idx="6">
                  <c:v>50.922635261142325</c:v>
                </c:pt>
                <c:pt idx="7">
                  <c:v>52.43195604144934</c:v>
                </c:pt>
                <c:pt idx="8">
                  <c:v>53.017994452931958</c:v>
                </c:pt>
                <c:pt idx="9" formatCode="0.0%">
                  <c:v>2.3167568977045638E-2</c:v>
                </c:pt>
              </c:numCache>
            </c:numRef>
          </c:val>
          <c:extLst>
            <c:ext xmlns:c16="http://schemas.microsoft.com/office/drawing/2014/chart" uri="{C3380CC4-5D6E-409C-BE32-E72D297353CC}">
              <c16:uniqueId val="{00000003-B1DB-4783-81A8-54B62DB76C3E}"/>
            </c:ext>
          </c:extLst>
        </c:ser>
        <c:ser>
          <c:idx val="3"/>
          <c:order val="5"/>
          <c:tx>
            <c:strRef>
              <c:f>'Trends and nat. data'!$B$245</c:f>
              <c:strCache>
                <c:ptCount val="1"/>
                <c:pt idx="0">
                  <c:v>Generation (kg/cap)</c:v>
                </c:pt>
              </c:strCache>
            </c:strRef>
          </c:tx>
          <c:spPr>
            <a:noFill/>
            <a:ln>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data'!$Q$168:$Y$168,'Trends and nat. data'!$AA$168)</c:f>
              <c:numCache>
                <c:formatCode>#,##0</c:formatCode>
                <c:ptCount val="10"/>
                <c:pt idx="0">
                  <c:v>2091.4852981234135</c:v>
                </c:pt>
                <c:pt idx="1">
                  <c:v>2137.9769117004766</c:v>
                </c:pt>
                <c:pt idx="2">
                  <c:v>2175.5712188193511</c:v>
                </c:pt>
                <c:pt idx="3">
                  <c:v>2153.9793180722927</c:v>
                </c:pt>
                <c:pt idx="4">
                  <c:v>2151.2420096451415</c:v>
                </c:pt>
                <c:pt idx="5">
                  <c:v>2189.6020654677154</c:v>
                </c:pt>
                <c:pt idx="6">
                  <c:v>2221.6781135256429</c:v>
                </c:pt>
                <c:pt idx="7">
                  <c:v>2251.6767039881934</c:v>
                </c:pt>
                <c:pt idx="8">
                  <c:v>2245.1738033498045</c:v>
                </c:pt>
                <c:pt idx="9" formatCode="0.0%">
                  <c:v>7.909835834202017E-3</c:v>
                </c:pt>
              </c:numCache>
            </c:numRef>
          </c:val>
          <c:extLst>
            <c:ext xmlns:c16="http://schemas.microsoft.com/office/drawing/2014/chart" uri="{C3380CC4-5D6E-409C-BE32-E72D297353CC}">
              <c16:uniqueId val="{00000005-B1DB-4783-81A8-54B62DB76C3E}"/>
            </c:ext>
          </c:extLst>
        </c:ser>
        <c:dLbls>
          <c:showLegendKey val="0"/>
          <c:showVal val="0"/>
          <c:showCatName val="0"/>
          <c:showSerName val="0"/>
          <c:showPercent val="0"/>
          <c:showBubbleSize val="0"/>
        </c:dLbls>
        <c:axId val="228272768"/>
        <c:axId val="228291328"/>
      </c:areaChart>
      <c:lineChart>
        <c:grouping val="standard"/>
        <c:varyColors val="0"/>
        <c:ser>
          <c:idx val="5"/>
          <c:order val="4"/>
          <c:tx>
            <c:strRef>
              <c:f>'Trends and nat. data'!$C$117</c:f>
              <c:strCache>
                <c:ptCount val="1"/>
                <c:pt idx="0">
                  <c:v>Recovery rate</c:v>
                </c:pt>
              </c:strCache>
            </c:strRef>
          </c:tx>
          <c:spPr>
            <a:ln>
              <a:noFill/>
            </a:ln>
          </c:spPr>
          <c:marker>
            <c:symbol val="none"/>
          </c:marker>
          <c:val>
            <c:numRef>
              <c:f>('Trends and nat. data'!$D$169:$L$169,'Trends and nat. data'!$N$169)</c:f>
              <c:numCache>
                <c:formatCode>0%</c:formatCode>
                <c:ptCount val="10"/>
                <c:pt idx="0">
                  <c:v>0.55497075839114007</c:v>
                </c:pt>
                <c:pt idx="1">
                  <c:v>0.55042810334344394</c:v>
                </c:pt>
                <c:pt idx="2">
                  <c:v>0.54623347927812049</c:v>
                </c:pt>
                <c:pt idx="3">
                  <c:v>0.57819157115023168</c:v>
                </c:pt>
                <c:pt idx="4">
                  <c:v>0.60873216642237349</c:v>
                </c:pt>
                <c:pt idx="5">
                  <c:v>0.61196252140708685</c:v>
                </c:pt>
                <c:pt idx="6">
                  <c:v>0.61498833873688585</c:v>
                </c:pt>
                <c:pt idx="7">
                  <c:v>0.61904006188956262</c:v>
                </c:pt>
                <c:pt idx="8">
                  <c:v>0.60671174442320663</c:v>
                </c:pt>
                <c:pt idx="9" formatCode="0.0%">
                  <c:v>9.9534726367227488E-3</c:v>
                </c:pt>
              </c:numCache>
            </c:numRef>
          </c:val>
          <c:smooth val="0"/>
          <c:extLst>
            <c:ext xmlns:c16="http://schemas.microsoft.com/office/drawing/2014/chart" uri="{C3380CC4-5D6E-409C-BE32-E72D297353CC}">
              <c16:uniqueId val="{00000004-B1DB-4783-81A8-54B62DB76C3E}"/>
            </c:ext>
          </c:extLst>
        </c:ser>
        <c:dLbls>
          <c:showLegendKey val="0"/>
          <c:showVal val="0"/>
          <c:showCatName val="0"/>
          <c:showSerName val="0"/>
          <c:showPercent val="0"/>
          <c:showBubbleSize val="0"/>
        </c:dLbls>
        <c:marker val="1"/>
        <c:smooth val="0"/>
        <c:axId val="538966880"/>
        <c:axId val="538962944"/>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538962944"/>
        <c:scaling>
          <c:orientation val="minMax"/>
        </c:scaling>
        <c:delete val="1"/>
        <c:axPos val="r"/>
        <c:numFmt formatCode="0%" sourceLinked="1"/>
        <c:majorTickMark val="out"/>
        <c:minorTickMark val="none"/>
        <c:tickLblPos val="nextTo"/>
        <c:crossAx val="538966880"/>
        <c:crosses val="max"/>
        <c:crossBetween val="between"/>
      </c:valAx>
      <c:catAx>
        <c:axId val="538966880"/>
        <c:scaling>
          <c:orientation val="minMax"/>
        </c:scaling>
        <c:delete val="1"/>
        <c:axPos val="b"/>
        <c:majorTickMark val="out"/>
        <c:minorTickMark val="none"/>
        <c:tickLblPos val="nextTo"/>
        <c:crossAx val="538962944"/>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032829818869964"/>
          <c:y val="9.5707575757575755E-2"/>
          <c:w val="0.62496485536631519"/>
          <c:h val="0.52448194444444451"/>
        </c:manualLayout>
      </c:layout>
      <c:areaChart>
        <c:grouping val="stacked"/>
        <c:varyColors val="0"/>
        <c:ser>
          <c:idx val="0"/>
          <c:order val="0"/>
          <c:tx>
            <c:strRef>
              <c:f>'Trends and nat. data'!$C$183</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data'!$D$183:$L$183</c:f>
              <c:numCache>
                <c:formatCode>#,##0.00</c:formatCode>
                <c:ptCount val="9"/>
                <c:pt idx="0">
                  <c:v>6.5343970228779789</c:v>
                </c:pt>
                <c:pt idx="1">
                  <c:v>6.8698853727863343</c:v>
                </c:pt>
                <c:pt idx="2">
                  <c:v>7.2053737226946897</c:v>
                </c:pt>
                <c:pt idx="3">
                  <c:v>7.0695849347713278</c:v>
                </c:pt>
                <c:pt idx="4">
                  <c:v>6.3882467958075013</c:v>
                </c:pt>
                <c:pt idx="5">
                  <c:v>6.491837867783163</c:v>
                </c:pt>
                <c:pt idx="6">
                  <c:v>6.5954289397588246</c:v>
                </c:pt>
                <c:pt idx="7">
                  <c:v>6.6990200117344854</c:v>
                </c:pt>
                <c:pt idx="8">
                  <c:v>7.2354009045860064</c:v>
                </c:pt>
              </c:numCache>
            </c:numRef>
          </c:val>
          <c:extLst>
            <c:ext xmlns:c16="http://schemas.microsoft.com/office/drawing/2014/chart" uri="{C3380CC4-5D6E-409C-BE32-E72D297353CC}">
              <c16:uniqueId val="{00000000-38A4-43D6-849B-95381F1FC192}"/>
            </c:ext>
          </c:extLst>
        </c:ser>
        <c:ser>
          <c:idx val="1"/>
          <c:order val="1"/>
          <c:tx>
            <c:strRef>
              <c:f>'Trends and nat. data'!$C$184</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data'!$D$184:$L$184</c:f>
              <c:numCache>
                <c:formatCode>#,##0.00</c:formatCode>
                <c:ptCount val="9"/>
                <c:pt idx="0">
                  <c:v>8.4738291407719775</c:v>
                </c:pt>
                <c:pt idx="1">
                  <c:v>8.4788350109837047</c:v>
                </c:pt>
                <c:pt idx="2">
                  <c:v>8.483840881195432</c:v>
                </c:pt>
                <c:pt idx="3">
                  <c:v>9.5157865897371483</c:v>
                </c:pt>
                <c:pt idx="4">
                  <c:v>10.100238285510924</c:v>
                </c:pt>
                <c:pt idx="5">
                  <c:v>11.035501323026569</c:v>
                </c:pt>
                <c:pt idx="6">
                  <c:v>11.970764360542214</c:v>
                </c:pt>
                <c:pt idx="7">
                  <c:v>12.906027398057859</c:v>
                </c:pt>
                <c:pt idx="8">
                  <c:v>11.9155218480212</c:v>
                </c:pt>
              </c:numCache>
            </c:numRef>
          </c:val>
          <c:extLst>
            <c:ext xmlns:c16="http://schemas.microsoft.com/office/drawing/2014/chart" uri="{C3380CC4-5D6E-409C-BE32-E72D297353CC}">
              <c16:uniqueId val="{00000001-38A4-43D6-849B-95381F1FC192}"/>
            </c:ext>
          </c:extLst>
        </c:ser>
        <c:ser>
          <c:idx val="2"/>
          <c:order val="2"/>
          <c:tx>
            <c:strRef>
              <c:f>'Trends and nat. data'!$C$185</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data'!$D$185:$L$185</c:f>
              <c:numCache>
                <c:formatCode>#,##0.00</c:formatCode>
                <c:ptCount val="9"/>
                <c:pt idx="0">
                  <c:v>0.59876642708826955</c:v>
                </c:pt>
                <c:pt idx="1">
                  <c:v>0.65806679272779567</c:v>
                </c:pt>
                <c:pt idx="2">
                  <c:v>0.7173671583673219</c:v>
                </c:pt>
                <c:pt idx="3">
                  <c:v>0.77462305247122831</c:v>
                </c:pt>
                <c:pt idx="4">
                  <c:v>0.87314145721102543</c:v>
                </c:pt>
                <c:pt idx="5">
                  <c:v>0.96259359947733436</c:v>
                </c:pt>
                <c:pt idx="6">
                  <c:v>1.0520457417436433</c:v>
                </c:pt>
                <c:pt idx="7">
                  <c:v>1.1414978840099523</c:v>
                </c:pt>
                <c:pt idx="8">
                  <c:v>0.89206217119992681</c:v>
                </c:pt>
              </c:numCache>
            </c:numRef>
          </c:val>
          <c:extLst>
            <c:ext xmlns:c16="http://schemas.microsoft.com/office/drawing/2014/chart" uri="{C3380CC4-5D6E-409C-BE32-E72D297353CC}">
              <c16:uniqueId val="{00000002-38A4-43D6-849B-95381F1FC192}"/>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data'!$Q$186:$Y$186</c:f>
              <c:numCache>
                <c:formatCode>0</c:formatCode>
                <c:ptCount val="9"/>
                <c:pt idx="0">
                  <c:v>756.60923670362865</c:v>
                </c:pt>
                <c:pt idx="1">
                  <c:v>761.64327263331961</c:v>
                </c:pt>
                <c:pt idx="2">
                  <c:v>763.96294693437051</c:v>
                </c:pt>
                <c:pt idx="3">
                  <c:v>793.94008471561517</c:v>
                </c:pt>
                <c:pt idx="4">
                  <c:v>783.02630791949468</c:v>
                </c:pt>
                <c:pt idx="5">
                  <c:v>821.03410844239568</c:v>
                </c:pt>
                <c:pt idx="6">
                  <c:v>855.91431162408389</c:v>
                </c:pt>
                <c:pt idx="7">
                  <c:v>890.95498724787285</c:v>
                </c:pt>
                <c:pt idx="8">
                  <c:v>848.76814289564834</c:v>
                </c:pt>
              </c:numCache>
            </c:numRef>
          </c:val>
          <c:smooth val="0"/>
          <c:extLst>
            <c:ext xmlns:c16="http://schemas.microsoft.com/office/drawing/2014/chart" uri="{C3380CC4-5D6E-409C-BE32-E72D297353CC}">
              <c16:uniqueId val="{00000003-38A4-43D6-849B-95381F1FC192}"/>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8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scaling>
        <c:delete val="0"/>
        <c:axPos val="l"/>
        <c:majorGridlines>
          <c:spPr>
            <a:ln w="2540"/>
          </c:spPr>
        </c:majorGridlines>
        <c:title>
          <c:tx>
            <c:rich>
              <a:bodyPr/>
              <a:lstStyle/>
              <a:p>
                <a:pPr>
                  <a:defRPr/>
                </a:pPr>
                <a:r>
                  <a:rPr lang="en-US"/>
                  <a:t>Megatonnes (Mt)</a:t>
                </a:r>
              </a:p>
            </c:rich>
          </c:tx>
          <c:layout>
            <c:manualLayout>
              <c:xMode val="edge"/>
              <c:yMode val="edge"/>
              <c:x val="0.18958198161665316"/>
              <c:y val="0.20186818181818181"/>
            </c:manualLayout>
          </c:layout>
          <c:overlay val="0"/>
        </c:title>
        <c:numFmt formatCode="#,##0" sourceLinked="0"/>
        <c:majorTickMark val="out"/>
        <c:minorTickMark val="none"/>
        <c:tickLblPos val="nextTo"/>
        <c:spPr>
          <a:ln>
            <a:noFill/>
          </a:ln>
        </c:spPr>
        <c:crossAx val="228055680"/>
        <c:crosses val="autoZero"/>
        <c:crossBetween val="between"/>
      </c:valAx>
      <c:valAx>
        <c:axId val="228199424"/>
        <c:scaling>
          <c:orientation val="minMax"/>
          <c:min val="0"/>
        </c:scaling>
        <c:delete val="0"/>
        <c:axPos val="r"/>
        <c:title>
          <c:tx>
            <c:rich>
              <a:bodyPr/>
              <a:lstStyle/>
              <a:p>
                <a:pPr>
                  <a:defRPr/>
                </a:pPr>
                <a:r>
                  <a:rPr lang="en-AU"/>
                  <a:t>Generation (kg per capita)</a:t>
                </a:r>
              </a:p>
            </c:rich>
          </c:tx>
          <c:layout>
            <c:manualLayout>
              <c:xMode val="edge"/>
              <c:yMode val="edge"/>
              <c:x val="0.96193160313598269"/>
              <c:y val="0.14195984848484849"/>
            </c:manualLayout>
          </c:layout>
          <c:overlay val="0"/>
        </c:title>
        <c:numFmt formatCode="#,##0;\-#,##0;;" sourceLinked="0"/>
        <c:majorTickMark val="out"/>
        <c:minorTickMark val="none"/>
        <c:tickLblPos val="nextTo"/>
        <c:spPr>
          <a:ln>
            <a:noFill/>
          </a:ln>
        </c:spPr>
        <c:crossAx val="228209792"/>
        <c:crosses val="max"/>
        <c:crossBetween val="between"/>
        <c:majorUnit val="200"/>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5200376344086022"/>
          <c:y val="1.6969722222222223E-2"/>
          <c:w val="0.8070734406421789"/>
          <c:h val="4.75989034881363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17382749446413434"/>
          <c:w val="0.70660161290322587"/>
          <c:h val="0.316670764067573"/>
        </c:manualLayout>
      </c:layout>
      <c:areaChart>
        <c:grouping val="stacked"/>
        <c:varyColors val="0"/>
        <c:ser>
          <c:idx val="0"/>
          <c:order val="0"/>
          <c:tx>
            <c:strRef>
              <c:f>'Trends and nat. data'!$B$243</c:f>
              <c:strCache>
                <c:ptCount val="1"/>
                <c:pt idx="0">
                  <c:v>Recycling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data'!$D$184:$L$184</c:f>
              <c:numCache>
                <c:formatCode>#,##0.00</c:formatCode>
                <c:ptCount val="9"/>
                <c:pt idx="0">
                  <c:v>8.4738291407719775</c:v>
                </c:pt>
                <c:pt idx="1">
                  <c:v>8.4788350109837047</c:v>
                </c:pt>
                <c:pt idx="2">
                  <c:v>8.483840881195432</c:v>
                </c:pt>
                <c:pt idx="3">
                  <c:v>9.5157865897371483</c:v>
                </c:pt>
                <c:pt idx="4">
                  <c:v>10.100238285510924</c:v>
                </c:pt>
                <c:pt idx="5">
                  <c:v>11.035501323026569</c:v>
                </c:pt>
                <c:pt idx="6">
                  <c:v>11.970764360542214</c:v>
                </c:pt>
                <c:pt idx="7">
                  <c:v>12.906027398057859</c:v>
                </c:pt>
                <c:pt idx="8">
                  <c:v>11.9155218480212</c:v>
                </c:pt>
              </c:numCache>
            </c:numRef>
          </c:val>
          <c:extLst>
            <c:ext xmlns:c16="http://schemas.microsoft.com/office/drawing/2014/chart" uri="{C3380CC4-5D6E-409C-BE32-E72D297353CC}">
              <c16:uniqueId val="{00000000-C1A2-4F61-A1C4-E2CCFA876D73}"/>
            </c:ext>
          </c:extLst>
        </c:ser>
        <c:ser>
          <c:idx val="1"/>
          <c:order val="1"/>
          <c:tx>
            <c:strRef>
              <c:f>'Trends and nat. data'!$B$242</c:f>
              <c:strCache>
                <c:ptCount val="1"/>
                <c:pt idx="0">
                  <c:v>Energy recovery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data'!$D$185:$L$185</c:f>
              <c:numCache>
                <c:formatCode>#,##0.00</c:formatCode>
                <c:ptCount val="9"/>
                <c:pt idx="0">
                  <c:v>0.59876642708826955</c:v>
                </c:pt>
                <c:pt idx="1">
                  <c:v>0.65806679272779567</c:v>
                </c:pt>
                <c:pt idx="2">
                  <c:v>0.7173671583673219</c:v>
                </c:pt>
                <c:pt idx="3">
                  <c:v>0.77462305247122831</c:v>
                </c:pt>
                <c:pt idx="4">
                  <c:v>0.87314145721102543</c:v>
                </c:pt>
                <c:pt idx="5">
                  <c:v>0.96259359947733436</c:v>
                </c:pt>
                <c:pt idx="6">
                  <c:v>1.0520457417436433</c:v>
                </c:pt>
                <c:pt idx="7">
                  <c:v>1.1414978840099523</c:v>
                </c:pt>
                <c:pt idx="8">
                  <c:v>0.89206217119992681</c:v>
                </c:pt>
              </c:numCache>
            </c:numRef>
          </c:val>
          <c:extLst>
            <c:ext xmlns:c16="http://schemas.microsoft.com/office/drawing/2014/chart" uri="{C3380CC4-5D6E-409C-BE32-E72D297353CC}">
              <c16:uniqueId val="{00000001-C1A2-4F61-A1C4-E2CCFA876D73}"/>
            </c:ext>
          </c:extLst>
        </c:ser>
        <c:ser>
          <c:idx val="4"/>
          <c:order val="2"/>
          <c:tx>
            <c:strRef>
              <c:f>'Trends and nat. data'!$B$247</c:f>
              <c:strCache>
                <c:ptCount val="1"/>
                <c:pt idx="0">
                  <c:v>Generation excl.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data'!$D$186:$L$186</c:f>
              <c:numCache>
                <c:formatCode>#,##0.0</c:formatCode>
                <c:ptCount val="9"/>
                <c:pt idx="0">
                  <c:v>15.606992590738226</c:v>
                </c:pt>
                <c:pt idx="1">
                  <c:v>16.006787176497834</c:v>
                </c:pt>
                <c:pt idx="2">
                  <c:v>16.406581762257442</c:v>
                </c:pt>
                <c:pt idx="3">
                  <c:v>17.359994576979702</c:v>
                </c:pt>
                <c:pt idx="4">
                  <c:v>17.361626538529453</c:v>
                </c:pt>
                <c:pt idx="5">
                  <c:v>18.489932790287067</c:v>
                </c:pt>
                <c:pt idx="6">
                  <c:v>19.618239042044681</c:v>
                </c:pt>
                <c:pt idx="7">
                  <c:v>20.746545293802296</c:v>
                </c:pt>
                <c:pt idx="8">
                  <c:v>20.042984923807136</c:v>
                </c:pt>
              </c:numCache>
            </c:numRef>
          </c:val>
          <c:extLst>
            <c:ext xmlns:c16="http://schemas.microsoft.com/office/drawing/2014/chart" uri="{C3380CC4-5D6E-409C-BE32-E72D297353CC}">
              <c16:uniqueId val="{00000003-C1A2-4F61-A1C4-E2CCFA876D73}"/>
            </c:ext>
          </c:extLst>
        </c:ser>
        <c:ser>
          <c:idx val="2"/>
          <c:order val="3"/>
          <c:tx>
            <c:strRef>
              <c:f>'Trends and nat. data'!$B$246</c:f>
              <c:strCache>
                <c:ptCount val="1"/>
                <c:pt idx="0">
                  <c:v>Generation incl.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data'!$D$181:$L$181</c:f>
              <c:numCache>
                <c:formatCode>#,##0.0</c:formatCode>
                <c:ptCount val="9"/>
                <c:pt idx="0">
                  <c:v>29.864371924431588</c:v>
                </c:pt>
                <c:pt idx="1">
                  <c:v>30.241478093344515</c:v>
                </c:pt>
                <c:pt idx="2">
                  <c:v>30.618584262257439</c:v>
                </c:pt>
                <c:pt idx="3">
                  <c:v>31.290952076979703</c:v>
                </c:pt>
                <c:pt idx="4">
                  <c:v>30.96282303852945</c:v>
                </c:pt>
                <c:pt idx="5">
                  <c:v>31.196691123620393</c:v>
                </c:pt>
                <c:pt idx="6">
                  <c:v>31.430559208711344</c:v>
                </c:pt>
                <c:pt idx="7">
                  <c:v>31.664427293802294</c:v>
                </c:pt>
                <c:pt idx="8">
                  <c:v>30.896546923807133</c:v>
                </c:pt>
              </c:numCache>
            </c:numRef>
          </c:val>
          <c:extLst>
            <c:ext xmlns:c16="http://schemas.microsoft.com/office/drawing/2014/chart" uri="{C3380CC4-5D6E-409C-BE32-E72D297353CC}">
              <c16:uniqueId val="{00000002-C1A2-4F61-A1C4-E2CCFA876D73}"/>
            </c:ext>
          </c:extLst>
        </c:ser>
        <c:ser>
          <c:idx val="3"/>
          <c:order val="5"/>
          <c:tx>
            <c:strRef>
              <c:f>'Trends and nat. data'!$B$245</c:f>
              <c:strCache>
                <c:ptCount val="1"/>
                <c:pt idx="0">
                  <c:v>Generation (kg/cap)</c:v>
                </c:pt>
              </c:strCache>
            </c:strRef>
          </c:tx>
          <c:spPr>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data'!$Q$186:$Y$186</c:f>
              <c:numCache>
                <c:formatCode>0</c:formatCode>
                <c:ptCount val="9"/>
                <c:pt idx="0">
                  <c:v>756.60923670362865</c:v>
                </c:pt>
                <c:pt idx="1">
                  <c:v>761.64327263331961</c:v>
                </c:pt>
                <c:pt idx="2">
                  <c:v>763.96294693437051</c:v>
                </c:pt>
                <c:pt idx="3">
                  <c:v>793.94008471561517</c:v>
                </c:pt>
                <c:pt idx="4">
                  <c:v>783.02630791949468</c:v>
                </c:pt>
                <c:pt idx="5">
                  <c:v>821.03410844239568</c:v>
                </c:pt>
                <c:pt idx="6">
                  <c:v>855.91431162408389</c:v>
                </c:pt>
                <c:pt idx="7">
                  <c:v>890.95498724787285</c:v>
                </c:pt>
                <c:pt idx="8">
                  <c:v>848.76814289564834</c:v>
                </c:pt>
              </c:numCache>
            </c:numRef>
          </c:val>
          <c:extLst>
            <c:ext xmlns:c16="http://schemas.microsoft.com/office/drawing/2014/chart" uri="{C3380CC4-5D6E-409C-BE32-E72D297353CC}">
              <c16:uniqueId val="{00000005-C1A2-4F61-A1C4-E2CCFA876D73}"/>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data'!$C$117</c:f>
              <c:strCache>
                <c:ptCount val="1"/>
                <c:pt idx="0">
                  <c:v>Recovery rate</c:v>
                </c:pt>
              </c:strCache>
            </c:strRef>
          </c:tx>
          <c:spPr>
            <a:ln w="28575">
              <a:noFill/>
            </a:ln>
          </c:spPr>
          <c:marker>
            <c:spPr>
              <a:noFill/>
              <a:ln>
                <a:noFill/>
              </a:ln>
            </c:spPr>
          </c:marker>
          <c:val>
            <c:numRef>
              <c:f>'Trends and nat. data'!$D$187:$L$187</c:f>
              <c:numCache>
                <c:formatCode>0%</c:formatCode>
                <c:ptCount val="9"/>
                <c:pt idx="0">
                  <c:v>0.58131606810938485</c:v>
                </c:pt>
                <c:pt idx="1">
                  <c:v>0.57081422417653382</c:v>
                </c:pt>
                <c:pt idx="2">
                  <c:v>0.56082419683115792</c:v>
                </c:pt>
                <c:pt idx="3">
                  <c:v>0.59276571755696406</c:v>
                </c:pt>
                <c:pt idx="4">
                  <c:v>0.6320479085510502</c:v>
                </c:pt>
                <c:pt idx="5">
                  <c:v>0.64889878500838105</c:v>
                </c:pt>
                <c:pt idx="6">
                  <c:v>0.66381136830763043</c:v>
                </c:pt>
                <c:pt idx="7">
                  <c:v>0.67710190217859012</c:v>
                </c:pt>
                <c:pt idx="8">
                  <c:v>0.63900582013651208</c:v>
                </c:pt>
              </c:numCache>
            </c:numRef>
          </c:val>
          <c:smooth val="0"/>
          <c:extLst>
            <c:ext xmlns:c16="http://schemas.microsoft.com/office/drawing/2014/chart" uri="{C3380CC4-5D6E-409C-BE32-E72D297353CC}">
              <c16:uniqueId val="{00000004-C1A2-4F61-A1C4-E2CCFA876D73}"/>
            </c:ext>
          </c:extLst>
        </c:ser>
        <c:ser>
          <c:idx val="6"/>
          <c:order val="6"/>
          <c:tx>
            <c:strRef>
              <c:f>'Trends and nat. data'!$B$244</c:f>
              <c:strCache>
                <c:ptCount val="1"/>
                <c:pt idx="0">
                  <c:v>Disposal (Mt)</c:v>
                </c:pt>
              </c:strCache>
            </c:strRef>
          </c:tx>
          <c:spPr>
            <a:ln w="28575">
              <a:noFill/>
            </a:ln>
          </c:spPr>
          <c:marker>
            <c:spPr>
              <a:ln>
                <a:noFill/>
              </a:ln>
            </c:spPr>
          </c:marker>
          <c:val>
            <c:numRef>
              <c:f>'Trends and nat. data'!$D$183:$L$183</c:f>
              <c:numCache>
                <c:formatCode>#,##0.00</c:formatCode>
                <c:ptCount val="9"/>
                <c:pt idx="0">
                  <c:v>6.5343970228779789</c:v>
                </c:pt>
                <c:pt idx="1">
                  <c:v>6.8698853727863343</c:v>
                </c:pt>
                <c:pt idx="2">
                  <c:v>7.2053737226946897</c:v>
                </c:pt>
                <c:pt idx="3">
                  <c:v>7.0695849347713278</c:v>
                </c:pt>
                <c:pt idx="4">
                  <c:v>6.3882467958075013</c:v>
                </c:pt>
                <c:pt idx="5">
                  <c:v>6.491837867783163</c:v>
                </c:pt>
                <c:pt idx="6">
                  <c:v>6.5954289397588246</c:v>
                </c:pt>
                <c:pt idx="7">
                  <c:v>6.6990200117344854</c:v>
                </c:pt>
                <c:pt idx="8">
                  <c:v>7.2354009045860064</c:v>
                </c:pt>
              </c:numCache>
            </c:numRef>
          </c:val>
          <c:smooth val="0"/>
          <c:extLst>
            <c:ext xmlns:c16="http://schemas.microsoft.com/office/drawing/2014/chart" uri="{C3380CC4-5D6E-409C-BE32-E72D297353CC}">
              <c16:uniqueId val="{00000007-274A-4762-B567-DAB707AB4723}"/>
            </c:ext>
          </c:extLst>
        </c:ser>
        <c:dLbls>
          <c:showLegendKey val="0"/>
          <c:showVal val="0"/>
          <c:showCatName val="0"/>
          <c:showSerName val="0"/>
          <c:showPercent val="0"/>
          <c:showBubbleSize val="0"/>
        </c:dLbls>
        <c:marker val="1"/>
        <c:smooth val="0"/>
        <c:axId val="228272768"/>
        <c:axId val="22829132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02885927306454"/>
          <c:y val="0.18824215158979618"/>
          <c:w val="0.86951353188830649"/>
          <c:h val="4.4980601186167701E-2"/>
        </c:manualLayout>
      </c:layout>
      <c:barChart>
        <c:barDir val="col"/>
        <c:grouping val="stacked"/>
        <c:varyColors val="0"/>
        <c:ser>
          <c:idx val="0"/>
          <c:order val="0"/>
          <c:tx>
            <c:strRef>
              <c:f>'Trends and nat. data'!$C$40</c:f>
              <c:strCache>
                <c:ptCount val="1"/>
                <c:pt idx="0">
                  <c:v>Disposal</c:v>
                </c:pt>
              </c:strCache>
            </c:strRef>
          </c:tx>
          <c:spPr>
            <a:noFill/>
          </c:spPr>
          <c:invertIfNegative val="0"/>
          <c:cat>
            <c:strRef>
              <c:f>('Trends and nat. data'!$B$78,'Trends and nat. data'!$B$83,'Trends and nat. data'!$B$130,'Trends and nat. data'!$B$88,'Trends and nat. data'!$B$93,'Trends and nat. data'!$B$140,'Trends and nat. data'!$B$98,'Trends and nat. data'!$B$145,'Trends and nat. data'!$B$103,'Trends and nat. data'!$B$108,'Trends and nat. data'!$B$155,'Trends and nat. data'!$B$113,'Trends and nat. data'!$B$160)</c:f>
              <c:strCache>
                <c:ptCount val="13"/>
                <c:pt idx="0">
                  <c:v>ACT</c:v>
                </c:pt>
                <c:pt idx="1">
                  <c:v>NSW</c:v>
                </c:pt>
                <c:pt idx="2">
                  <c:v>NSW excl. fly ash</c:v>
                </c:pt>
                <c:pt idx="3">
                  <c:v>NT</c:v>
                </c:pt>
                <c:pt idx="4">
                  <c:v>Qld</c:v>
                </c:pt>
                <c:pt idx="5">
                  <c:v>Qld excl. fly ash</c:v>
                </c:pt>
                <c:pt idx="6">
                  <c:v>SA</c:v>
                </c:pt>
                <c:pt idx="7">
                  <c:v>SA excl. fly ash</c:v>
                </c:pt>
                <c:pt idx="8">
                  <c:v>Tas</c:v>
                </c:pt>
                <c:pt idx="9">
                  <c:v>Vic</c:v>
                </c:pt>
                <c:pt idx="10">
                  <c:v>Vic excl. fly ash</c:v>
                </c:pt>
                <c:pt idx="11">
                  <c:v>WA</c:v>
                </c:pt>
                <c:pt idx="12">
                  <c:v>WA excl. fly ash</c:v>
                </c:pt>
              </c:strCache>
            </c:strRef>
          </c:cat>
          <c:val>
            <c:numRef>
              <c:f>('Trends and nat. data'!$L$78,'Trends and nat. data'!$L$83,'Trends and nat. data'!$L$130,'Trends and nat. data'!$L$88,'Trends and nat. data'!$L$93,'Trends and nat. data'!$L$140,'Trends and nat. data'!$L$98,'Trends and nat. data'!$L$145,'Trends and nat. data'!$L$103,'Trends and nat. data'!$L$108,'Trends and nat. data'!$L$155,'Trends and nat. data'!$L$113,'Trends and nat. data'!$L$160)</c:f>
              <c:numCache>
                <c:formatCode>#,##0.00</c:formatCode>
                <c:ptCount val="13"/>
                <c:pt idx="0">
                  <c:v>0.19052274053777465</c:v>
                </c:pt>
                <c:pt idx="1">
                  <c:v>6.6814926101128975</c:v>
                </c:pt>
                <c:pt idx="2">
                  <c:v>5.8800805163634164</c:v>
                </c:pt>
                <c:pt idx="3">
                  <c:v>0.36759793527423562</c:v>
                </c:pt>
                <c:pt idx="4">
                  <c:v>9.7978713923763188</c:v>
                </c:pt>
                <c:pt idx="5">
                  <c:v>5.4658523923763189</c:v>
                </c:pt>
                <c:pt idx="6">
                  <c:v>0.96778534280928685</c:v>
                </c:pt>
                <c:pt idx="7">
                  <c:v>0.96778534280928685</c:v>
                </c:pt>
                <c:pt idx="8">
                  <c:v>0.46992197236926575</c:v>
                </c:pt>
                <c:pt idx="9">
                  <c:v>4.6595813257351466</c:v>
                </c:pt>
                <c:pt idx="10">
                  <c:v>4.0143936715423081</c:v>
                </c:pt>
                <c:pt idx="11">
                  <c:v>3.6548967333588034</c:v>
                </c:pt>
                <c:pt idx="12">
                  <c:v>3.4951999813011225</c:v>
                </c:pt>
              </c:numCache>
            </c:numRef>
          </c:val>
          <c:extLst>
            <c:ext xmlns:c16="http://schemas.microsoft.com/office/drawing/2014/chart" uri="{C3380CC4-5D6E-409C-BE32-E72D297353CC}">
              <c16:uniqueId val="{00000000-8A79-414C-963A-6CBF05AEEA38}"/>
            </c:ext>
          </c:extLst>
        </c:ser>
        <c:ser>
          <c:idx val="1"/>
          <c:order val="1"/>
          <c:tx>
            <c:strRef>
              <c:f>'Trends and nat. data'!$C$41</c:f>
              <c:strCache>
                <c:ptCount val="1"/>
                <c:pt idx="0">
                  <c:v>Recycling</c:v>
                </c:pt>
              </c:strCache>
            </c:strRef>
          </c:tx>
          <c:spPr>
            <a:noFill/>
          </c:spPr>
          <c:invertIfNegative val="0"/>
          <c:cat>
            <c:strRef>
              <c:f>('Trends and nat. data'!$B$78,'Trends and nat. data'!$B$83,'Trends and nat. data'!$B$130,'Trends and nat. data'!$B$88,'Trends and nat. data'!$B$93,'Trends and nat. data'!$B$140,'Trends and nat. data'!$B$98,'Trends and nat. data'!$B$145,'Trends and nat. data'!$B$103,'Trends and nat. data'!$B$108,'Trends and nat. data'!$B$155,'Trends and nat. data'!$B$113,'Trends and nat. data'!$B$160)</c:f>
              <c:strCache>
                <c:ptCount val="13"/>
                <c:pt idx="0">
                  <c:v>ACT</c:v>
                </c:pt>
                <c:pt idx="1">
                  <c:v>NSW</c:v>
                </c:pt>
                <c:pt idx="2">
                  <c:v>NSW excl. fly ash</c:v>
                </c:pt>
                <c:pt idx="3">
                  <c:v>NT</c:v>
                </c:pt>
                <c:pt idx="4">
                  <c:v>Qld</c:v>
                </c:pt>
                <c:pt idx="5">
                  <c:v>Qld excl. fly ash</c:v>
                </c:pt>
                <c:pt idx="6">
                  <c:v>SA</c:v>
                </c:pt>
                <c:pt idx="7">
                  <c:v>SA excl. fly ash</c:v>
                </c:pt>
                <c:pt idx="8">
                  <c:v>Tas</c:v>
                </c:pt>
                <c:pt idx="9">
                  <c:v>Vic</c:v>
                </c:pt>
                <c:pt idx="10">
                  <c:v>Vic excl. fly ash</c:v>
                </c:pt>
                <c:pt idx="11">
                  <c:v>WA</c:v>
                </c:pt>
                <c:pt idx="12">
                  <c:v>WA excl. fly ash</c:v>
                </c:pt>
              </c:strCache>
            </c:strRef>
          </c:cat>
          <c:val>
            <c:numRef>
              <c:f>('Trends and nat. data'!$L$79,'Trends and nat. data'!$L$84,'Trends and nat. data'!$L$131,'Trends and nat. data'!$L$89,'Trends and nat. data'!$L$94,'Trends and nat. data'!$L$141,'Trends and nat. data'!$L$99,'Trends and nat. data'!$L$146,'Trends and nat. data'!$L$104,'Trends and nat. data'!$L$109,'Trends and nat. data'!$L$156,'Trends and nat. data'!$L$114,'Trends and nat. data'!$L$161)</c:f>
              <c:numCache>
                <c:formatCode>#,##0.00</c:formatCode>
                <c:ptCount val="13"/>
                <c:pt idx="0">
                  <c:v>0.54713059214797033</c:v>
                </c:pt>
                <c:pt idx="1">
                  <c:v>11.458928298233735</c:v>
                </c:pt>
                <c:pt idx="2">
                  <c:v>9.520315802925877</c:v>
                </c:pt>
                <c:pt idx="3">
                  <c:v>0.1288763836096127</c:v>
                </c:pt>
                <c:pt idx="4">
                  <c:v>5.5250203412112686</c:v>
                </c:pt>
                <c:pt idx="5">
                  <c:v>4.6413983412112687</c:v>
                </c:pt>
                <c:pt idx="6">
                  <c:v>3.3042971812369095</c:v>
                </c:pt>
                <c:pt idx="7">
                  <c:v>3.1582971812369096</c:v>
                </c:pt>
                <c:pt idx="8">
                  <c:v>0.42346602621456086</c:v>
                </c:pt>
                <c:pt idx="9">
                  <c:v>9.9722115287901332</c:v>
                </c:pt>
                <c:pt idx="10">
                  <c:v>8.4115052978861762</c:v>
                </c:pt>
                <c:pt idx="11">
                  <c:v>3.4106745734224613</c:v>
                </c:pt>
                <c:pt idx="12">
                  <c:v>3.0243687996342783</c:v>
                </c:pt>
              </c:numCache>
            </c:numRef>
          </c:val>
          <c:extLst>
            <c:ext xmlns:c16="http://schemas.microsoft.com/office/drawing/2014/chart" uri="{C3380CC4-5D6E-409C-BE32-E72D297353CC}">
              <c16:uniqueId val="{00000001-8A79-414C-963A-6CBF05AEEA38}"/>
            </c:ext>
          </c:extLst>
        </c:ser>
        <c:ser>
          <c:idx val="2"/>
          <c:order val="2"/>
          <c:tx>
            <c:strRef>
              <c:f>'Trends and nat. data'!$C$42</c:f>
              <c:strCache>
                <c:ptCount val="1"/>
                <c:pt idx="0">
                  <c:v>Energy recovery</c:v>
                </c:pt>
              </c:strCache>
            </c:strRef>
          </c:tx>
          <c:spPr>
            <a:noFill/>
          </c:spPr>
          <c:invertIfNegative val="0"/>
          <c:cat>
            <c:strRef>
              <c:f>('Trends and nat. data'!$B$78,'Trends and nat. data'!$B$83,'Trends and nat. data'!$B$130,'Trends and nat. data'!$B$88,'Trends and nat. data'!$B$93,'Trends and nat. data'!$B$140,'Trends and nat. data'!$B$98,'Trends and nat. data'!$B$145,'Trends and nat. data'!$B$103,'Trends and nat. data'!$B$108,'Trends and nat. data'!$B$155,'Trends and nat. data'!$B$113,'Trends and nat. data'!$B$160)</c:f>
              <c:strCache>
                <c:ptCount val="13"/>
                <c:pt idx="0">
                  <c:v>ACT</c:v>
                </c:pt>
                <c:pt idx="1">
                  <c:v>NSW</c:v>
                </c:pt>
                <c:pt idx="2">
                  <c:v>NSW excl. fly ash</c:v>
                </c:pt>
                <c:pt idx="3">
                  <c:v>NT</c:v>
                </c:pt>
                <c:pt idx="4">
                  <c:v>Qld</c:v>
                </c:pt>
                <c:pt idx="5">
                  <c:v>Qld excl. fly ash</c:v>
                </c:pt>
                <c:pt idx="6">
                  <c:v>SA</c:v>
                </c:pt>
                <c:pt idx="7">
                  <c:v>SA excl. fly ash</c:v>
                </c:pt>
                <c:pt idx="8">
                  <c:v>Tas</c:v>
                </c:pt>
                <c:pt idx="9">
                  <c:v>Vic</c:v>
                </c:pt>
                <c:pt idx="10">
                  <c:v>Vic excl. fly ash</c:v>
                </c:pt>
                <c:pt idx="11">
                  <c:v>WA</c:v>
                </c:pt>
                <c:pt idx="12">
                  <c:v>WA excl. fly ash</c:v>
                </c:pt>
              </c:strCache>
            </c:strRef>
          </c:cat>
          <c:val>
            <c:numRef>
              <c:f>('Trends and nat. data'!$L$80,'Trends and nat. data'!$L$85,'Trends and nat. data'!$L$132,'Trends and nat. data'!$L$90,'Trends and nat. data'!$L$95,'Trends and nat. data'!$L$142,'Trends and nat. data'!$L$100,'Trends and nat. data'!$L$147,'Trends and nat. data'!$L$105,'Trends and nat. data'!$L$110,'Trends and nat. data'!$L$157,'Trends and nat. data'!$L$115,'Trends and nat. data'!$L$162)</c:f>
              <c:numCache>
                <c:formatCode>#,##0.00</c:formatCode>
                <c:ptCount val="13"/>
                <c:pt idx="0">
                  <c:v>3.7002985953945175E-2</c:v>
                </c:pt>
                <c:pt idx="1">
                  <c:v>0.82076066229394617</c:v>
                </c:pt>
                <c:pt idx="2">
                  <c:v>0.82076066229394617</c:v>
                </c:pt>
                <c:pt idx="3">
                  <c:v>1.4043853522580496E-2</c:v>
                </c:pt>
                <c:pt idx="4">
                  <c:v>0.38985952475065444</c:v>
                </c:pt>
                <c:pt idx="5">
                  <c:v>0.38985952475065444</c:v>
                </c:pt>
                <c:pt idx="6">
                  <c:v>0.14942237642766357</c:v>
                </c:pt>
                <c:pt idx="7">
                  <c:v>0.14942237642766357</c:v>
                </c:pt>
                <c:pt idx="8">
                  <c:v>5.3225150797666647E-2</c:v>
                </c:pt>
                <c:pt idx="9">
                  <c:v>0.61748131164311604</c:v>
                </c:pt>
                <c:pt idx="10">
                  <c:v>0.61748131164311604</c:v>
                </c:pt>
                <c:pt idx="11">
                  <c:v>0.22948561010201246</c:v>
                </c:pt>
                <c:pt idx="12">
                  <c:v>0.22948561010201246</c:v>
                </c:pt>
              </c:numCache>
            </c:numRef>
          </c:val>
          <c:extLst>
            <c:ext xmlns:c16="http://schemas.microsoft.com/office/drawing/2014/chart" uri="{C3380CC4-5D6E-409C-BE32-E72D297353CC}">
              <c16:uniqueId val="{00000002-8A79-414C-963A-6CBF05AEEA38}"/>
            </c:ext>
          </c:extLst>
        </c:ser>
        <c:ser>
          <c:idx val="3"/>
          <c:order val="3"/>
          <c:tx>
            <c:strRef>
              <c:f>'Trends and nat. data'!$C$43</c:f>
              <c:strCache>
                <c:ptCount val="1"/>
                <c:pt idx="0">
                  <c:v>Generation</c:v>
                </c:pt>
              </c:strCache>
            </c:strRef>
          </c:tx>
          <c:spPr>
            <a:noFill/>
          </c:spPr>
          <c:invertIfNegative val="0"/>
          <c:cat>
            <c:strRef>
              <c:f>('Trends and nat. data'!$B$78,'Trends and nat. data'!$B$83,'Trends and nat. data'!$B$130,'Trends and nat. data'!$B$88,'Trends and nat. data'!$B$93,'Trends and nat. data'!$B$140,'Trends and nat. data'!$B$98,'Trends and nat. data'!$B$145,'Trends and nat. data'!$B$103,'Trends and nat. data'!$B$108,'Trends and nat. data'!$B$155,'Trends and nat. data'!$B$113,'Trends and nat. data'!$B$160)</c:f>
              <c:strCache>
                <c:ptCount val="13"/>
                <c:pt idx="0">
                  <c:v>ACT</c:v>
                </c:pt>
                <c:pt idx="1">
                  <c:v>NSW</c:v>
                </c:pt>
                <c:pt idx="2">
                  <c:v>NSW excl. fly ash</c:v>
                </c:pt>
                <c:pt idx="3">
                  <c:v>NT</c:v>
                </c:pt>
                <c:pt idx="4">
                  <c:v>Qld</c:v>
                </c:pt>
                <c:pt idx="5">
                  <c:v>Qld excl. fly ash</c:v>
                </c:pt>
                <c:pt idx="6">
                  <c:v>SA</c:v>
                </c:pt>
                <c:pt idx="7">
                  <c:v>SA excl. fly ash</c:v>
                </c:pt>
                <c:pt idx="8">
                  <c:v>Tas</c:v>
                </c:pt>
                <c:pt idx="9">
                  <c:v>Vic</c:v>
                </c:pt>
                <c:pt idx="10">
                  <c:v>Vic excl. fly ash</c:v>
                </c:pt>
                <c:pt idx="11">
                  <c:v>WA</c:v>
                </c:pt>
                <c:pt idx="12">
                  <c:v>WA excl. fly ash</c:v>
                </c:pt>
              </c:strCache>
            </c:strRef>
          </c:cat>
          <c:val>
            <c:numRef>
              <c:f>('Trends and nat. data'!$L$81,'Trends and nat. data'!$L$86,'Trends and nat. data'!$L$133,'Trends and nat. data'!$L$91,'Trends and nat. data'!$L$96,'Trends and nat. data'!$L$143,'Trends and nat. data'!$L$101,'Trends and nat. data'!$L$148,'Trends and nat. data'!$L$106,'Trends and nat. data'!$L$111,'Trends and nat. data'!$L$158,'Trends and nat. data'!$L$116,'Trends and nat. data'!$L$163)</c:f>
              <c:numCache>
                <c:formatCode>#,##0.00</c:formatCode>
                <c:ptCount val="13"/>
                <c:pt idx="0">
                  <c:v>0.77465631863969009</c:v>
                </c:pt>
                <c:pt idx="1">
                  <c:v>18.96118157064058</c:v>
                </c:pt>
                <c:pt idx="2">
                  <c:v>16.221156981583238</c:v>
                </c:pt>
                <c:pt idx="3">
                  <c:v>0.51051817240642883</c:v>
                </c:pt>
                <c:pt idx="4">
                  <c:v>15.712751258338242</c:v>
                </c:pt>
                <c:pt idx="5">
                  <c:v>10.497110258338243</c:v>
                </c:pt>
                <c:pt idx="6">
                  <c:v>4.4215049004738596</c:v>
                </c:pt>
                <c:pt idx="7">
                  <c:v>4.2755049004738606</c:v>
                </c:pt>
                <c:pt idx="8">
                  <c:v>0.94661314938149332</c:v>
                </c:pt>
                <c:pt idx="9">
                  <c:v>15.249274166168396</c:v>
                </c:pt>
                <c:pt idx="10">
                  <c:v>13.043380281071601</c:v>
                </c:pt>
                <c:pt idx="11">
                  <c:v>7.2950569168832775</c:v>
                </c:pt>
                <c:pt idx="12">
                  <c:v>6.7490543910374141</c:v>
                </c:pt>
              </c:numCache>
            </c:numRef>
          </c:val>
          <c:extLst>
            <c:ext xmlns:c16="http://schemas.microsoft.com/office/drawing/2014/chart" uri="{C3380CC4-5D6E-409C-BE32-E72D297353CC}">
              <c16:uniqueId val="{00000003-8A79-414C-963A-6CBF05AEEA38}"/>
            </c:ext>
          </c:extLst>
        </c:ser>
        <c:dLbls>
          <c:showLegendKey val="0"/>
          <c:showVal val="0"/>
          <c:showCatName val="0"/>
          <c:showSerName val="0"/>
          <c:showPercent val="0"/>
          <c:showBubbleSize val="0"/>
        </c:dLbls>
        <c:gapWidth val="150"/>
        <c:overlap val="100"/>
        <c:axId val="220173440"/>
        <c:axId val="220174976"/>
      </c:barChart>
      <c:catAx>
        <c:axId val="220173440"/>
        <c:scaling>
          <c:orientation val="minMax"/>
        </c:scaling>
        <c:delete val="1"/>
        <c:axPos val="b"/>
        <c:numFmt formatCode="General" sourceLinked="0"/>
        <c:majorTickMark val="none"/>
        <c:minorTickMark val="none"/>
        <c:tickLblPos val="nextTo"/>
        <c:crossAx val="220174976"/>
        <c:crosses val="autoZero"/>
        <c:auto val="1"/>
        <c:lblAlgn val="ctr"/>
        <c:lblOffset val="100"/>
        <c:noMultiLvlLbl val="0"/>
      </c:catAx>
      <c:valAx>
        <c:axId val="220174976"/>
        <c:scaling>
          <c:orientation val="minMax"/>
          <c:max val="21000"/>
        </c:scaling>
        <c:delete val="1"/>
        <c:axPos val="l"/>
        <c:numFmt formatCode="#,##0" sourceLinked="0"/>
        <c:majorTickMark val="out"/>
        <c:minorTickMark val="none"/>
        <c:tickLblPos val="nextTo"/>
        <c:crossAx val="220173440"/>
        <c:crosses val="autoZero"/>
        <c:crossBetween val="between"/>
        <c:majorUnit val="3000"/>
      </c:valAx>
      <c:dTable>
        <c:showHorzBorder val="1"/>
        <c:showVertBorder val="1"/>
        <c:showOutline val="1"/>
        <c:showKeys val="0"/>
        <c:spPr>
          <a:ln w="2540"/>
        </c:spPr>
      </c:dTable>
      <c:spPr>
        <a:noFill/>
      </c:spPr>
    </c:plotArea>
    <c:plotVisOnly val="1"/>
    <c:dispBlanksAs val="gap"/>
    <c:showDLblsOverMax val="0"/>
  </c:chart>
  <c:spPr>
    <a:noFill/>
    <a:ln>
      <a:noFill/>
    </a:ln>
  </c:spPr>
  <c:txPr>
    <a:bodyPr/>
    <a:lstStyle/>
    <a:p>
      <a:pPr>
        <a:defRPr sz="900"/>
      </a:pPr>
      <a:endParaRPr lang="en-US"/>
    </a:p>
  </c:txPr>
  <c:printSettings>
    <c:headerFooter/>
    <c:pageMargins b="0.75000000000000799" l="0.70000000000000062" r="0.70000000000000062" t="0.75000000000000799"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006691744471381"/>
          <c:y val="0.2056321342565888"/>
          <c:w val="0.71766894102325385"/>
          <c:h val="4.1353791874351738E-2"/>
        </c:manualLayout>
      </c:layout>
      <c:barChart>
        <c:barDir val="col"/>
        <c:grouping val="stacked"/>
        <c:varyColors val="0"/>
        <c:ser>
          <c:idx val="0"/>
          <c:order val="0"/>
          <c:tx>
            <c:v>Disposal (Mt)</c:v>
          </c:tx>
          <c:spPr>
            <a:noFill/>
          </c:spPr>
          <c:invertIfNegative val="0"/>
          <c:cat>
            <c:strRef>
              <c:f>'Trends and nat. data'!$M$56:$N$56</c:f>
              <c:strCache>
                <c:ptCount val="2"/>
                <c:pt idx="0">
                  <c:v>Non-hazardous organics</c:v>
                </c:pt>
                <c:pt idx="1">
                  <c:v>All organics</c:v>
                </c:pt>
              </c:strCache>
            </c:strRef>
          </c:cat>
          <c:val>
            <c:numRef>
              <c:f>'Trends and nat. data'!$M$57:$N$57</c:f>
              <c:numCache>
                <c:formatCode>#,##0.0</c:formatCode>
                <c:ptCount val="2"/>
                <c:pt idx="0" formatCode="0.0">
                  <c:v>6.2364638260746217</c:v>
                </c:pt>
                <c:pt idx="1">
                  <c:v>6.3117115767925043</c:v>
                </c:pt>
              </c:numCache>
            </c:numRef>
          </c:val>
          <c:extLst>
            <c:ext xmlns:c16="http://schemas.microsoft.com/office/drawing/2014/chart" uri="{C3380CC4-5D6E-409C-BE32-E72D297353CC}">
              <c16:uniqueId val="{00000000-375C-4BB0-B549-FCA412EECBEC}"/>
            </c:ext>
          </c:extLst>
        </c:ser>
        <c:ser>
          <c:idx val="1"/>
          <c:order val="1"/>
          <c:tx>
            <c:v>Recycling (Mt)</c:v>
          </c:tx>
          <c:spPr>
            <a:noFill/>
          </c:spPr>
          <c:invertIfNegative val="0"/>
          <c:cat>
            <c:strRef>
              <c:f>'Trends and nat. data'!$M$56:$N$56</c:f>
              <c:strCache>
                <c:ptCount val="2"/>
                <c:pt idx="0">
                  <c:v>Non-hazardous organics</c:v>
                </c:pt>
                <c:pt idx="1">
                  <c:v>All organics</c:v>
                </c:pt>
              </c:strCache>
            </c:strRef>
          </c:cat>
          <c:val>
            <c:numRef>
              <c:f>'Trends and nat. data'!$M$58:$N$58</c:f>
              <c:numCache>
                <c:formatCode>#,##0.0</c:formatCode>
                <c:ptCount val="2"/>
                <c:pt idx="0" formatCode="0.0">
                  <c:v>5.2104645639640639</c:v>
                </c:pt>
                <c:pt idx="1">
                  <c:v>7.3665311298185916</c:v>
                </c:pt>
              </c:numCache>
            </c:numRef>
          </c:val>
          <c:extLst>
            <c:ext xmlns:c16="http://schemas.microsoft.com/office/drawing/2014/chart" uri="{C3380CC4-5D6E-409C-BE32-E72D297353CC}">
              <c16:uniqueId val="{00000001-375C-4BB0-B549-FCA412EECBEC}"/>
            </c:ext>
          </c:extLst>
        </c:ser>
        <c:ser>
          <c:idx val="2"/>
          <c:order val="2"/>
          <c:tx>
            <c:v>En recovery (Mt)</c:v>
          </c:tx>
          <c:spPr>
            <a:noFill/>
          </c:spPr>
          <c:invertIfNegative val="0"/>
          <c:cat>
            <c:strRef>
              <c:f>'Trends and nat. data'!$M$56:$N$56</c:f>
              <c:strCache>
                <c:ptCount val="2"/>
                <c:pt idx="0">
                  <c:v>Non-hazardous organics</c:v>
                </c:pt>
                <c:pt idx="1">
                  <c:v>All organics</c:v>
                </c:pt>
              </c:strCache>
            </c:strRef>
          </c:cat>
          <c:val>
            <c:numRef>
              <c:f>'Trends and nat. data'!$M$59:$N$59</c:f>
              <c:numCache>
                <c:formatCode>#,##0.0</c:formatCode>
                <c:ptCount val="2"/>
                <c:pt idx="0" formatCode="0.0">
                  <c:v>1.3600198783885851</c:v>
                </c:pt>
                <c:pt idx="1">
                  <c:v>1.360019878388594</c:v>
                </c:pt>
              </c:numCache>
            </c:numRef>
          </c:val>
          <c:extLst>
            <c:ext xmlns:c16="http://schemas.microsoft.com/office/drawing/2014/chart" uri="{C3380CC4-5D6E-409C-BE32-E72D297353CC}">
              <c16:uniqueId val="{00000002-375C-4BB0-B549-FCA412EECBEC}"/>
            </c:ext>
          </c:extLst>
        </c:ser>
        <c:ser>
          <c:idx val="3"/>
          <c:order val="3"/>
          <c:tx>
            <c:v>Generation (Mt)</c:v>
          </c:tx>
          <c:spPr>
            <a:noFill/>
            <a:ln>
              <a:noFill/>
            </a:ln>
          </c:spPr>
          <c:invertIfNegative val="0"/>
          <c:cat>
            <c:strRef>
              <c:f>'Trends and nat. data'!$M$56:$N$56</c:f>
              <c:strCache>
                <c:ptCount val="2"/>
                <c:pt idx="0">
                  <c:v>Non-hazardous organics</c:v>
                </c:pt>
                <c:pt idx="1">
                  <c:v>All organics</c:v>
                </c:pt>
              </c:strCache>
            </c:strRef>
          </c:cat>
          <c:val>
            <c:numRef>
              <c:f>'Trends and nat. data'!$M$61:$N$61</c:f>
              <c:numCache>
                <c:formatCode>#,##0</c:formatCode>
                <c:ptCount val="2"/>
                <c:pt idx="0">
                  <c:v>12.80694826842727</c:v>
                </c:pt>
                <c:pt idx="1">
                  <c:v>15.038262584999689</c:v>
                </c:pt>
              </c:numCache>
            </c:numRef>
          </c:val>
          <c:extLst>
            <c:ext xmlns:c16="http://schemas.microsoft.com/office/drawing/2014/chart" uri="{C3380CC4-5D6E-409C-BE32-E72D297353CC}">
              <c16:uniqueId val="{00000003-375C-4BB0-B549-FCA412EECBEC}"/>
            </c:ext>
          </c:extLst>
        </c:ser>
        <c:ser>
          <c:idx val="4"/>
          <c:order val="4"/>
          <c:tx>
            <c:v>Generation (kg/cap)</c:v>
          </c:tx>
          <c:spPr>
            <a:noFill/>
          </c:spPr>
          <c:invertIfNegative val="0"/>
          <c:cat>
            <c:strRef>
              <c:f>'Trends and nat. data'!$M$56:$N$56</c:f>
              <c:strCache>
                <c:ptCount val="2"/>
                <c:pt idx="0">
                  <c:v>Non-hazardous organics</c:v>
                </c:pt>
                <c:pt idx="1">
                  <c:v>All organics</c:v>
                </c:pt>
              </c:strCache>
            </c:strRef>
          </c:cat>
          <c:val>
            <c:numRef>
              <c:f>'Trends and nat. data'!$M$62:$N$62</c:f>
              <c:numCache>
                <c:formatCode>0</c:formatCode>
                <c:ptCount val="2"/>
                <c:pt idx="0">
                  <c:v>542.34086086858611</c:v>
                </c:pt>
                <c:pt idx="1">
                  <c:v>636.83120329478334</c:v>
                </c:pt>
              </c:numCache>
            </c:numRef>
          </c:val>
          <c:extLst>
            <c:ext xmlns:c16="http://schemas.microsoft.com/office/drawing/2014/chart" uri="{C3380CC4-5D6E-409C-BE32-E72D297353CC}">
              <c16:uniqueId val="{00000004-375C-4BB0-B549-FCA412EECBEC}"/>
            </c:ext>
          </c:extLst>
        </c:ser>
        <c:dLbls>
          <c:showLegendKey val="0"/>
          <c:showVal val="0"/>
          <c:showCatName val="0"/>
          <c:showSerName val="0"/>
          <c:showPercent val="0"/>
          <c:showBubbleSize val="0"/>
        </c:dLbls>
        <c:gapWidth val="150"/>
        <c:overlap val="100"/>
        <c:axId val="220573696"/>
        <c:axId val="220575232"/>
      </c:barChart>
      <c:catAx>
        <c:axId val="220573696"/>
        <c:scaling>
          <c:orientation val="minMax"/>
        </c:scaling>
        <c:delete val="1"/>
        <c:axPos val="b"/>
        <c:numFmt formatCode="General" sourceLinked="0"/>
        <c:majorTickMark val="none"/>
        <c:minorTickMark val="none"/>
        <c:tickLblPos val="nextTo"/>
        <c:crossAx val="220575232"/>
        <c:crosses val="autoZero"/>
        <c:auto val="1"/>
        <c:lblAlgn val="ctr"/>
        <c:lblOffset val="100"/>
        <c:noMultiLvlLbl val="0"/>
      </c:catAx>
      <c:valAx>
        <c:axId val="220575232"/>
        <c:scaling>
          <c:orientation val="minMax"/>
        </c:scaling>
        <c:delete val="1"/>
        <c:axPos val="l"/>
        <c:numFmt formatCode="#,##0" sourceLinked="0"/>
        <c:majorTickMark val="out"/>
        <c:minorTickMark val="none"/>
        <c:tickLblPos val="nextTo"/>
        <c:crossAx val="220573696"/>
        <c:crosses val="autoZero"/>
        <c:crossBetween val="between"/>
        <c:majorUnit val="2000"/>
      </c:valAx>
      <c:dTable>
        <c:showHorzBorder val="1"/>
        <c:showVertBorder val="1"/>
        <c:showOutline val="1"/>
        <c:showKeys val="0"/>
        <c:spPr>
          <a:ln w="2540"/>
        </c:spPr>
        <c:txPr>
          <a:bodyPr/>
          <a:lstStyle/>
          <a:p>
            <a:pPr rtl="0">
              <a:defRPr sz="900"/>
            </a:pPr>
            <a:endParaRPr lang="en-US"/>
          </a:p>
        </c:txPr>
      </c:dTable>
      <c:spPr>
        <a:noFill/>
      </c:spPr>
    </c:plotArea>
    <c:plotVisOnly val="1"/>
    <c:dispBlanksAs val="gap"/>
    <c:showDLblsOverMax val="0"/>
  </c:chart>
  <c:spPr>
    <a:noFill/>
    <a:ln>
      <a:noFill/>
    </a:ln>
  </c:spPr>
  <c:txPr>
    <a:bodyPr/>
    <a:lstStyle/>
    <a:p>
      <a:pPr>
        <a:defRPr sz="850"/>
      </a:pPr>
      <a:endParaRPr lang="en-US"/>
    </a:p>
  </c:txPr>
  <c:printSettings>
    <c:headerFooter/>
    <c:pageMargins b="0.75000000000000844" l="0.70000000000000062" r="0.70000000000000062" t="0.75000000000000844"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72880240897206983"/>
          <c:h val="0.12808528285643614"/>
        </c:manualLayout>
      </c:layout>
      <c:areaChart>
        <c:grouping val="stacked"/>
        <c:varyColors val="0"/>
        <c:ser>
          <c:idx val="0"/>
          <c:order val="0"/>
          <c:tx>
            <c:strRef>
              <c:f>'Trends and nat. data'!$B$243</c:f>
              <c:strCache>
                <c:ptCount val="1"/>
                <c:pt idx="0">
                  <c:v>Recycling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data'!$D$131:$L$131,'Trends and nat. data'!$N$131)</c:f>
              <c:numCache>
                <c:formatCode>#,##0.00</c:formatCode>
                <c:ptCount val="10"/>
                <c:pt idx="0">
                  <c:v>8.1852141119749326</c:v>
                </c:pt>
                <c:pt idx="1">
                  <c:v>8.835498403066115</c:v>
                </c:pt>
                <c:pt idx="2">
                  <c:v>9.4857826941572991</c:v>
                </c:pt>
                <c:pt idx="3">
                  <c:v>9.5813904587947416</c:v>
                </c:pt>
                <c:pt idx="4">
                  <c:v>9.5210668633488602</c:v>
                </c:pt>
                <c:pt idx="5">
                  <c:v>9.520879098243114</c:v>
                </c:pt>
                <c:pt idx="6">
                  <c:v>9.5206913331373677</c:v>
                </c:pt>
                <c:pt idx="7">
                  <c:v>9.5205035680316215</c:v>
                </c:pt>
                <c:pt idx="8">
                  <c:v>9.520315802925877</c:v>
                </c:pt>
                <c:pt idx="9" formatCode="0.0%">
                  <c:v>1.6930461915549033E-2</c:v>
                </c:pt>
              </c:numCache>
            </c:numRef>
          </c:val>
          <c:extLst>
            <c:ext xmlns:c16="http://schemas.microsoft.com/office/drawing/2014/chart" uri="{C3380CC4-5D6E-409C-BE32-E72D297353CC}">
              <c16:uniqueId val="{00000000-DBE6-4A23-B5EF-BAEBB5E43E2E}"/>
            </c:ext>
          </c:extLst>
        </c:ser>
        <c:ser>
          <c:idx val="1"/>
          <c:order val="1"/>
          <c:tx>
            <c:strRef>
              <c:f>'Trends and nat. data'!$B$242</c:f>
              <c:strCache>
                <c:ptCount val="1"/>
                <c:pt idx="0">
                  <c:v>Energy recovery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data'!$D$132:$L$132,'Trends and nat. data'!$N$132)</c:f>
              <c:numCache>
                <c:formatCode>#,##0.00</c:formatCode>
                <c:ptCount val="10"/>
                <c:pt idx="0">
                  <c:v>0.42137103007476745</c:v>
                </c:pt>
                <c:pt idx="1">
                  <c:v>0.46283253754276654</c:v>
                </c:pt>
                <c:pt idx="2">
                  <c:v>0.50429404501076569</c:v>
                </c:pt>
                <c:pt idx="3">
                  <c:v>0.78893446894330199</c:v>
                </c:pt>
                <c:pt idx="4">
                  <c:v>0.73023872511197774</c:v>
                </c:pt>
                <c:pt idx="5">
                  <c:v>0.74855950700254681</c:v>
                </c:pt>
                <c:pt idx="6">
                  <c:v>0.76688028889311588</c:v>
                </c:pt>
                <c:pt idx="7">
                  <c:v>0.78520107078368506</c:v>
                </c:pt>
                <c:pt idx="8">
                  <c:v>0.82076066229394617</c:v>
                </c:pt>
                <c:pt idx="9" formatCode="0.0%">
                  <c:v>7.6892689655238877E-2</c:v>
                </c:pt>
              </c:numCache>
            </c:numRef>
          </c:val>
          <c:extLst>
            <c:ext xmlns:c16="http://schemas.microsoft.com/office/drawing/2014/chart" uri="{C3380CC4-5D6E-409C-BE32-E72D297353CC}">
              <c16:uniqueId val="{00000001-DBE6-4A23-B5EF-BAEBB5E43E2E}"/>
            </c:ext>
          </c:extLst>
        </c:ser>
        <c:ser>
          <c:idx val="4"/>
          <c:order val="2"/>
          <c:tx>
            <c:strRef>
              <c:f>'Trends and nat. data'!$B$247</c:f>
              <c:strCache>
                <c:ptCount val="1"/>
                <c:pt idx="0">
                  <c:v>Generation excl.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data'!$D$133:$L$133,'Trends and nat. data'!$N$133)</c:f>
              <c:numCache>
                <c:formatCode>#,##0.00</c:formatCode>
                <c:ptCount val="10"/>
                <c:pt idx="0">
                  <c:v>13.654829064292111</c:v>
                </c:pt>
                <c:pt idx="1">
                  <c:v>15.058677394272021</c:v>
                </c:pt>
                <c:pt idx="2">
                  <c:v>16.462525724251936</c:v>
                </c:pt>
                <c:pt idx="3">
                  <c:v>15.774587918751875</c:v>
                </c:pt>
                <c:pt idx="4">
                  <c:v>14.998308078543403</c:v>
                </c:pt>
                <c:pt idx="5">
                  <c:v>15.299710601898438</c:v>
                </c:pt>
                <c:pt idx="6">
                  <c:v>15.601113125253473</c:v>
                </c:pt>
                <c:pt idx="7">
                  <c:v>15.799692183521666</c:v>
                </c:pt>
                <c:pt idx="8">
                  <c:v>16.221156981583238</c:v>
                </c:pt>
                <c:pt idx="9" formatCode="0.0%">
                  <c:v>1.9320169348782334E-2</c:v>
                </c:pt>
              </c:numCache>
            </c:numRef>
          </c:val>
          <c:extLst>
            <c:ext xmlns:c16="http://schemas.microsoft.com/office/drawing/2014/chart" uri="{C3380CC4-5D6E-409C-BE32-E72D297353CC}">
              <c16:uniqueId val="{00000002-DBE6-4A23-B5EF-BAEBB5E43E2E}"/>
            </c:ext>
          </c:extLst>
        </c:ser>
        <c:ser>
          <c:idx val="2"/>
          <c:order val="3"/>
          <c:tx>
            <c:strRef>
              <c:f>'Trends and nat. data'!$B$246</c:f>
              <c:strCache>
                <c:ptCount val="1"/>
                <c:pt idx="0">
                  <c:v>Generation incl.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data'!$D$86:$L$86,'Trends and nat. data'!$N$86)</c:f>
              <c:numCache>
                <c:formatCode>#,##0.00</c:formatCode>
                <c:ptCount val="10"/>
                <c:pt idx="0">
                  <c:v>18.605871049608719</c:v>
                </c:pt>
                <c:pt idx="1">
                  <c:v>19.944269709829129</c:v>
                </c:pt>
                <c:pt idx="2">
                  <c:v>21.282668370049539</c:v>
                </c:pt>
                <c:pt idx="3">
                  <c:v>20.492441963360523</c:v>
                </c:pt>
                <c:pt idx="4">
                  <c:v>19.503549623774035</c:v>
                </c:pt>
                <c:pt idx="5">
                  <c:v>19.231622305144882</c:v>
                </c:pt>
                <c:pt idx="6">
                  <c:v>18.959694986515732</c:v>
                </c:pt>
                <c:pt idx="7">
                  <c:v>18.687767667886579</c:v>
                </c:pt>
                <c:pt idx="8">
                  <c:v>18.96118157064058</c:v>
                </c:pt>
                <c:pt idx="9" formatCode="0.0%">
                  <c:v>2.1040587950469369E-3</c:v>
                </c:pt>
              </c:numCache>
            </c:numRef>
          </c:val>
          <c:extLst>
            <c:ext xmlns:c16="http://schemas.microsoft.com/office/drawing/2014/chart" uri="{C3380CC4-5D6E-409C-BE32-E72D297353CC}">
              <c16:uniqueId val="{00000003-DBE6-4A23-B5EF-BAEBB5E43E2E}"/>
            </c:ext>
          </c:extLst>
        </c:ser>
        <c:ser>
          <c:idx val="3"/>
          <c:order val="5"/>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data'!$Q$133:$Y$133,'Trends and nat. data'!$AA$133)</c:f>
              <c:numCache>
                <c:formatCode>#,##0</c:formatCode>
                <c:ptCount val="10"/>
                <c:pt idx="0">
                  <c:v>2012.1584319102567</c:v>
                </c:pt>
                <c:pt idx="1">
                  <c:v>2187.5364831016154</c:v>
                </c:pt>
                <c:pt idx="2">
                  <c:v>2351.1908431670586</c:v>
                </c:pt>
                <c:pt idx="3">
                  <c:v>2221.3024056244813</c:v>
                </c:pt>
                <c:pt idx="4">
                  <c:v>2088.9325588011575</c:v>
                </c:pt>
                <c:pt idx="5">
                  <c:v>2106.936137681439</c:v>
                </c:pt>
                <c:pt idx="6">
                  <c:v>2120.624061283494</c:v>
                </c:pt>
                <c:pt idx="7">
                  <c:v>2118.0455613240651</c:v>
                </c:pt>
                <c:pt idx="8">
                  <c:v>2144.3435513643685</c:v>
                </c:pt>
                <c:pt idx="9" formatCode="0.0%">
                  <c:v>7.094545248079509E-3</c:v>
                </c:pt>
              </c:numCache>
            </c:numRef>
          </c:val>
          <c:extLst>
            <c:ext xmlns:c16="http://schemas.microsoft.com/office/drawing/2014/chart" uri="{C3380CC4-5D6E-409C-BE32-E72D297353CC}">
              <c16:uniqueId val="{00000005-DBE6-4A23-B5EF-BAEBB5E43E2E}"/>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data'!$C$82</c:f>
              <c:strCache>
                <c:ptCount val="1"/>
                <c:pt idx="0">
                  <c:v>Recovery rate</c:v>
                </c:pt>
              </c:strCache>
            </c:strRef>
          </c:tx>
          <c:spPr>
            <a:ln w="28575">
              <a:noFill/>
            </a:ln>
          </c:spPr>
          <c:marker>
            <c:spPr>
              <a:noFill/>
              <a:ln>
                <a:noFill/>
              </a:ln>
            </c:spPr>
          </c:marker>
          <c:val>
            <c:numRef>
              <c:f>'Trends and nat. data'!$D$134:$L$134</c:f>
              <c:numCache>
                <c:formatCode>0%</c:formatCode>
                <c:ptCount val="9"/>
                <c:pt idx="0">
                  <c:v>0.63029607339107918</c:v>
                </c:pt>
                <c:pt idx="1">
                  <c:v>0.61747328116251132</c:v>
                </c:pt>
                <c:pt idx="2">
                  <c:v>0.6068374261946381</c:v>
                </c:pt>
                <c:pt idx="3">
                  <c:v>0.6574070258539324</c:v>
                </c:pt>
                <c:pt idx="4">
                  <c:v>0.68349746749944196</c:v>
                </c:pt>
                <c:pt idx="5">
                  <c:v>0.67121783362172849</c:v>
                </c:pt>
                <c:pt idx="6">
                  <c:v>0.65941266750883454</c:v>
                </c:pt>
                <c:pt idx="7">
                  <c:v>0.65227249487579708</c:v>
                </c:pt>
                <c:pt idx="8">
                  <c:v>0.63750547984712858</c:v>
                </c:pt>
              </c:numCache>
            </c:numRef>
          </c:val>
          <c:smooth val="0"/>
          <c:extLst>
            <c:ext xmlns:c16="http://schemas.microsoft.com/office/drawing/2014/chart" uri="{C3380CC4-5D6E-409C-BE32-E72D297353CC}">
              <c16:uniqueId val="{00000004-DBE6-4A23-B5EF-BAEBB5E43E2E}"/>
            </c:ext>
          </c:extLst>
        </c:ser>
        <c:ser>
          <c:idx val="6"/>
          <c:order val="6"/>
          <c:tx>
            <c:strRef>
              <c:f>'Trends and nat. data'!$B$244</c:f>
              <c:strCache>
                <c:ptCount val="1"/>
                <c:pt idx="0">
                  <c:v>Disposal (Mt)</c:v>
                </c:pt>
              </c:strCache>
            </c:strRef>
          </c:tx>
          <c:spPr>
            <a:ln w="28575">
              <a:noFill/>
            </a:ln>
          </c:spPr>
          <c:marker>
            <c:spPr>
              <a:noFill/>
              <a:ln>
                <a:noFill/>
              </a:ln>
            </c:spPr>
          </c:marker>
          <c:val>
            <c:numRef>
              <c:f>('Trends and nat. data'!$D$130:$L$130,'Trends and nat. data'!$N$130)</c:f>
              <c:numCache>
                <c:formatCode>#,##0.00</c:formatCode>
                <c:ptCount val="10"/>
                <c:pt idx="0">
                  <c:v>5.0482439222424089</c:v>
                </c:pt>
                <c:pt idx="1">
                  <c:v>5.7603464536631401</c:v>
                </c:pt>
                <c:pt idx="2">
                  <c:v>6.4724489850838713</c:v>
                </c:pt>
                <c:pt idx="3">
                  <c:v>5.404262991013832</c:v>
                </c:pt>
                <c:pt idx="4">
                  <c:v>4.747002490082564</c:v>
                </c:pt>
                <c:pt idx="5">
                  <c:v>5.0302719966527771</c:v>
                </c:pt>
                <c:pt idx="6">
                  <c:v>5.3135415032229902</c:v>
                </c:pt>
                <c:pt idx="7">
                  <c:v>5.4939875447063589</c:v>
                </c:pt>
                <c:pt idx="8">
                  <c:v>5.8800805163634164</c:v>
                </c:pt>
                <c:pt idx="9" formatCode="0.0%">
                  <c:v>1.7092207302197293E-2</c:v>
                </c:pt>
              </c:numCache>
            </c:numRef>
          </c:val>
          <c:smooth val="0"/>
          <c:extLst>
            <c:ext xmlns:c16="http://schemas.microsoft.com/office/drawing/2014/chart" uri="{C3380CC4-5D6E-409C-BE32-E72D297353CC}">
              <c16:uniqueId val="{00000006-DBE6-4A23-B5EF-BAEBB5E43E2E}"/>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79785077047851"/>
          <c:y val="0.10985614035087721"/>
          <c:w val="0.62359730639730637"/>
          <c:h val="0.48483538011695909"/>
        </c:manualLayout>
      </c:layout>
      <c:barChart>
        <c:barDir val="col"/>
        <c:grouping val="stacked"/>
        <c:varyColors val="0"/>
        <c:ser>
          <c:idx val="0"/>
          <c:order val="0"/>
          <c:tx>
            <c:strRef>
              <c:f>NSW.!$C$70</c:f>
              <c:strCache>
                <c:ptCount val="1"/>
                <c:pt idx="0">
                  <c:v>Disposal</c:v>
                </c:pt>
              </c:strCache>
            </c:strRef>
          </c:tx>
          <c:spPr>
            <a:solidFill>
              <a:schemeClr val="accent3">
                <a:lumMod val="50000"/>
              </a:schemeClr>
            </a:solidFill>
          </c:spPr>
          <c:invertIfNegative val="0"/>
          <c:cat>
            <c:strRef>
              <c:f>NSW.!$D$67:$G$67</c:f>
              <c:strCache>
                <c:ptCount val="4"/>
                <c:pt idx="0">
                  <c:v>MSW</c:v>
                </c:pt>
                <c:pt idx="1">
                  <c:v>C&amp;I</c:v>
                </c:pt>
                <c:pt idx="2">
                  <c:v>C&amp;I excl. fly ash</c:v>
                </c:pt>
                <c:pt idx="3">
                  <c:v>C&amp;D</c:v>
                </c:pt>
              </c:strCache>
            </c:strRef>
          </c:cat>
          <c:val>
            <c:numRef>
              <c:f>NSW.!$D$70:$G$70</c:f>
              <c:numCache>
                <c:formatCode>#,##0</c:formatCode>
                <c:ptCount val="4"/>
                <c:pt idx="0">
                  <c:v>1881.2041634498671</c:v>
                </c:pt>
                <c:pt idx="1">
                  <c:v>3206.5670981666985</c:v>
                </c:pt>
                <c:pt idx="2">
                  <c:v>2405.1550044172172</c:v>
                </c:pt>
                <c:pt idx="3">
                  <c:v>1593.7213484963322</c:v>
                </c:pt>
              </c:numCache>
            </c:numRef>
          </c:val>
          <c:extLst>
            <c:ext xmlns:c16="http://schemas.microsoft.com/office/drawing/2014/chart" uri="{C3380CC4-5D6E-409C-BE32-E72D297353CC}">
              <c16:uniqueId val="{00000000-D888-49EB-A232-8FBF76E3E9D0}"/>
            </c:ext>
          </c:extLst>
        </c:ser>
        <c:ser>
          <c:idx val="1"/>
          <c:order val="1"/>
          <c:tx>
            <c:strRef>
              <c:f>NSW.!$C$71</c:f>
              <c:strCache>
                <c:ptCount val="1"/>
                <c:pt idx="0">
                  <c:v>Recycling</c:v>
                </c:pt>
              </c:strCache>
            </c:strRef>
          </c:tx>
          <c:spPr>
            <a:solidFill>
              <a:srgbClr val="FFFF00"/>
            </a:solidFill>
          </c:spPr>
          <c:invertIfNegative val="0"/>
          <c:cat>
            <c:strRef>
              <c:f>NSW.!$D$67:$G$67</c:f>
              <c:strCache>
                <c:ptCount val="4"/>
                <c:pt idx="0">
                  <c:v>MSW</c:v>
                </c:pt>
                <c:pt idx="1">
                  <c:v>C&amp;I</c:v>
                </c:pt>
                <c:pt idx="2">
                  <c:v>C&amp;I excl. fly ash</c:v>
                </c:pt>
                <c:pt idx="3">
                  <c:v>C&amp;D</c:v>
                </c:pt>
              </c:strCache>
            </c:strRef>
          </c:cat>
          <c:val>
            <c:numRef>
              <c:f>NSW.!$D$71:$G$71</c:f>
              <c:numCache>
                <c:formatCode>#,##0</c:formatCode>
                <c:ptCount val="4"/>
                <c:pt idx="0">
                  <c:v>2357.8855050624052</c:v>
                </c:pt>
                <c:pt idx="1">
                  <c:v>4695.8276986769934</c:v>
                </c:pt>
                <c:pt idx="2">
                  <c:v>2757.2152033691332</c:v>
                </c:pt>
                <c:pt idx="3">
                  <c:v>4405.2150944943369</c:v>
                </c:pt>
              </c:numCache>
            </c:numRef>
          </c:val>
          <c:extLst>
            <c:ext xmlns:c16="http://schemas.microsoft.com/office/drawing/2014/chart" uri="{C3380CC4-5D6E-409C-BE32-E72D297353CC}">
              <c16:uniqueId val="{00000001-D888-49EB-A232-8FBF76E3E9D0}"/>
            </c:ext>
          </c:extLst>
        </c:ser>
        <c:ser>
          <c:idx val="2"/>
          <c:order val="2"/>
          <c:tx>
            <c:strRef>
              <c:f>NSW.!$C$72</c:f>
              <c:strCache>
                <c:ptCount val="1"/>
                <c:pt idx="0">
                  <c:v>Energy recovery</c:v>
                </c:pt>
              </c:strCache>
            </c:strRef>
          </c:tx>
          <c:spPr>
            <a:solidFill>
              <a:schemeClr val="accent6">
                <a:lumMod val="75000"/>
              </a:schemeClr>
            </a:solidFill>
          </c:spPr>
          <c:invertIfNegative val="0"/>
          <c:cat>
            <c:strRef>
              <c:f>NSW.!$D$67:$G$67</c:f>
              <c:strCache>
                <c:ptCount val="4"/>
                <c:pt idx="0">
                  <c:v>MSW</c:v>
                </c:pt>
                <c:pt idx="1">
                  <c:v>C&amp;I</c:v>
                </c:pt>
                <c:pt idx="2">
                  <c:v>C&amp;I excl. fly ash</c:v>
                </c:pt>
                <c:pt idx="3">
                  <c:v>C&amp;D</c:v>
                </c:pt>
              </c:strCache>
            </c:strRef>
          </c:cat>
          <c:val>
            <c:numRef>
              <c:f>NSW.!$D$72:$G$72</c:f>
              <c:numCache>
                <c:formatCode>#,##0</c:formatCode>
                <c:ptCount val="4"/>
                <c:pt idx="0">
                  <c:v>366.25244976112077</c:v>
                </c:pt>
                <c:pt idx="1">
                  <c:v>347.49047809673982</c:v>
                </c:pt>
                <c:pt idx="2">
                  <c:v>347.49047809673982</c:v>
                </c:pt>
                <c:pt idx="3">
                  <c:v>107.01773443608572</c:v>
                </c:pt>
              </c:numCache>
            </c:numRef>
          </c:val>
          <c:extLst>
            <c:ext xmlns:c16="http://schemas.microsoft.com/office/drawing/2014/chart" uri="{C3380CC4-5D6E-409C-BE32-E72D297353CC}">
              <c16:uniqueId val="{00000002-D888-49EB-A232-8FBF76E3E9D0}"/>
            </c:ext>
          </c:extLst>
        </c:ser>
        <c:ser>
          <c:idx val="3"/>
          <c:order val="3"/>
          <c:tx>
            <c:strRef>
              <c:f>NSW.!$C$73</c:f>
              <c:strCache>
                <c:ptCount val="1"/>
                <c:pt idx="0">
                  <c:v>Recovery rate</c:v>
                </c:pt>
              </c:strCache>
            </c:strRef>
          </c:tx>
          <c:spPr>
            <a:noFill/>
            <a:ln>
              <a:noFill/>
            </a:ln>
          </c:spPr>
          <c:invertIfNegative val="0"/>
          <c:dLbls>
            <c:dLbl>
              <c:idx val="0"/>
              <c:layout>
                <c:manualLayout>
                  <c:x val="0"/>
                  <c:y val="-3.19307017543859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D1-4E23-A932-205BF45C7C00}"/>
                </c:ext>
              </c:extLst>
            </c:dLbl>
            <c:dLbl>
              <c:idx val="1"/>
              <c:layout>
                <c:manualLayout>
                  <c:x val="-7.8680266171218451E-17"/>
                  <c:y val="-2.82157894736842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88-49EB-A232-8FBF76E3E9D0}"/>
                </c:ext>
              </c:extLst>
            </c:dLbl>
            <c:dLbl>
              <c:idx val="2"/>
              <c:layout>
                <c:manualLayout>
                  <c:x val="0"/>
                  <c:y val="-5.049853801169590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D1-4E23-A932-205BF45C7C00}"/>
                </c:ext>
              </c:extLst>
            </c:dLbl>
            <c:dLbl>
              <c:idx val="3"/>
              <c:layout>
                <c:manualLayout>
                  <c:x val="0"/>
                  <c:y val="-3.19271929824561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D1-4E23-A932-205BF45C7C00}"/>
                </c:ext>
              </c:extLst>
            </c:dLbl>
            <c:spPr>
              <a:noFill/>
              <a:ln>
                <a:noFill/>
              </a:ln>
              <a:effectLst/>
            </c:spPr>
            <c:txPr>
              <a:bodyPr wrap="square" lIns="38100" tIns="19050" rIns="38100" bIns="19050" anchor="ctr">
                <a:spAutoFit/>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NSW.!$D$67:$G$67</c:f>
              <c:strCache>
                <c:ptCount val="4"/>
                <c:pt idx="0">
                  <c:v>MSW</c:v>
                </c:pt>
                <c:pt idx="1">
                  <c:v>C&amp;I</c:v>
                </c:pt>
                <c:pt idx="2">
                  <c:v>C&amp;I excl. fly ash</c:v>
                </c:pt>
                <c:pt idx="3">
                  <c:v>C&amp;D</c:v>
                </c:pt>
              </c:strCache>
            </c:strRef>
          </c:cat>
          <c:val>
            <c:numRef>
              <c:f>NSW.!$D$73:$G$73</c:f>
              <c:numCache>
                <c:formatCode>0%</c:formatCode>
                <c:ptCount val="4"/>
                <c:pt idx="0">
                  <c:v>0.59151695679990934</c:v>
                </c:pt>
                <c:pt idx="1">
                  <c:v>0.61131979520892787</c:v>
                </c:pt>
                <c:pt idx="2">
                  <c:v>0.56348170279885534</c:v>
                </c:pt>
                <c:pt idx="3">
                  <c:v>0.73898897663067997</c:v>
                </c:pt>
              </c:numCache>
            </c:numRef>
          </c:val>
          <c:extLst>
            <c:ext xmlns:c16="http://schemas.microsoft.com/office/drawing/2014/chart" uri="{C3380CC4-5D6E-409C-BE32-E72D297353CC}">
              <c16:uniqueId val="{00000006-D888-49EB-A232-8FBF76E3E9D0}"/>
            </c:ext>
          </c:extLst>
        </c:ser>
        <c:dLbls>
          <c:showLegendKey val="0"/>
          <c:showVal val="0"/>
          <c:showCatName val="0"/>
          <c:showSerName val="0"/>
          <c:showPercent val="0"/>
          <c:showBubbleSize val="0"/>
        </c:dLbls>
        <c:gapWidth val="150"/>
        <c:overlap val="100"/>
        <c:axId val="219379584"/>
        <c:axId val="219381120"/>
      </c:barChart>
      <c:lineChart>
        <c:grouping val="standard"/>
        <c:varyColors val="0"/>
        <c:ser>
          <c:idx val="4"/>
          <c:order val="4"/>
          <c:tx>
            <c:strRef>
              <c:f>NSW.!$C$75</c:f>
              <c:strCache>
                <c:ptCount val="1"/>
                <c:pt idx="0">
                  <c:v>Generation (kg per capita)</c:v>
                </c:pt>
              </c:strCache>
            </c:strRef>
          </c:tx>
          <c:spPr>
            <a:ln>
              <a:noFill/>
            </a:ln>
          </c:spPr>
          <c:marker>
            <c:symbol val="none"/>
          </c:marker>
          <c:val>
            <c:numRef>
              <c:f>NSW.!$D$75:$G$75</c:f>
              <c:numCache>
                <c:formatCode>#,##0</c:formatCode>
                <c:ptCount val="4"/>
                <c:pt idx="0">
                  <c:v>608.79971042499562</c:v>
                </c:pt>
                <c:pt idx="1">
                  <c:v>1090.5873304166566</c:v>
                </c:pt>
                <c:pt idx="2">
                  <c:v>728.37185683510211</c:v>
                </c:pt>
                <c:pt idx="3">
                  <c:v>807.1719841042709</c:v>
                </c:pt>
              </c:numCache>
            </c:numRef>
          </c:val>
          <c:smooth val="0"/>
          <c:extLst>
            <c:ext xmlns:c16="http://schemas.microsoft.com/office/drawing/2014/chart" uri="{C3380CC4-5D6E-409C-BE32-E72D297353CC}">
              <c16:uniqueId val="{00000007-D888-49EB-A232-8FBF76E3E9D0}"/>
            </c:ext>
          </c:extLst>
        </c:ser>
        <c:dLbls>
          <c:showLegendKey val="0"/>
          <c:showVal val="0"/>
          <c:showCatName val="0"/>
          <c:showSerName val="0"/>
          <c:showPercent val="0"/>
          <c:showBubbleSize val="0"/>
        </c:dLbls>
        <c:marker val="1"/>
        <c:smooth val="0"/>
        <c:axId val="997660824"/>
        <c:axId val="997657872"/>
      </c:lineChart>
      <c:catAx>
        <c:axId val="21937958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19381120"/>
        <c:crosses val="autoZero"/>
        <c:auto val="1"/>
        <c:lblAlgn val="ctr"/>
        <c:lblOffset val="100"/>
        <c:noMultiLvlLbl val="0"/>
      </c:catAx>
      <c:valAx>
        <c:axId val="219381120"/>
        <c:scaling>
          <c:orientation val="minMax"/>
          <c:min val="0"/>
        </c:scaling>
        <c:delete val="0"/>
        <c:axPos val="l"/>
        <c:majorGridlines>
          <c:spPr>
            <a:ln w="2540"/>
          </c:spPr>
        </c:majorGridlines>
        <c:title>
          <c:tx>
            <c:rich>
              <a:bodyPr/>
              <a:lstStyle/>
              <a:p>
                <a:pPr>
                  <a:defRPr/>
                </a:pPr>
                <a:r>
                  <a:rPr lang="en-AU"/>
                  <a:t>Kilotonnes</a:t>
                </a:r>
                <a:r>
                  <a:rPr lang="en-AU" baseline="0"/>
                  <a:t> (kt)</a:t>
                </a:r>
                <a:endParaRPr lang="en-AU"/>
              </a:p>
            </c:rich>
          </c:tx>
          <c:layout>
            <c:manualLayout>
              <c:xMode val="edge"/>
              <c:yMode val="edge"/>
              <c:x val="0.15383887537172208"/>
              <c:y val="0.21653801169590645"/>
            </c:manualLayout>
          </c:layout>
          <c:overlay val="0"/>
        </c:title>
        <c:numFmt formatCode="#,##0" sourceLinked="0"/>
        <c:majorTickMark val="out"/>
        <c:minorTickMark val="none"/>
        <c:tickLblPos val="nextTo"/>
        <c:spPr>
          <a:ln>
            <a:noFill/>
          </a:ln>
        </c:spPr>
        <c:crossAx val="219379584"/>
        <c:crosses val="autoZero"/>
        <c:crossBetween val="between"/>
        <c:majorUnit val="2000"/>
      </c:valAx>
      <c:valAx>
        <c:axId val="997657872"/>
        <c:scaling>
          <c:orientation val="minMax"/>
        </c:scaling>
        <c:delete val="0"/>
        <c:axPos val="r"/>
        <c:title>
          <c:tx>
            <c:rich>
              <a:bodyPr/>
              <a:lstStyle/>
              <a:p>
                <a:pPr>
                  <a:defRPr/>
                </a:pPr>
                <a:r>
                  <a:rPr lang="en-AU" baseline="0"/>
                  <a:t>Kg per capita</a:t>
                </a:r>
                <a:endParaRPr lang="en-AU"/>
              </a:p>
            </c:rich>
          </c:tx>
          <c:layout>
            <c:manualLayout>
              <c:xMode val="edge"/>
              <c:yMode val="edge"/>
              <c:x val="0.95927919708029197"/>
              <c:y val="0.22968362573099416"/>
            </c:manualLayout>
          </c:layout>
          <c:overlay val="0"/>
        </c:title>
        <c:numFmt formatCode="#,##0;\-#,##0;;" sourceLinked="0"/>
        <c:majorTickMark val="out"/>
        <c:minorTickMark val="none"/>
        <c:tickLblPos val="nextTo"/>
        <c:spPr>
          <a:ln>
            <a:noFill/>
          </a:ln>
        </c:spPr>
        <c:crossAx val="997660824"/>
        <c:crosses val="max"/>
        <c:crossBetween val="between"/>
        <c:majorUnit val="264"/>
      </c:valAx>
      <c:catAx>
        <c:axId val="997660824"/>
        <c:scaling>
          <c:orientation val="minMax"/>
        </c:scaling>
        <c:delete val="1"/>
        <c:axPos val="b"/>
        <c:majorTickMark val="out"/>
        <c:minorTickMark val="none"/>
        <c:tickLblPos val="nextTo"/>
        <c:crossAx val="997657872"/>
        <c:crosses val="autoZero"/>
        <c:auto val="1"/>
        <c:lblAlgn val="ctr"/>
        <c:lblOffset val="100"/>
        <c:noMultiLvlLbl val="0"/>
      </c:catAx>
    </c:plotArea>
    <c:legend>
      <c:legendPos val="t"/>
      <c:legendEntry>
        <c:idx val="3"/>
        <c:delete val="1"/>
      </c:legendEntry>
      <c:legendEntry>
        <c:idx val="4"/>
        <c:delete val="1"/>
      </c:legendEntry>
      <c:layout>
        <c:manualLayout>
          <c:xMode val="edge"/>
          <c:yMode val="edge"/>
          <c:x val="0.35616872803460392"/>
          <c:y val="2.5067543859649117E-2"/>
          <c:w val="0.4386014801297648"/>
          <c:h val="6.7150000000000001E-2"/>
        </c:manualLayout>
      </c:layout>
      <c:overlay val="0"/>
    </c:legend>
    <c:plotVisOnly val="1"/>
    <c:dispBlanksAs val="gap"/>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69466629719898043"/>
          <c:h val="0.12808528285643614"/>
        </c:manualLayout>
      </c:layout>
      <c:areaChart>
        <c:grouping val="stacked"/>
        <c:varyColors val="0"/>
        <c:ser>
          <c:idx val="0"/>
          <c:order val="0"/>
          <c:tx>
            <c:strRef>
              <c:f>'Trends and nat. data'!$B$244</c:f>
              <c:strCache>
                <c:ptCount val="1"/>
                <c:pt idx="0">
                  <c:v>Disposal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data'!$D$188:$L$188</c:f>
              <c:numCache>
                <c:formatCode>#,##0.00</c:formatCode>
                <c:ptCount val="9"/>
                <c:pt idx="0">
                  <c:v>5.4587414087159711</c:v>
                </c:pt>
                <c:pt idx="1">
                  <c:v>6.1669629742760907</c:v>
                </c:pt>
                <c:pt idx="2">
                  <c:v>6.8751845398362104</c:v>
                </c:pt>
                <c:pt idx="3">
                  <c:v>6.9642811242748222</c:v>
                </c:pt>
                <c:pt idx="4">
                  <c:v>5.7278264720679362</c:v>
                </c:pt>
                <c:pt idx="5">
                  <c:v>6.2430109029530145</c:v>
                </c:pt>
                <c:pt idx="6">
                  <c:v>6.7581953338380929</c:v>
                </c:pt>
                <c:pt idx="7">
                  <c:v>7.2733797647231722</c:v>
                </c:pt>
                <c:pt idx="8">
                  <c:v>7.1298242820995412</c:v>
                </c:pt>
              </c:numCache>
            </c:numRef>
          </c:val>
          <c:extLst>
            <c:ext xmlns:c16="http://schemas.microsoft.com/office/drawing/2014/chart" uri="{C3380CC4-5D6E-409C-BE32-E72D297353CC}">
              <c16:uniqueId val="{00000000-16BE-4B03-A6A2-694E742E7806}"/>
            </c:ext>
          </c:extLst>
        </c:ser>
        <c:ser>
          <c:idx val="1"/>
          <c:order val="1"/>
          <c:tx>
            <c:strRef>
              <c:f>'Trends and nat. data'!$B$243</c:f>
              <c:strCache>
                <c:ptCount val="1"/>
                <c:pt idx="0">
                  <c:v>Recycling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data'!$D$189:$L$189</c:f>
              <c:numCache>
                <c:formatCode>#,##0.00</c:formatCode>
                <c:ptCount val="9"/>
                <c:pt idx="0">
                  <c:v>9.390559951570344</c:v>
                </c:pt>
                <c:pt idx="1">
                  <c:v>9.8583861538107129</c:v>
                </c:pt>
                <c:pt idx="2">
                  <c:v>10.326212356051082</c:v>
                </c:pt>
                <c:pt idx="3">
                  <c:v>10.592445207267728</c:v>
                </c:pt>
                <c:pt idx="4">
                  <c:v>11.27975977964115</c:v>
                </c:pt>
                <c:pt idx="5">
                  <c:v>11.239759350459119</c:v>
                </c:pt>
                <c:pt idx="6">
                  <c:v>11.199758921277088</c:v>
                </c:pt>
                <c:pt idx="7">
                  <c:v>11.159758492095058</c:v>
                </c:pt>
                <c:pt idx="8">
                  <c:v>12.334640281360533</c:v>
                </c:pt>
              </c:numCache>
            </c:numRef>
          </c:val>
          <c:extLst>
            <c:ext xmlns:c16="http://schemas.microsoft.com/office/drawing/2014/chart" uri="{C3380CC4-5D6E-409C-BE32-E72D297353CC}">
              <c16:uniqueId val="{00000001-16BE-4B03-A6A2-694E742E7806}"/>
            </c:ext>
          </c:extLst>
        </c:ser>
        <c:ser>
          <c:idx val="2"/>
          <c:order val="2"/>
          <c:tx>
            <c:strRef>
              <c:f>'Trends and nat. data'!$B$242</c:f>
              <c:strCache>
                <c:ptCount val="1"/>
                <c:pt idx="0">
                  <c:v>Energy recovery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data'!$D$190:$L$190</c:f>
              <c:numCache>
                <c:formatCode>#,##0.00</c:formatCode>
                <c:ptCount val="9"/>
                <c:pt idx="0">
                  <c:v>7.5251258128995066E-2</c:v>
                </c:pt>
                <c:pt idx="1">
                  <c:v>8.5052794310696039E-2</c:v>
                </c:pt>
                <c:pt idx="2">
                  <c:v>9.4854330492396999E-2</c:v>
                </c:pt>
                <c:pt idx="3">
                  <c:v>0.11009390933860967</c:v>
                </c:pt>
                <c:pt idx="4">
                  <c:v>0.10411448192267421</c:v>
                </c:pt>
                <c:pt idx="5">
                  <c:v>0.12623938043594224</c:v>
                </c:pt>
                <c:pt idx="6">
                  <c:v>0.14836427894921028</c:v>
                </c:pt>
                <c:pt idx="7">
                  <c:v>0.17048917746247833</c:v>
                </c:pt>
                <c:pt idx="8">
                  <c:v>0.16600556266404012</c:v>
                </c:pt>
              </c:numCache>
            </c:numRef>
          </c:val>
          <c:extLst>
            <c:ext xmlns:c16="http://schemas.microsoft.com/office/drawing/2014/chart" uri="{C3380CC4-5D6E-409C-BE32-E72D297353CC}">
              <c16:uniqueId val="{00000002-16BE-4B03-A6A2-694E742E7806}"/>
            </c:ext>
          </c:extLst>
        </c:ser>
        <c:ser>
          <c:idx val="4"/>
          <c:order val="3"/>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data'!$D$191:$L$191</c:f>
              <c:numCache>
                <c:formatCode>#,##0.0</c:formatCode>
                <c:ptCount val="9"/>
                <c:pt idx="0">
                  <c:v>14.92455261841531</c:v>
                </c:pt>
                <c:pt idx="1">
                  <c:v>16.110401922397497</c:v>
                </c:pt>
                <c:pt idx="2">
                  <c:v>17.296251226379688</c:v>
                </c:pt>
                <c:pt idx="3">
                  <c:v>17.666820240881158</c:v>
                </c:pt>
                <c:pt idx="4">
                  <c:v>17.111700733631761</c:v>
                </c:pt>
                <c:pt idx="5">
                  <c:v>17.609009633848075</c:v>
                </c:pt>
                <c:pt idx="6">
                  <c:v>18.106318534064389</c:v>
                </c:pt>
                <c:pt idx="7">
                  <c:v>18.60362743428071</c:v>
                </c:pt>
                <c:pt idx="8">
                  <c:v>19.630470126124116</c:v>
                </c:pt>
              </c:numCache>
            </c:numRef>
          </c:val>
          <c:extLst>
            <c:ext xmlns:c16="http://schemas.microsoft.com/office/drawing/2014/chart" uri="{C3380CC4-5D6E-409C-BE32-E72D297353CC}">
              <c16:uniqueId val="{00000003-16BE-4B03-A6A2-694E742E7806}"/>
            </c:ext>
          </c:extLst>
        </c:ser>
        <c:ser>
          <c:idx val="3"/>
          <c:order val="5"/>
          <c:tx>
            <c:strRef>
              <c:f>'Trends and nat. data'!$B$245</c:f>
              <c:strCache>
                <c:ptCount val="1"/>
                <c:pt idx="0">
                  <c:v>Generation (kg/cap)</c:v>
                </c:pt>
              </c:strCache>
            </c:strRef>
          </c:tx>
          <c:spPr>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data'!$Q$191:$Y$191</c:f>
              <c:numCache>
                <c:formatCode>0</c:formatCode>
                <c:ptCount val="9"/>
                <c:pt idx="0">
                  <c:v>723.52532360805242</c:v>
                </c:pt>
                <c:pt idx="1">
                  <c:v>766.57352336320764</c:v>
                </c:pt>
                <c:pt idx="2">
                  <c:v>805.3898886006665</c:v>
                </c:pt>
                <c:pt idx="3">
                  <c:v>807.9724159188678</c:v>
                </c:pt>
                <c:pt idx="4">
                  <c:v>771.75441010343764</c:v>
                </c:pt>
                <c:pt idx="5">
                  <c:v>781.9172567720052</c:v>
                </c:pt>
                <c:pt idx="6">
                  <c:v>789.95149008618239</c:v>
                </c:pt>
                <c:pt idx="7">
                  <c:v>798.92793757933589</c:v>
                </c:pt>
                <c:pt idx="8">
                  <c:v>831.29921698080102</c:v>
                </c:pt>
              </c:numCache>
            </c:numRef>
          </c:val>
          <c:extLst>
            <c:ext xmlns:c16="http://schemas.microsoft.com/office/drawing/2014/chart" uri="{C3380CC4-5D6E-409C-BE32-E72D297353CC}">
              <c16:uniqueId val="{00000005-16BE-4B03-A6A2-694E742E7806}"/>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data'!$C$117</c:f>
              <c:strCache>
                <c:ptCount val="1"/>
                <c:pt idx="0">
                  <c:v>Recovery rate</c:v>
                </c:pt>
              </c:strCache>
            </c:strRef>
          </c:tx>
          <c:spPr>
            <a:ln w="28575">
              <a:noFill/>
            </a:ln>
          </c:spPr>
          <c:marker>
            <c:spPr>
              <a:noFill/>
              <a:ln>
                <a:noFill/>
              </a:ln>
            </c:spPr>
          </c:marker>
          <c:val>
            <c:numRef>
              <c:f>'Trends and nat. data'!$D$192:$L$192</c:f>
              <c:numCache>
                <c:formatCode>0%</c:formatCode>
                <c:ptCount val="9"/>
                <c:pt idx="0">
                  <c:v>0.63424421835060807</c:v>
                </c:pt>
                <c:pt idx="1">
                  <c:v>0.61720613774989297</c:v>
                </c:pt>
                <c:pt idx="2">
                  <c:v>0.60250435485405085</c:v>
                </c:pt>
                <c:pt idx="3">
                  <c:v>0.60579883480336649</c:v>
                </c:pt>
                <c:pt idx="4">
                  <c:v>0.66526842882365722</c:v>
                </c:pt>
                <c:pt idx="5">
                  <c:v>0.64546496181405422</c:v>
                </c:pt>
                <c:pt idx="6">
                  <c:v>0.62674934050654552</c:v>
                </c:pt>
                <c:pt idx="7">
                  <c:v>0.60903432460055651</c:v>
                </c:pt>
                <c:pt idx="8">
                  <c:v>0.63679808805947979</c:v>
                </c:pt>
              </c:numCache>
            </c:numRef>
          </c:val>
          <c:smooth val="0"/>
          <c:extLst>
            <c:ext xmlns:c16="http://schemas.microsoft.com/office/drawing/2014/chart" uri="{C3380CC4-5D6E-409C-BE32-E72D297353CC}">
              <c16:uniqueId val="{00000004-16BE-4B03-A6A2-694E742E7806}"/>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2137739929711"/>
          <c:y val="9.0576010101010102E-2"/>
          <c:w val="0.59947485806974854"/>
          <c:h val="0.50694444444444442"/>
        </c:manualLayout>
      </c:layout>
      <c:areaChart>
        <c:grouping val="stacked"/>
        <c:varyColors val="0"/>
        <c:ser>
          <c:idx val="0"/>
          <c:order val="0"/>
          <c:tx>
            <c:strRef>
              <c:f>'Trends and nat. data'!$C$88</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data'!$D$135:$L$135</c:f>
              <c:numCache>
                <c:formatCode>#,##0.00</c:formatCode>
                <c:ptCount val="9"/>
                <c:pt idx="0">
                  <c:v>0.26498030173416509</c:v>
                </c:pt>
                <c:pt idx="1">
                  <c:v>0.26791349622582222</c:v>
                </c:pt>
                <c:pt idx="2">
                  <c:v>0.27084669071747935</c:v>
                </c:pt>
                <c:pt idx="3">
                  <c:v>0.27724522865507673</c:v>
                </c:pt>
                <c:pt idx="4">
                  <c:v>0.28917683592812593</c:v>
                </c:pt>
                <c:pt idx="5">
                  <c:v>0.34694582453918948</c:v>
                </c:pt>
                <c:pt idx="6">
                  <c:v>0.40471481315025304</c:v>
                </c:pt>
                <c:pt idx="7">
                  <c:v>0.46248380176131665</c:v>
                </c:pt>
                <c:pt idx="8">
                  <c:v>0.36759793527423562</c:v>
                </c:pt>
              </c:numCache>
            </c:numRef>
          </c:val>
          <c:extLst>
            <c:ext xmlns:c16="http://schemas.microsoft.com/office/drawing/2014/chart" uri="{C3380CC4-5D6E-409C-BE32-E72D297353CC}">
              <c16:uniqueId val="{00000000-01CC-40DD-884E-2B87FCEB3C65}"/>
            </c:ext>
          </c:extLst>
        </c:ser>
        <c:ser>
          <c:idx val="1"/>
          <c:order val="1"/>
          <c:tx>
            <c:strRef>
              <c:f>'Trends and nat. data'!$C$89</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data'!$D$136:$L$136</c:f>
              <c:numCache>
                <c:formatCode>#,##0.00</c:formatCode>
                <c:ptCount val="9"/>
                <c:pt idx="0">
                  <c:v>2.8067260578728149E-2</c:v>
                </c:pt>
                <c:pt idx="1">
                  <c:v>2.883182207234665E-2</c:v>
                </c:pt>
                <c:pt idx="2">
                  <c:v>2.9596383565965154E-2</c:v>
                </c:pt>
                <c:pt idx="3">
                  <c:v>3.029557461962306E-2</c:v>
                </c:pt>
                <c:pt idx="4">
                  <c:v>3.0630207431303347E-2</c:v>
                </c:pt>
                <c:pt idx="5">
                  <c:v>3.9097906907077387E-2</c:v>
                </c:pt>
                <c:pt idx="6">
                  <c:v>4.7565606382851428E-2</c:v>
                </c:pt>
                <c:pt idx="7">
                  <c:v>5.6033305858625468E-2</c:v>
                </c:pt>
                <c:pt idx="8">
                  <c:v>0.1288763836096127</c:v>
                </c:pt>
              </c:numCache>
            </c:numRef>
          </c:val>
          <c:extLst>
            <c:ext xmlns:c16="http://schemas.microsoft.com/office/drawing/2014/chart" uri="{C3380CC4-5D6E-409C-BE32-E72D297353CC}">
              <c16:uniqueId val="{00000001-01CC-40DD-884E-2B87FCEB3C65}"/>
            </c:ext>
          </c:extLst>
        </c:ser>
        <c:ser>
          <c:idx val="2"/>
          <c:order val="2"/>
          <c:tx>
            <c:strRef>
              <c:f>'Trends and nat. data'!$C$90</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data'!$D$137:$L$137</c:f>
              <c:numCache>
                <c:formatCode>#,##0.00</c:formatCode>
                <c:ptCount val="9"/>
                <c:pt idx="0">
                  <c:v>1.42430458063234E-2</c:v>
                </c:pt>
                <c:pt idx="1">
                  <c:v>1.7978514666343336E-2</c:v>
                </c:pt>
                <c:pt idx="2">
                  <c:v>2.1713983526363268E-2</c:v>
                </c:pt>
                <c:pt idx="3">
                  <c:v>2.2762650569920523E-2</c:v>
                </c:pt>
                <c:pt idx="4">
                  <c:v>1.6973957470409265E-2</c:v>
                </c:pt>
                <c:pt idx="5">
                  <c:v>1.6926727485045041E-2</c:v>
                </c:pt>
                <c:pt idx="6">
                  <c:v>1.6879497499680818E-2</c:v>
                </c:pt>
                <c:pt idx="7">
                  <c:v>1.6832267514316598E-2</c:v>
                </c:pt>
                <c:pt idx="8">
                  <c:v>1.4043853522580496E-2</c:v>
                </c:pt>
              </c:numCache>
            </c:numRef>
          </c:val>
          <c:extLst>
            <c:ext xmlns:c16="http://schemas.microsoft.com/office/drawing/2014/chart" uri="{C3380CC4-5D6E-409C-BE32-E72D297353CC}">
              <c16:uniqueId val="{00000002-01CC-40DD-884E-2B87FCEB3C65}"/>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data'!$Q$138:$Y$138</c:f>
              <c:numCache>
                <c:formatCode>#,##0</c:formatCode>
                <c:ptCount val="9"/>
                <c:pt idx="0">
                  <c:v>1456.1534581465894</c:v>
                </c:pt>
                <c:pt idx="1">
                  <c:v>1452.8978799754045</c:v>
                </c:pt>
                <c:pt idx="2">
                  <c:v>1447.7277163558765</c:v>
                </c:pt>
                <c:pt idx="3">
                  <c:v>1450.0794784712657</c:v>
                </c:pt>
                <c:pt idx="4">
                  <c:v>1462.3641476074083</c:v>
                </c:pt>
                <c:pt idx="5">
                  <c:v>1731.6943010245329</c:v>
                </c:pt>
                <c:pt idx="6">
                  <c:v>1960.6004205403619</c:v>
                </c:pt>
                <c:pt idx="7">
                  <c:v>2204.5353942277166</c:v>
                </c:pt>
                <c:pt idx="8">
                  <c:v>2099.2478027822935</c:v>
                </c:pt>
              </c:numCache>
            </c:numRef>
          </c:val>
          <c:smooth val="0"/>
          <c:extLst>
            <c:ext xmlns:c16="http://schemas.microsoft.com/office/drawing/2014/chart" uri="{C3380CC4-5D6E-409C-BE32-E72D297353CC}">
              <c16:uniqueId val="{00000003-01CC-40DD-884E-2B87FCEB3C65}"/>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scaling>
        <c:delete val="0"/>
        <c:axPos val="l"/>
        <c:majorGridlines>
          <c:spPr>
            <a:ln w="2540"/>
          </c:spPr>
        </c:majorGridlines>
        <c:title>
          <c:tx>
            <c:rich>
              <a:bodyPr/>
              <a:lstStyle/>
              <a:p>
                <a:pPr>
                  <a:defRPr/>
                </a:pPr>
                <a:r>
                  <a:rPr lang="en-US"/>
                  <a:t>Megatonnes</a:t>
                </a:r>
                <a:r>
                  <a:rPr lang="en-US" baseline="0"/>
                  <a:t> (Mt)</a:t>
                </a:r>
                <a:endParaRPr lang="en-US"/>
              </a:p>
            </c:rich>
          </c:tx>
          <c:layout>
            <c:manualLayout>
              <c:xMode val="edge"/>
              <c:yMode val="edge"/>
              <c:x val="0.18585850905650173"/>
              <c:y val="0.20343661616161615"/>
            </c:manualLayout>
          </c:layout>
          <c:overlay val="0"/>
        </c:title>
        <c:numFmt formatCode="#,##0.0" sourceLinked="0"/>
        <c:majorTickMark val="out"/>
        <c:minorTickMark val="none"/>
        <c:tickLblPos val="nextTo"/>
        <c:spPr>
          <a:ln>
            <a:noFill/>
          </a:ln>
        </c:spPr>
        <c:crossAx val="228055680"/>
        <c:crosses val="autoZero"/>
        <c:crossBetween val="between"/>
      </c:valAx>
      <c:valAx>
        <c:axId val="228199424"/>
        <c:scaling>
          <c:orientation val="minMax"/>
        </c:scaling>
        <c:delete val="0"/>
        <c:axPos val="r"/>
        <c:title>
          <c:tx>
            <c:rich>
              <a:bodyPr/>
              <a:lstStyle/>
              <a:p>
                <a:pPr>
                  <a:defRPr/>
                </a:pPr>
                <a:r>
                  <a:rPr lang="en-AU"/>
                  <a:t>Generation (kg per capita)</a:t>
                </a:r>
              </a:p>
            </c:rich>
          </c:tx>
          <c:layout>
            <c:manualLayout>
              <c:xMode val="edge"/>
              <c:yMode val="edge"/>
              <c:x val="0.95765899567450663"/>
              <c:y val="0.14775176767676768"/>
            </c:manualLayout>
          </c:layout>
          <c:overlay val="0"/>
        </c:title>
        <c:numFmt formatCode="#,##0;\-#,##0;;" sourceLinked="0"/>
        <c:majorTickMark val="out"/>
        <c:minorTickMark val="none"/>
        <c:tickLblPos val="nextTo"/>
        <c:spPr>
          <a:ln>
            <a:noFill/>
          </a:ln>
        </c:spPr>
        <c:crossAx val="228209792"/>
        <c:crosses val="max"/>
        <c:crossBetween val="between"/>
        <c:majorUnit val="400"/>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8844637064071371"/>
          <c:y val="8.31060606060606E-3"/>
          <c:w val="0.80328585428494192"/>
          <c:h val="4.088611111111110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72880240897206983"/>
          <c:h val="0.12808528285643614"/>
        </c:manualLayout>
      </c:layout>
      <c:areaChart>
        <c:grouping val="stacked"/>
        <c:varyColors val="0"/>
        <c:ser>
          <c:idx val="0"/>
          <c:order val="0"/>
          <c:tx>
            <c:strRef>
              <c:f>'Trends and nat. data'!$B$243</c:f>
              <c:strCache>
                <c:ptCount val="1"/>
                <c:pt idx="0">
                  <c:v>Recycling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data'!$D$136:$L$136,'Trends and nat. data'!$N$136)</c:f>
              <c:numCache>
                <c:formatCode>#,##0.00</c:formatCode>
                <c:ptCount val="10"/>
                <c:pt idx="0">
                  <c:v>2.8067260578728149E-2</c:v>
                </c:pt>
                <c:pt idx="1">
                  <c:v>2.883182207234665E-2</c:v>
                </c:pt>
                <c:pt idx="2">
                  <c:v>2.9596383565965154E-2</c:v>
                </c:pt>
                <c:pt idx="3">
                  <c:v>3.029557461962306E-2</c:v>
                </c:pt>
                <c:pt idx="4">
                  <c:v>3.0630207431303347E-2</c:v>
                </c:pt>
                <c:pt idx="5">
                  <c:v>3.9097906907077387E-2</c:v>
                </c:pt>
                <c:pt idx="6">
                  <c:v>4.7565606382851428E-2</c:v>
                </c:pt>
                <c:pt idx="7">
                  <c:v>5.6033305858625468E-2</c:v>
                </c:pt>
                <c:pt idx="8">
                  <c:v>0.1288763836096127</c:v>
                </c:pt>
                <c:pt idx="9" formatCode="0.0%">
                  <c:v>0.18454779997074922</c:v>
                </c:pt>
              </c:numCache>
            </c:numRef>
          </c:val>
          <c:extLst>
            <c:ext xmlns:c16="http://schemas.microsoft.com/office/drawing/2014/chart" uri="{C3380CC4-5D6E-409C-BE32-E72D297353CC}">
              <c16:uniqueId val="{00000000-4A65-469B-9FD9-4B4BA12BCE6E}"/>
            </c:ext>
          </c:extLst>
        </c:ser>
        <c:ser>
          <c:idx val="1"/>
          <c:order val="1"/>
          <c:tx>
            <c:strRef>
              <c:f>'Trends and nat. data'!$B$242</c:f>
              <c:strCache>
                <c:ptCount val="1"/>
                <c:pt idx="0">
                  <c:v>Energy recovery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data'!$D$137:$L$137,'Trends and nat. data'!$N$137)</c:f>
              <c:numCache>
                <c:formatCode>#,##0.00</c:formatCode>
                <c:ptCount val="10"/>
                <c:pt idx="0">
                  <c:v>1.42430458063234E-2</c:v>
                </c:pt>
                <c:pt idx="1">
                  <c:v>1.7978514666343336E-2</c:v>
                </c:pt>
                <c:pt idx="2">
                  <c:v>2.1713983526363268E-2</c:v>
                </c:pt>
                <c:pt idx="3">
                  <c:v>2.2762650569920523E-2</c:v>
                </c:pt>
                <c:pt idx="4">
                  <c:v>1.6973957470409265E-2</c:v>
                </c:pt>
                <c:pt idx="5">
                  <c:v>1.6926727485045041E-2</c:v>
                </c:pt>
                <c:pt idx="6">
                  <c:v>1.6879497499680818E-2</c:v>
                </c:pt>
                <c:pt idx="7">
                  <c:v>1.6832267514316598E-2</c:v>
                </c:pt>
                <c:pt idx="8">
                  <c:v>1.4043853522580496E-2</c:v>
                </c:pt>
                <c:pt idx="9" formatCode="0.0%">
                  <c:v>-1.5636590589790389E-3</c:v>
                </c:pt>
              </c:numCache>
            </c:numRef>
          </c:val>
          <c:extLst>
            <c:ext xmlns:c16="http://schemas.microsoft.com/office/drawing/2014/chart" uri="{C3380CC4-5D6E-409C-BE32-E72D297353CC}">
              <c16:uniqueId val="{00000001-4A65-469B-9FD9-4B4BA12BCE6E}"/>
            </c:ext>
          </c:extLst>
        </c:ser>
        <c:ser>
          <c:idx val="4"/>
          <c:order val="2"/>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data'!$D$138:$L$138,'Trends and nat. data'!$N$138)</c:f>
              <c:numCache>
                <c:formatCode>#,##0.00</c:formatCode>
                <c:ptCount val="10"/>
                <c:pt idx="0">
                  <c:v>0.30729060811921666</c:v>
                </c:pt>
                <c:pt idx="1">
                  <c:v>0.31472383296451217</c:v>
                </c:pt>
                <c:pt idx="2">
                  <c:v>0.3221570578098078</c:v>
                </c:pt>
                <c:pt idx="3">
                  <c:v>0.33030345384462034</c:v>
                </c:pt>
                <c:pt idx="4">
                  <c:v>0.33678100082983853</c:v>
                </c:pt>
                <c:pt idx="5">
                  <c:v>0.40297045893131189</c:v>
                </c:pt>
                <c:pt idx="6">
                  <c:v>0.46915991703278531</c:v>
                </c:pt>
                <c:pt idx="7">
                  <c:v>0.53534937513425862</c:v>
                </c:pt>
                <c:pt idx="8">
                  <c:v>0.51051817240642883</c:v>
                </c:pt>
                <c:pt idx="9" formatCode="0.0%">
                  <c:v>5.8024607864611388E-2</c:v>
                </c:pt>
              </c:numCache>
            </c:numRef>
          </c:val>
          <c:extLst>
            <c:ext xmlns:c16="http://schemas.microsoft.com/office/drawing/2014/chart" uri="{C3380CC4-5D6E-409C-BE32-E72D297353CC}">
              <c16:uniqueId val="{00000002-4A65-469B-9FD9-4B4BA12BCE6E}"/>
            </c:ext>
          </c:extLst>
        </c:ser>
        <c:ser>
          <c:idx val="3"/>
          <c:order val="4"/>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data'!$Q$138:$Y$138,'Trends and nat. data'!$AA$138)</c:f>
              <c:numCache>
                <c:formatCode>#,##0</c:formatCode>
                <c:ptCount val="10"/>
                <c:pt idx="0">
                  <c:v>1456.1534581465894</c:v>
                </c:pt>
                <c:pt idx="1">
                  <c:v>1452.8978799754045</c:v>
                </c:pt>
                <c:pt idx="2">
                  <c:v>1447.7277163558765</c:v>
                </c:pt>
                <c:pt idx="3">
                  <c:v>1450.0794784712657</c:v>
                </c:pt>
                <c:pt idx="4">
                  <c:v>1462.3641476074083</c:v>
                </c:pt>
                <c:pt idx="5">
                  <c:v>1731.6943010245329</c:v>
                </c:pt>
                <c:pt idx="6">
                  <c:v>1960.6004205403619</c:v>
                </c:pt>
                <c:pt idx="7">
                  <c:v>2204.5353942277166</c:v>
                </c:pt>
                <c:pt idx="8">
                  <c:v>2099.2478027822935</c:v>
                </c:pt>
                <c:pt idx="9" formatCode="0.0%">
                  <c:v>4.1479507490654655E-2</c:v>
                </c:pt>
              </c:numCache>
            </c:numRef>
          </c:val>
          <c:extLst>
            <c:ext xmlns:c16="http://schemas.microsoft.com/office/drawing/2014/chart" uri="{C3380CC4-5D6E-409C-BE32-E72D297353CC}">
              <c16:uniqueId val="{00000004-4A65-469B-9FD9-4B4BA12BCE6E}"/>
            </c:ext>
          </c:extLst>
        </c:ser>
        <c:dLbls>
          <c:showLegendKey val="0"/>
          <c:showVal val="0"/>
          <c:showCatName val="0"/>
          <c:showSerName val="0"/>
          <c:showPercent val="0"/>
          <c:showBubbleSize val="0"/>
        </c:dLbls>
        <c:axId val="228272768"/>
        <c:axId val="228291328"/>
      </c:areaChart>
      <c:lineChart>
        <c:grouping val="stacked"/>
        <c:varyColors val="0"/>
        <c:ser>
          <c:idx val="5"/>
          <c:order val="3"/>
          <c:tx>
            <c:strRef>
              <c:f>'Trends and nat. data'!$C$82</c:f>
              <c:strCache>
                <c:ptCount val="1"/>
                <c:pt idx="0">
                  <c:v>Recovery rate</c:v>
                </c:pt>
              </c:strCache>
            </c:strRef>
          </c:tx>
          <c:spPr>
            <a:ln w="28575">
              <a:noFill/>
            </a:ln>
          </c:spPr>
          <c:marker>
            <c:spPr>
              <a:noFill/>
              <a:ln>
                <a:noFill/>
              </a:ln>
            </c:spPr>
          </c:marker>
          <c:val>
            <c:numRef>
              <c:f>'Trends and nat. data'!$D$139:$L$139</c:f>
              <c:numCache>
                <c:formatCode>0%</c:formatCode>
                <c:ptCount val="9"/>
                <c:pt idx="0">
                  <c:v>0.13768825101428683</c:v>
                </c:pt>
                <c:pt idx="1">
                  <c:v>0.14873464236173131</c:v>
                </c:pt>
                <c:pt idx="2">
                  <c:v>0.15927128041571753</c:v>
                </c:pt>
                <c:pt idx="3">
                  <c:v>0.16063478771403633</c:v>
                </c:pt>
                <c:pt idx="4">
                  <c:v>0.14135050606897218</c:v>
                </c:pt>
                <c:pt idx="5">
                  <c:v>0.13902913513983434</c:v>
                </c:pt>
                <c:pt idx="6">
                  <c:v>0.13736276596286626</c:v>
                </c:pt>
                <c:pt idx="7">
                  <c:v>0.13610844946754319</c:v>
                </c:pt>
                <c:pt idx="8">
                  <c:v>0.27995132172966591</c:v>
                </c:pt>
              </c:numCache>
            </c:numRef>
          </c:val>
          <c:smooth val="0"/>
          <c:extLst>
            <c:ext xmlns:c16="http://schemas.microsoft.com/office/drawing/2014/chart" uri="{C3380CC4-5D6E-409C-BE32-E72D297353CC}">
              <c16:uniqueId val="{00000003-4A65-469B-9FD9-4B4BA12BCE6E}"/>
            </c:ext>
          </c:extLst>
        </c:ser>
        <c:ser>
          <c:idx val="6"/>
          <c:order val="5"/>
          <c:tx>
            <c:strRef>
              <c:f>'Trends and nat. data'!$B$244</c:f>
              <c:strCache>
                <c:ptCount val="1"/>
                <c:pt idx="0">
                  <c:v>Disposal (Mt)</c:v>
                </c:pt>
              </c:strCache>
            </c:strRef>
          </c:tx>
          <c:spPr>
            <a:ln w="28575">
              <a:noFill/>
            </a:ln>
          </c:spPr>
          <c:marker>
            <c:spPr>
              <a:noFill/>
              <a:ln>
                <a:noFill/>
              </a:ln>
            </c:spPr>
          </c:marker>
          <c:val>
            <c:numRef>
              <c:f>('Trends and nat. data'!$D$135:$L$135,'Trends and nat. data'!$N$135)</c:f>
              <c:numCache>
                <c:formatCode>#,##0.00</c:formatCode>
                <c:ptCount val="10"/>
                <c:pt idx="0">
                  <c:v>0.26498030173416509</c:v>
                </c:pt>
                <c:pt idx="1">
                  <c:v>0.26791349622582222</c:v>
                </c:pt>
                <c:pt idx="2">
                  <c:v>0.27084669071747935</c:v>
                </c:pt>
                <c:pt idx="3">
                  <c:v>0.27724522865507673</c:v>
                </c:pt>
                <c:pt idx="4">
                  <c:v>0.28917683592812593</c:v>
                </c:pt>
                <c:pt idx="5">
                  <c:v>0.34694582453918948</c:v>
                </c:pt>
                <c:pt idx="6">
                  <c:v>0.40471481315025304</c:v>
                </c:pt>
                <c:pt idx="7">
                  <c:v>0.46248380176131665</c:v>
                </c:pt>
                <c:pt idx="8">
                  <c:v>0.36759793527423562</c:v>
                </c:pt>
                <c:pt idx="9" formatCode="0.0%">
                  <c:v>3.7039973700794926E-2</c:v>
                </c:pt>
              </c:numCache>
            </c:numRef>
          </c:val>
          <c:smooth val="0"/>
          <c:extLst>
            <c:ext xmlns:c16="http://schemas.microsoft.com/office/drawing/2014/chart" uri="{C3380CC4-5D6E-409C-BE32-E72D297353CC}">
              <c16:uniqueId val="{00000005-4A65-469B-9FD9-4B4BA12BCE6E}"/>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337489862124897"/>
          <c:y val="9.148232323232322E-2"/>
          <c:w val="0.61182160719113265"/>
          <c:h val="0.51875984848484857"/>
        </c:manualLayout>
      </c:layout>
      <c:areaChart>
        <c:grouping val="stacked"/>
        <c:varyColors val="0"/>
        <c:ser>
          <c:idx val="0"/>
          <c:order val="0"/>
          <c:tx>
            <c:strRef>
              <c:f>'Trends and nat. data'!$C$125</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data'!$D$125:$L$125</c:f>
              <c:numCache>
                <c:formatCode>#,##0.00</c:formatCode>
                <c:ptCount val="9"/>
                <c:pt idx="0">
                  <c:v>0.16198037651605135</c:v>
                </c:pt>
                <c:pt idx="1">
                  <c:v>0.16428820925795479</c:v>
                </c:pt>
                <c:pt idx="2">
                  <c:v>0.16659604199985825</c:v>
                </c:pt>
                <c:pt idx="3">
                  <c:v>0.15754858501082319</c:v>
                </c:pt>
                <c:pt idx="4">
                  <c:v>0.20829760050099916</c:v>
                </c:pt>
                <c:pt idx="5">
                  <c:v>0.19067746807726596</c:v>
                </c:pt>
                <c:pt idx="6">
                  <c:v>0.17305733565353276</c:v>
                </c:pt>
                <c:pt idx="7">
                  <c:v>0.15543720322979954</c:v>
                </c:pt>
                <c:pt idx="8">
                  <c:v>0.19052274053777465</c:v>
                </c:pt>
              </c:numCache>
            </c:numRef>
          </c:val>
          <c:extLst>
            <c:ext xmlns:c16="http://schemas.microsoft.com/office/drawing/2014/chart" uri="{C3380CC4-5D6E-409C-BE32-E72D297353CC}">
              <c16:uniqueId val="{00000000-EDEB-4CF5-8466-C43C8E24DACA}"/>
            </c:ext>
          </c:extLst>
        </c:ser>
        <c:ser>
          <c:idx val="1"/>
          <c:order val="1"/>
          <c:tx>
            <c:strRef>
              <c:f>'Trends and nat. data'!$C$126</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data'!$D$126:$L$126</c:f>
              <c:numCache>
                <c:formatCode>#,##0.00</c:formatCode>
                <c:ptCount val="9"/>
                <c:pt idx="0">
                  <c:v>0.52356769459413444</c:v>
                </c:pt>
                <c:pt idx="1">
                  <c:v>0.53490822982416719</c:v>
                </c:pt>
                <c:pt idx="2">
                  <c:v>0.54624876505419984</c:v>
                </c:pt>
                <c:pt idx="3">
                  <c:v>0.54947832076082936</c:v>
                </c:pt>
                <c:pt idx="4">
                  <c:v>0.67030374680623528</c:v>
                </c:pt>
                <c:pt idx="5">
                  <c:v>0.66949512936663669</c:v>
                </c:pt>
                <c:pt idx="6">
                  <c:v>0.6686865119270381</c:v>
                </c:pt>
                <c:pt idx="7">
                  <c:v>0.66787789448743951</c:v>
                </c:pt>
                <c:pt idx="8">
                  <c:v>0.54713059214797033</c:v>
                </c:pt>
              </c:numCache>
            </c:numRef>
          </c:val>
          <c:extLst>
            <c:ext xmlns:c16="http://schemas.microsoft.com/office/drawing/2014/chart" uri="{C3380CC4-5D6E-409C-BE32-E72D297353CC}">
              <c16:uniqueId val="{00000001-EDEB-4CF5-8466-C43C8E24DACA}"/>
            </c:ext>
          </c:extLst>
        </c:ser>
        <c:ser>
          <c:idx val="2"/>
          <c:order val="2"/>
          <c:tx>
            <c:strRef>
              <c:f>'Trends and nat. data'!$C$127</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data'!$D$127:$L$127</c:f>
              <c:numCache>
                <c:formatCode>#,##0.00</c:formatCode>
                <c:ptCount val="9"/>
                <c:pt idx="0">
                  <c:v>4.4419186610519842E-2</c:v>
                </c:pt>
                <c:pt idx="1">
                  <c:v>4.0076291378200082E-2</c:v>
                </c:pt>
                <c:pt idx="2">
                  <c:v>3.5733396145880315E-2</c:v>
                </c:pt>
                <c:pt idx="3">
                  <c:v>3.4052892999367777E-2</c:v>
                </c:pt>
                <c:pt idx="4">
                  <c:v>3.4070796741938109E-2</c:v>
                </c:pt>
                <c:pt idx="5">
                  <c:v>3.5688461309492492E-2</c:v>
                </c:pt>
                <c:pt idx="6">
                  <c:v>3.7306125877046875E-2</c:v>
                </c:pt>
                <c:pt idx="7">
                  <c:v>3.8923790444601251E-2</c:v>
                </c:pt>
                <c:pt idx="8">
                  <c:v>3.7002985953945175E-2</c:v>
                </c:pt>
              </c:numCache>
            </c:numRef>
          </c:val>
          <c:extLst>
            <c:ext xmlns:c16="http://schemas.microsoft.com/office/drawing/2014/chart" uri="{C3380CC4-5D6E-409C-BE32-E72D297353CC}">
              <c16:uniqueId val="{00000002-EDEB-4CF5-8466-C43C8E24DACA}"/>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data'!$Q$128:$Y$128</c:f>
              <c:numCache>
                <c:formatCode>#,##0</c:formatCode>
                <c:ptCount val="9"/>
                <c:pt idx="0">
                  <c:v>2157.2347670841614</c:v>
                </c:pt>
                <c:pt idx="1">
                  <c:v>2147.94968405793</c:v>
                </c:pt>
                <c:pt idx="2">
                  <c:v>2132.0879268356921</c:v>
                </c:pt>
                <c:pt idx="3">
                  <c:v>2070.8709261776853</c:v>
                </c:pt>
                <c:pt idx="4">
                  <c:v>2501.6162026164648</c:v>
                </c:pt>
                <c:pt idx="5">
                  <c:v>2414.0171021734782</c:v>
                </c:pt>
                <c:pt idx="6">
                  <c:v>2325.9782271645522</c:v>
                </c:pt>
                <c:pt idx="7">
                  <c:v>2249.4557620772753</c:v>
                </c:pt>
                <c:pt idx="8">
                  <c:v>1997.8653812062921</c:v>
                </c:pt>
              </c:numCache>
            </c:numRef>
          </c:val>
          <c:smooth val="0"/>
          <c:extLst>
            <c:ext xmlns:c16="http://schemas.microsoft.com/office/drawing/2014/chart" uri="{C3380CC4-5D6E-409C-BE32-E72D297353CC}">
              <c16:uniqueId val="{00000003-EDEB-4CF5-8466-C43C8E24DACA}"/>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1.2"/>
        </c:scaling>
        <c:delete val="0"/>
        <c:axPos val="l"/>
        <c:majorGridlines>
          <c:spPr>
            <a:ln w="2540"/>
          </c:spPr>
        </c:majorGridlines>
        <c:title>
          <c:tx>
            <c:rich>
              <a:bodyPr/>
              <a:lstStyle/>
              <a:p>
                <a:pPr>
                  <a:defRPr/>
                </a:pPr>
                <a:r>
                  <a:rPr lang="en-US"/>
                  <a:t>Megatonnes (Mt)</a:t>
                </a:r>
              </a:p>
            </c:rich>
          </c:tx>
          <c:layout>
            <c:manualLayout>
              <c:xMode val="edge"/>
              <c:yMode val="edge"/>
              <c:x val="0.1689520816436875"/>
              <c:y val="0.20664368686868684"/>
            </c:manualLayout>
          </c:layout>
          <c:overlay val="0"/>
        </c:title>
        <c:numFmt formatCode="#,##0.0" sourceLinked="0"/>
        <c:majorTickMark val="out"/>
        <c:minorTickMark val="none"/>
        <c:tickLblPos val="nextTo"/>
        <c:spPr>
          <a:ln>
            <a:noFill/>
          </a:ln>
        </c:spPr>
        <c:crossAx val="228055680"/>
        <c:crosses val="autoZero"/>
        <c:crossBetween val="between"/>
        <c:majorUnit val="0.2"/>
      </c:valAx>
      <c:valAx>
        <c:axId val="228199424"/>
        <c:scaling>
          <c:orientation val="minMax"/>
        </c:scaling>
        <c:delete val="0"/>
        <c:axPos val="r"/>
        <c:title>
          <c:tx>
            <c:rich>
              <a:bodyPr/>
              <a:lstStyle/>
              <a:p>
                <a:pPr>
                  <a:defRPr/>
                </a:pPr>
                <a:r>
                  <a:rPr lang="en-AU"/>
                  <a:t>Generation (kg per capita)</a:t>
                </a:r>
              </a:p>
            </c:rich>
          </c:tx>
          <c:layout>
            <c:manualLayout>
              <c:xMode val="edge"/>
              <c:yMode val="edge"/>
              <c:x val="0.95725905650175724"/>
              <c:y val="0.14859545454545456"/>
            </c:manualLayout>
          </c:layout>
          <c:overlay val="0"/>
        </c:title>
        <c:numFmt formatCode="#,##0;\-#,##0;;" sourceLinked="0"/>
        <c:majorTickMark val="out"/>
        <c:minorTickMark val="none"/>
        <c:tickLblPos val="nextTo"/>
        <c:spPr>
          <a:ln>
            <a:noFill/>
          </a:ln>
        </c:spPr>
        <c:crossAx val="228209792"/>
        <c:crosses val="max"/>
        <c:crossBetween val="between"/>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6711814003784806"/>
          <c:y val="8.31060606060606E-3"/>
          <c:w val="0.82618410381184104"/>
          <c:h val="3.767904040404040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7373194364837774"/>
          <c:h val="0.12808528285643614"/>
        </c:manualLayout>
      </c:layout>
      <c:areaChart>
        <c:grouping val="stacked"/>
        <c:varyColors val="0"/>
        <c:ser>
          <c:idx val="0"/>
          <c:order val="0"/>
          <c:tx>
            <c:strRef>
              <c:f>'Trends and nat. data'!$B$243</c:f>
              <c:strCache>
                <c:ptCount val="1"/>
                <c:pt idx="0">
                  <c:v>Recycling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data'!$D$126:$L$126,'Trends and nat. data'!$N$126)</c:f>
              <c:numCache>
                <c:formatCode>#,##0.00</c:formatCode>
                <c:ptCount val="10"/>
                <c:pt idx="0">
                  <c:v>0.52356769459413444</c:v>
                </c:pt>
                <c:pt idx="1">
                  <c:v>0.53490822982416719</c:v>
                </c:pt>
                <c:pt idx="2">
                  <c:v>0.54624876505419984</c:v>
                </c:pt>
                <c:pt idx="3">
                  <c:v>0.54947832076082936</c:v>
                </c:pt>
                <c:pt idx="4">
                  <c:v>0.67030374680623528</c:v>
                </c:pt>
                <c:pt idx="5">
                  <c:v>0.66949512936663669</c:v>
                </c:pt>
                <c:pt idx="6">
                  <c:v>0.6686865119270381</c:v>
                </c:pt>
                <c:pt idx="7">
                  <c:v>0.66787789448743951</c:v>
                </c:pt>
                <c:pt idx="8">
                  <c:v>0.54713059214797033</c:v>
                </c:pt>
                <c:pt idx="9" formatCode="0.0%">
                  <c:v>4.9032242019457772E-3</c:v>
                </c:pt>
              </c:numCache>
            </c:numRef>
          </c:val>
          <c:extLst>
            <c:ext xmlns:c16="http://schemas.microsoft.com/office/drawing/2014/chart" uri="{C3380CC4-5D6E-409C-BE32-E72D297353CC}">
              <c16:uniqueId val="{00000000-320C-45A3-AA4A-9D2B248C25F2}"/>
            </c:ext>
          </c:extLst>
        </c:ser>
        <c:ser>
          <c:idx val="1"/>
          <c:order val="1"/>
          <c:tx>
            <c:strRef>
              <c:f>'Trends and nat. data'!$B$242</c:f>
              <c:strCache>
                <c:ptCount val="1"/>
                <c:pt idx="0">
                  <c:v>Energy recovery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data'!$D$127:$L$127,'Trends and nat. data'!$N$127)</c:f>
              <c:numCache>
                <c:formatCode>#,##0.00</c:formatCode>
                <c:ptCount val="10"/>
                <c:pt idx="0">
                  <c:v>4.4419186610519842E-2</c:v>
                </c:pt>
                <c:pt idx="1">
                  <c:v>4.0076291378200082E-2</c:v>
                </c:pt>
                <c:pt idx="2">
                  <c:v>3.5733396145880315E-2</c:v>
                </c:pt>
                <c:pt idx="3">
                  <c:v>3.4052892999367777E-2</c:v>
                </c:pt>
                <c:pt idx="4">
                  <c:v>3.4070796741938109E-2</c:v>
                </c:pt>
                <c:pt idx="5">
                  <c:v>3.5688461309492492E-2</c:v>
                </c:pt>
                <c:pt idx="6">
                  <c:v>3.7306125877046875E-2</c:v>
                </c:pt>
                <c:pt idx="7">
                  <c:v>3.8923790444601251E-2</c:v>
                </c:pt>
                <c:pt idx="8">
                  <c:v>3.7002985953945175E-2</c:v>
                </c:pt>
                <c:pt idx="9" formatCode="0.0%">
                  <c:v>-2.0092391161803058E-2</c:v>
                </c:pt>
              </c:numCache>
            </c:numRef>
          </c:val>
          <c:extLst>
            <c:ext xmlns:c16="http://schemas.microsoft.com/office/drawing/2014/chart" uri="{C3380CC4-5D6E-409C-BE32-E72D297353CC}">
              <c16:uniqueId val="{00000001-320C-45A3-AA4A-9D2B248C25F2}"/>
            </c:ext>
          </c:extLst>
        </c:ser>
        <c:ser>
          <c:idx val="4"/>
          <c:order val="2"/>
          <c:tx>
            <c:strRef>
              <c:f>'Trends and nat. data'!$B$241</c:f>
              <c:strCache>
                <c:ptCount val="1"/>
                <c:pt idx="0">
                  <c:v>Generation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data'!$D$128:$L$128,'Trends and nat. data'!$N$128)</c:f>
              <c:numCache>
                <c:formatCode>#,##0.00</c:formatCode>
                <c:ptCount val="10"/>
                <c:pt idx="0">
                  <c:v>0.72996725772070559</c:v>
                </c:pt>
                <c:pt idx="1">
                  <c:v>0.73927273046032205</c:v>
                </c:pt>
                <c:pt idx="2">
                  <c:v>0.7485782031999384</c:v>
                </c:pt>
                <c:pt idx="3">
                  <c:v>0.74107979877102026</c:v>
                </c:pt>
                <c:pt idx="4">
                  <c:v>0.91267214404917263</c:v>
                </c:pt>
                <c:pt idx="5">
                  <c:v>0.89586105875339506</c:v>
                </c:pt>
                <c:pt idx="6">
                  <c:v>0.87904997345761771</c:v>
                </c:pt>
                <c:pt idx="7">
                  <c:v>0.86223888816184024</c:v>
                </c:pt>
                <c:pt idx="8">
                  <c:v>0.77465631863969009</c:v>
                </c:pt>
                <c:pt idx="9" formatCode="0.0%">
                  <c:v>6.6240415005101028E-3</c:v>
                </c:pt>
              </c:numCache>
            </c:numRef>
          </c:val>
          <c:extLst>
            <c:ext xmlns:c16="http://schemas.microsoft.com/office/drawing/2014/chart" uri="{C3380CC4-5D6E-409C-BE32-E72D297353CC}">
              <c16:uniqueId val="{00000003-320C-45A3-AA4A-9D2B248C25F2}"/>
            </c:ext>
          </c:extLst>
        </c:ser>
        <c:ser>
          <c:idx val="3"/>
          <c:order val="4"/>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data'!$Q$128:$Y$128,'Trends and nat. data'!$AA$128)</c:f>
              <c:numCache>
                <c:formatCode>#,##0</c:formatCode>
                <c:ptCount val="10"/>
                <c:pt idx="0">
                  <c:v>2157.2347670841614</c:v>
                </c:pt>
                <c:pt idx="1">
                  <c:v>2147.94968405793</c:v>
                </c:pt>
                <c:pt idx="2">
                  <c:v>2132.0879268356921</c:v>
                </c:pt>
                <c:pt idx="3">
                  <c:v>2070.8709261776853</c:v>
                </c:pt>
                <c:pt idx="4">
                  <c:v>2501.6162026164648</c:v>
                </c:pt>
                <c:pt idx="5">
                  <c:v>2414.0171021734782</c:v>
                </c:pt>
                <c:pt idx="6">
                  <c:v>2325.9782271645522</c:v>
                </c:pt>
                <c:pt idx="7">
                  <c:v>2249.4557620772753</c:v>
                </c:pt>
                <c:pt idx="8">
                  <c:v>1997.8653812062921</c:v>
                </c:pt>
                <c:pt idx="9" formatCode="0.0%">
                  <c:v>-8.4912880623752018E-3</c:v>
                </c:pt>
              </c:numCache>
            </c:numRef>
          </c:val>
          <c:extLst>
            <c:ext xmlns:c16="http://schemas.microsoft.com/office/drawing/2014/chart" uri="{C3380CC4-5D6E-409C-BE32-E72D297353CC}">
              <c16:uniqueId val="{00000005-320C-45A3-AA4A-9D2B248C25F2}"/>
            </c:ext>
          </c:extLst>
        </c:ser>
        <c:dLbls>
          <c:showLegendKey val="0"/>
          <c:showVal val="0"/>
          <c:showCatName val="0"/>
          <c:showSerName val="0"/>
          <c:showPercent val="0"/>
          <c:showBubbleSize val="0"/>
        </c:dLbls>
        <c:axId val="228272768"/>
        <c:axId val="228291328"/>
      </c:areaChart>
      <c:lineChart>
        <c:grouping val="stacked"/>
        <c:varyColors val="0"/>
        <c:ser>
          <c:idx val="5"/>
          <c:order val="3"/>
          <c:tx>
            <c:strRef>
              <c:f>'Trends and nat. data'!$C$82</c:f>
              <c:strCache>
                <c:ptCount val="1"/>
                <c:pt idx="0">
                  <c:v>Recovery rate</c:v>
                </c:pt>
              </c:strCache>
            </c:strRef>
          </c:tx>
          <c:spPr>
            <a:ln w="28575">
              <a:noFill/>
            </a:ln>
          </c:spPr>
          <c:marker>
            <c:spPr>
              <a:noFill/>
              <a:ln>
                <a:noFill/>
              </a:ln>
            </c:spPr>
          </c:marker>
          <c:val>
            <c:numRef>
              <c:f>'Trends and nat. data'!$D$129:$L$129</c:f>
              <c:numCache>
                <c:formatCode>0%</c:formatCode>
                <c:ptCount val="9"/>
                <c:pt idx="0">
                  <c:v>0.77809912047037733</c:v>
                </c:pt>
                <c:pt idx="1">
                  <c:v>0.77777049999442349</c:v>
                </c:pt>
                <c:pt idx="2">
                  <c:v>0.77745004959039399</c:v>
                </c:pt>
                <c:pt idx="3">
                  <c:v>0.78740672020463121</c:v>
                </c:pt>
                <c:pt idx="4">
                  <c:v>0.77177171248279419</c:v>
                </c:pt>
                <c:pt idx="5">
                  <c:v>0.78715732064233646</c:v>
                </c:pt>
                <c:pt idx="6">
                  <c:v>0.80313140221956159</c:v>
                </c:pt>
                <c:pt idx="7">
                  <c:v>0.81972837764118067</c:v>
                </c:pt>
                <c:pt idx="8">
                  <c:v>0.75405513909402322</c:v>
                </c:pt>
              </c:numCache>
            </c:numRef>
          </c:val>
          <c:smooth val="0"/>
          <c:extLst>
            <c:ext xmlns:c16="http://schemas.microsoft.com/office/drawing/2014/chart" uri="{C3380CC4-5D6E-409C-BE32-E72D297353CC}">
              <c16:uniqueId val="{00000004-320C-45A3-AA4A-9D2B248C25F2}"/>
            </c:ext>
          </c:extLst>
        </c:ser>
        <c:ser>
          <c:idx val="6"/>
          <c:order val="5"/>
          <c:tx>
            <c:strRef>
              <c:f>'Trends and nat. data'!$B$244</c:f>
              <c:strCache>
                <c:ptCount val="1"/>
                <c:pt idx="0">
                  <c:v>Disposal (Mt)</c:v>
                </c:pt>
              </c:strCache>
            </c:strRef>
          </c:tx>
          <c:spPr>
            <a:ln w="28575">
              <a:noFill/>
            </a:ln>
          </c:spPr>
          <c:marker>
            <c:spPr>
              <a:noFill/>
              <a:ln>
                <a:noFill/>
              </a:ln>
            </c:spPr>
          </c:marker>
          <c:val>
            <c:numRef>
              <c:f>('Trends and nat. data'!$D$125:$L$125,'Trends and nat. data'!$N$125)</c:f>
              <c:numCache>
                <c:formatCode>#,##0.00</c:formatCode>
                <c:ptCount val="10"/>
                <c:pt idx="0">
                  <c:v>0.16198037651605135</c:v>
                </c:pt>
                <c:pt idx="1">
                  <c:v>0.16428820925795479</c:v>
                </c:pt>
                <c:pt idx="2">
                  <c:v>0.16659604199985825</c:v>
                </c:pt>
                <c:pt idx="3">
                  <c:v>0.15754858501082319</c:v>
                </c:pt>
                <c:pt idx="4">
                  <c:v>0.20829760050099916</c:v>
                </c:pt>
                <c:pt idx="5">
                  <c:v>0.19067746807726596</c:v>
                </c:pt>
                <c:pt idx="6">
                  <c:v>0.17305733565353276</c:v>
                </c:pt>
                <c:pt idx="7">
                  <c:v>0.15543720322979954</c:v>
                </c:pt>
                <c:pt idx="8">
                  <c:v>0.19052274053777465</c:v>
                </c:pt>
                <c:pt idx="9" formatCode="0.0%">
                  <c:v>1.8196504490433529E-2</c:v>
                </c:pt>
              </c:numCache>
            </c:numRef>
          </c:val>
          <c:smooth val="0"/>
          <c:extLst>
            <c:ext xmlns:c16="http://schemas.microsoft.com/office/drawing/2014/chart" uri="{C3380CC4-5D6E-409C-BE32-E72D297353CC}">
              <c16:uniqueId val="{00000009-320C-45A3-AA4A-9D2B248C25F2}"/>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47600702892672"/>
          <c:y val="9.444469696969697E-2"/>
          <c:w val="0.59424810759664781"/>
          <c:h val="0.51782247474747478"/>
        </c:manualLayout>
      </c:layout>
      <c:areaChart>
        <c:grouping val="stacked"/>
        <c:varyColors val="0"/>
        <c:ser>
          <c:idx val="0"/>
          <c:order val="0"/>
          <c:tx>
            <c:strRef>
              <c:f>'Trends and nat. data'!$C$83</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data'!$D$140:$L$140</c:f>
              <c:numCache>
                <c:formatCode>#,##0.00</c:formatCode>
                <c:ptCount val="9"/>
                <c:pt idx="0">
                  <c:v>4.4025410376931671</c:v>
                </c:pt>
                <c:pt idx="1">
                  <c:v>4.7149693744223509</c:v>
                </c:pt>
                <c:pt idx="2">
                  <c:v>5.0273977111515356</c:v>
                </c:pt>
                <c:pt idx="3">
                  <c:v>4.7973301320048938</c:v>
                </c:pt>
                <c:pt idx="4">
                  <c:v>4.1264539394072584</c:v>
                </c:pt>
                <c:pt idx="5">
                  <c:v>4.4396155712818581</c:v>
                </c:pt>
                <c:pt idx="6">
                  <c:v>4.7527772031564579</c:v>
                </c:pt>
                <c:pt idx="7">
                  <c:v>5.0659388350310577</c:v>
                </c:pt>
                <c:pt idx="8">
                  <c:v>5.4658523923763189</c:v>
                </c:pt>
              </c:numCache>
            </c:numRef>
          </c:val>
          <c:extLst>
            <c:ext xmlns:c16="http://schemas.microsoft.com/office/drawing/2014/chart" uri="{C3380CC4-5D6E-409C-BE32-E72D297353CC}">
              <c16:uniqueId val="{00000000-26C9-4590-8DBA-8B744D25C2D4}"/>
            </c:ext>
          </c:extLst>
        </c:ser>
        <c:ser>
          <c:idx val="1"/>
          <c:order val="1"/>
          <c:tx>
            <c:strRef>
              <c:f>'Trends and nat. data'!$C$84</c:f>
              <c:strCache>
                <c:ptCount val="1"/>
                <c:pt idx="0">
                  <c:v>Recycling</c:v>
                </c:pt>
              </c:strCache>
            </c:strRef>
          </c:tx>
          <c:spPr>
            <a:solidFill>
              <a:srgbClr val="FFFF00"/>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data'!$D$141:$L$141</c:f>
              <c:numCache>
                <c:formatCode>#,##0.00</c:formatCode>
                <c:ptCount val="9"/>
                <c:pt idx="0">
                  <c:v>3.9314160614836746</c:v>
                </c:pt>
                <c:pt idx="1">
                  <c:v>3.8677395649709632</c:v>
                </c:pt>
                <c:pt idx="2">
                  <c:v>3.8040630684582517</c:v>
                </c:pt>
                <c:pt idx="3">
                  <c:v>3.4271249227550067</c:v>
                </c:pt>
                <c:pt idx="4">
                  <c:v>4.0059435334764482</c:v>
                </c:pt>
                <c:pt idx="5">
                  <c:v>4.2962812648282469</c:v>
                </c:pt>
                <c:pt idx="6">
                  <c:v>4.5866189961800456</c:v>
                </c:pt>
                <c:pt idx="7">
                  <c:v>4.8769567275318444</c:v>
                </c:pt>
                <c:pt idx="8">
                  <c:v>4.6413983412112687</c:v>
                </c:pt>
              </c:numCache>
            </c:numRef>
          </c:val>
          <c:extLst>
            <c:ext xmlns:c16="http://schemas.microsoft.com/office/drawing/2014/chart" uri="{C3380CC4-5D6E-409C-BE32-E72D297353CC}">
              <c16:uniqueId val="{00000001-26C9-4590-8DBA-8B744D25C2D4}"/>
            </c:ext>
          </c:extLst>
        </c:ser>
        <c:ser>
          <c:idx val="2"/>
          <c:order val="2"/>
          <c:tx>
            <c:strRef>
              <c:f>'Trends and nat. data'!$C$85</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data'!$D$142:$L$142</c:f>
              <c:numCache>
                <c:formatCode>#,##0.00</c:formatCode>
                <c:ptCount val="9"/>
                <c:pt idx="0">
                  <c:v>0.14076174515465595</c:v>
                </c:pt>
                <c:pt idx="1">
                  <c:v>0.1482678956441498</c:v>
                </c:pt>
                <c:pt idx="2">
                  <c:v>0.15577404613364365</c:v>
                </c:pt>
                <c:pt idx="3">
                  <c:v>0.17541745237172768</c:v>
                </c:pt>
                <c:pt idx="4">
                  <c:v>0.19000528650218637</c:v>
                </c:pt>
                <c:pt idx="5">
                  <c:v>0.29003891711578622</c:v>
                </c:pt>
                <c:pt idx="6">
                  <c:v>0.3900725477293861</c:v>
                </c:pt>
                <c:pt idx="7">
                  <c:v>0.49010617834298592</c:v>
                </c:pt>
                <c:pt idx="8">
                  <c:v>0.38985952475065444</c:v>
                </c:pt>
              </c:numCache>
            </c:numRef>
          </c:val>
          <c:extLst>
            <c:ext xmlns:c16="http://schemas.microsoft.com/office/drawing/2014/chart" uri="{C3380CC4-5D6E-409C-BE32-E72D297353CC}">
              <c16:uniqueId val="{00000002-26C9-4590-8DBA-8B744D25C2D4}"/>
            </c:ext>
          </c:extLst>
        </c:ser>
        <c:dLbls>
          <c:showLegendKey val="0"/>
          <c:showVal val="0"/>
          <c:showCatName val="0"/>
          <c:showSerName val="0"/>
          <c:showPercent val="0"/>
          <c:showBubbleSize val="0"/>
        </c:dLbls>
        <c:axId val="227289344"/>
        <c:axId val="227315712"/>
      </c:areaChart>
      <c:lineChart>
        <c:grouping val="stacked"/>
        <c:varyColors val="0"/>
        <c:ser>
          <c:idx val="3"/>
          <c:order val="3"/>
          <c:tx>
            <c:v>Generation (kg/capita)</c:v>
          </c:tx>
          <c:spPr>
            <a:ln>
              <a:solidFill>
                <a:schemeClr val="tx1"/>
              </a:solidFill>
            </a:ln>
          </c:spPr>
          <c:marker>
            <c:symbol val="circle"/>
            <c:size val="7"/>
            <c:spPr>
              <a:solidFill>
                <a:schemeClr val="bg1"/>
              </a:solidFill>
              <a:ln>
                <a:solidFill>
                  <a:schemeClr val="tx1"/>
                </a:solidFill>
              </a:ln>
            </c:spPr>
          </c:marker>
          <c:val>
            <c:numRef>
              <c:f>'Trends and nat. data'!$Q$143:$Y$143</c:f>
              <c:numCache>
                <c:formatCode>#,##0</c:formatCode>
                <c:ptCount val="9"/>
                <c:pt idx="0">
                  <c:v>2089.5075734727284</c:v>
                </c:pt>
                <c:pt idx="1">
                  <c:v>2098.7975536088938</c:v>
                </c:pt>
                <c:pt idx="2">
                  <c:v>2102.0062269736536</c:v>
                </c:pt>
                <c:pt idx="3">
                  <c:v>1923.2881461674531</c:v>
                </c:pt>
                <c:pt idx="4">
                  <c:v>1875.7322731111381</c:v>
                </c:pt>
                <c:pt idx="5">
                  <c:v>1997.5049275663378</c:v>
                </c:pt>
                <c:pt idx="6">
                  <c:v>2111.0239539589156</c:v>
                </c:pt>
                <c:pt idx="7">
                  <c:v>2226.8566899403822</c:v>
                </c:pt>
                <c:pt idx="8">
                  <c:v>2210.3567631086007</c:v>
                </c:pt>
              </c:numCache>
            </c:numRef>
          </c:val>
          <c:smooth val="0"/>
          <c:extLst>
            <c:ext xmlns:c16="http://schemas.microsoft.com/office/drawing/2014/chart" uri="{C3380CC4-5D6E-409C-BE32-E72D297353CC}">
              <c16:uniqueId val="{00000003-26C9-4590-8DBA-8B744D25C2D4}"/>
            </c:ext>
          </c:extLst>
        </c:ser>
        <c:dLbls>
          <c:showLegendKey val="0"/>
          <c:showVal val="0"/>
          <c:showCatName val="0"/>
          <c:showSerName val="0"/>
          <c:showPercent val="0"/>
          <c:showBubbleSize val="0"/>
        </c:dLbls>
        <c:marker val="1"/>
        <c:smooth val="0"/>
        <c:axId val="786891184"/>
        <c:axId val="786890200"/>
      </c:lineChart>
      <c:catAx>
        <c:axId val="22728934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27315712"/>
        <c:crosses val="autoZero"/>
        <c:auto val="1"/>
        <c:lblAlgn val="ctr"/>
        <c:lblOffset val="100"/>
        <c:noMultiLvlLbl val="0"/>
      </c:catAx>
      <c:valAx>
        <c:axId val="227315712"/>
        <c:scaling>
          <c:orientation val="minMax"/>
        </c:scaling>
        <c:delete val="0"/>
        <c:axPos val="l"/>
        <c:majorGridlines>
          <c:spPr>
            <a:ln w="2540"/>
          </c:spPr>
        </c:majorGridlines>
        <c:title>
          <c:tx>
            <c:rich>
              <a:bodyPr/>
              <a:lstStyle/>
              <a:p>
                <a:pPr>
                  <a:defRPr/>
                </a:pPr>
                <a:r>
                  <a:rPr lang="en-AU"/>
                  <a:t>Megatonnes (Mt)</a:t>
                </a:r>
              </a:p>
            </c:rich>
          </c:tx>
          <c:layout>
            <c:manualLayout>
              <c:xMode val="edge"/>
              <c:yMode val="edge"/>
              <c:x val="0.17983002162746689"/>
              <c:y val="0.19623282828282829"/>
            </c:manualLayout>
          </c:layout>
          <c:overlay val="0"/>
        </c:title>
        <c:numFmt formatCode="#,##0.0" sourceLinked="0"/>
        <c:majorTickMark val="out"/>
        <c:minorTickMark val="none"/>
        <c:tickLblPos val="nextTo"/>
        <c:spPr>
          <a:ln>
            <a:noFill/>
          </a:ln>
        </c:spPr>
        <c:crossAx val="227289344"/>
        <c:crosses val="autoZero"/>
        <c:crossBetween val="between"/>
      </c:valAx>
      <c:valAx>
        <c:axId val="786890200"/>
        <c:scaling>
          <c:orientation val="minMax"/>
          <c:min val="0"/>
        </c:scaling>
        <c:delete val="0"/>
        <c:axPos val="r"/>
        <c:title>
          <c:tx>
            <c:rich>
              <a:bodyPr/>
              <a:lstStyle/>
              <a:p>
                <a:pPr>
                  <a:defRPr/>
                </a:pPr>
                <a:r>
                  <a:rPr lang="en-AU"/>
                  <a:t>Generation (kg </a:t>
                </a:r>
                <a:r>
                  <a:rPr lang="en-AU" baseline="0"/>
                  <a:t>per capita)</a:t>
                </a:r>
                <a:endParaRPr lang="en-AU"/>
              </a:p>
            </c:rich>
          </c:tx>
          <c:layout>
            <c:manualLayout>
              <c:xMode val="edge"/>
              <c:yMode val="edge"/>
              <c:x val="0.9528288050824546"/>
              <c:y val="0.14804848484848485"/>
            </c:manualLayout>
          </c:layout>
          <c:overlay val="0"/>
        </c:title>
        <c:numFmt formatCode="#,##0;\-#,##0;;" sourceLinked="0"/>
        <c:majorTickMark val="out"/>
        <c:minorTickMark val="none"/>
        <c:tickLblPos val="nextTo"/>
        <c:spPr>
          <a:ln>
            <a:noFill/>
          </a:ln>
        </c:spPr>
        <c:crossAx val="786891184"/>
        <c:crosses val="max"/>
        <c:crossBetween val="between"/>
        <c:majorUnit val="400"/>
      </c:valAx>
      <c:catAx>
        <c:axId val="786891184"/>
        <c:scaling>
          <c:orientation val="minMax"/>
        </c:scaling>
        <c:delete val="1"/>
        <c:axPos val="b"/>
        <c:majorTickMark val="out"/>
        <c:minorTickMark val="none"/>
        <c:tickLblPos val="nextTo"/>
        <c:crossAx val="786890200"/>
        <c:crosses val="autoZero"/>
        <c:auto val="1"/>
        <c:lblAlgn val="ctr"/>
        <c:lblOffset val="100"/>
        <c:noMultiLvlLbl val="0"/>
      </c:catAx>
    </c:plotArea>
    <c:legend>
      <c:legendPos val="t"/>
      <c:layout>
        <c:manualLayout>
          <c:xMode val="edge"/>
          <c:yMode val="edge"/>
          <c:x val="0.16583941605839417"/>
          <c:y val="6.7704545454545465E-3"/>
          <c:w val="0.82916615977291164"/>
          <c:h val="5.0507323232323237E-2"/>
        </c:manualLayout>
      </c:layout>
      <c:overlay val="0"/>
    </c:legend>
    <c:plotVisOnly val="1"/>
    <c:dispBlanksAs val="zero"/>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72880240897206983"/>
          <c:h val="0.12808528285643614"/>
        </c:manualLayout>
      </c:layout>
      <c:areaChart>
        <c:grouping val="stacked"/>
        <c:varyColors val="0"/>
        <c:ser>
          <c:idx val="0"/>
          <c:order val="0"/>
          <c:tx>
            <c:strRef>
              <c:f>'Trends and nat. data'!$B$243</c:f>
              <c:strCache>
                <c:ptCount val="1"/>
                <c:pt idx="0">
                  <c:v>Recycling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data'!$D$141:$L$141,'Trends and nat. data'!$N$141)</c:f>
              <c:numCache>
                <c:formatCode>#,##0.00</c:formatCode>
                <c:ptCount val="10"/>
                <c:pt idx="0">
                  <c:v>3.9314160614836746</c:v>
                </c:pt>
                <c:pt idx="1">
                  <c:v>3.8677395649709632</c:v>
                </c:pt>
                <c:pt idx="2">
                  <c:v>3.8040630684582517</c:v>
                </c:pt>
                <c:pt idx="3">
                  <c:v>3.4271249227550067</c:v>
                </c:pt>
                <c:pt idx="4">
                  <c:v>4.0059435334764482</c:v>
                </c:pt>
                <c:pt idx="5">
                  <c:v>4.2962812648282469</c:v>
                </c:pt>
                <c:pt idx="6">
                  <c:v>4.5866189961800456</c:v>
                </c:pt>
                <c:pt idx="7">
                  <c:v>4.8769567275318444</c:v>
                </c:pt>
                <c:pt idx="8">
                  <c:v>4.6413983412112687</c:v>
                </c:pt>
                <c:pt idx="9" formatCode="0.0%">
                  <c:v>1.8617405339492077E-2</c:v>
                </c:pt>
              </c:numCache>
            </c:numRef>
          </c:val>
          <c:extLst>
            <c:ext xmlns:c16="http://schemas.microsoft.com/office/drawing/2014/chart" uri="{C3380CC4-5D6E-409C-BE32-E72D297353CC}">
              <c16:uniqueId val="{00000000-890F-4805-B3CB-5ADD22363384}"/>
            </c:ext>
          </c:extLst>
        </c:ser>
        <c:ser>
          <c:idx val="1"/>
          <c:order val="1"/>
          <c:tx>
            <c:strRef>
              <c:f>'Trends and nat. data'!$B$242</c:f>
              <c:strCache>
                <c:ptCount val="1"/>
                <c:pt idx="0">
                  <c:v>Energy recovery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data'!$D$142:$L$142,'Trends and nat. data'!$N$142)</c:f>
              <c:numCache>
                <c:formatCode>#,##0.00</c:formatCode>
                <c:ptCount val="10"/>
                <c:pt idx="0">
                  <c:v>0.14076174515465595</c:v>
                </c:pt>
                <c:pt idx="1">
                  <c:v>0.1482678956441498</c:v>
                </c:pt>
                <c:pt idx="2">
                  <c:v>0.15577404613364365</c:v>
                </c:pt>
                <c:pt idx="3">
                  <c:v>0.17541745237172768</c:v>
                </c:pt>
                <c:pt idx="4">
                  <c:v>0.19000528650218637</c:v>
                </c:pt>
                <c:pt idx="5">
                  <c:v>0.29003891711578622</c:v>
                </c:pt>
                <c:pt idx="6">
                  <c:v>0.3900725477293861</c:v>
                </c:pt>
                <c:pt idx="7">
                  <c:v>0.49010617834298592</c:v>
                </c:pt>
                <c:pt idx="8">
                  <c:v>0.38985952475065444</c:v>
                </c:pt>
                <c:pt idx="9" formatCode="0.0%">
                  <c:v>0.11984565012923865</c:v>
                </c:pt>
              </c:numCache>
            </c:numRef>
          </c:val>
          <c:extLst>
            <c:ext xmlns:c16="http://schemas.microsoft.com/office/drawing/2014/chart" uri="{C3380CC4-5D6E-409C-BE32-E72D297353CC}">
              <c16:uniqueId val="{00000001-890F-4805-B3CB-5ADD22363384}"/>
            </c:ext>
          </c:extLst>
        </c:ser>
        <c:ser>
          <c:idx val="4"/>
          <c:order val="2"/>
          <c:tx>
            <c:strRef>
              <c:f>'Trends and nat. data'!$B$247</c:f>
              <c:strCache>
                <c:ptCount val="1"/>
                <c:pt idx="0">
                  <c:v>Generation excl.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data'!$D$143:$L$143,'Trends and nat. data'!$N$143)</c:f>
              <c:numCache>
                <c:formatCode>#,##0.00</c:formatCode>
                <c:ptCount val="10"/>
                <c:pt idx="0">
                  <c:v>8.4747188443314982</c:v>
                </c:pt>
                <c:pt idx="1">
                  <c:v>8.7309768350374632</c:v>
                </c:pt>
                <c:pt idx="2">
                  <c:v>8.9872348257434318</c:v>
                </c:pt>
                <c:pt idx="3">
                  <c:v>8.3998725071316276</c:v>
                </c:pt>
                <c:pt idx="4">
                  <c:v>8.3224027593858931</c:v>
                </c:pt>
                <c:pt idx="5">
                  <c:v>9.025935753225891</c:v>
                </c:pt>
                <c:pt idx="6">
                  <c:v>9.7294687470658889</c:v>
                </c:pt>
                <c:pt idx="7">
                  <c:v>10.433001740905889</c:v>
                </c:pt>
                <c:pt idx="8">
                  <c:v>10.497110258338243</c:v>
                </c:pt>
                <c:pt idx="9" formatCode="0.0%">
                  <c:v>2.406414858136241E-2</c:v>
                </c:pt>
              </c:numCache>
            </c:numRef>
          </c:val>
          <c:extLst>
            <c:ext xmlns:c16="http://schemas.microsoft.com/office/drawing/2014/chart" uri="{C3380CC4-5D6E-409C-BE32-E72D297353CC}">
              <c16:uniqueId val="{00000002-890F-4805-B3CB-5ADD22363384}"/>
            </c:ext>
          </c:extLst>
        </c:ser>
        <c:ser>
          <c:idx val="2"/>
          <c:order val="3"/>
          <c:tx>
            <c:strRef>
              <c:f>'Trends and nat. data'!$B$246</c:f>
              <c:strCache>
                <c:ptCount val="1"/>
                <c:pt idx="0">
                  <c:v>Generation incl.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data'!$D$96:$L$96,'Trends and nat. data'!$N$96)</c:f>
              <c:numCache>
                <c:formatCode>#,##0.00</c:formatCode>
                <c:ptCount val="10"/>
                <c:pt idx="0">
                  <c:v>14.192435178024862</c:v>
                </c:pt>
                <c:pt idx="1">
                  <c:v>14.511665001884147</c:v>
                </c:pt>
                <c:pt idx="2">
                  <c:v>14.830894825743432</c:v>
                </c:pt>
                <c:pt idx="3">
                  <c:v>14.123641507131628</c:v>
                </c:pt>
                <c:pt idx="4">
                  <c:v>14.048610759385889</c:v>
                </c:pt>
                <c:pt idx="5">
                  <c:v>14.469257753225891</c:v>
                </c:pt>
                <c:pt idx="6">
                  <c:v>14.889904747065891</c:v>
                </c:pt>
                <c:pt idx="7">
                  <c:v>15.31055174090589</c:v>
                </c:pt>
                <c:pt idx="8">
                  <c:v>15.712751258338242</c:v>
                </c:pt>
                <c:pt idx="9" formatCode="0.0%">
                  <c:v>1.1371219234213248E-2</c:v>
                </c:pt>
              </c:numCache>
            </c:numRef>
          </c:val>
          <c:extLst>
            <c:ext xmlns:c16="http://schemas.microsoft.com/office/drawing/2014/chart" uri="{C3380CC4-5D6E-409C-BE32-E72D297353CC}">
              <c16:uniqueId val="{00000003-890F-4805-B3CB-5ADD22363384}"/>
            </c:ext>
          </c:extLst>
        </c:ser>
        <c:ser>
          <c:idx val="3"/>
          <c:order val="5"/>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data'!$Q$143:$Y$143,'Trends and nat. data'!$AA$143)</c:f>
              <c:numCache>
                <c:formatCode>#,##0</c:formatCode>
                <c:ptCount val="10"/>
                <c:pt idx="0">
                  <c:v>2089.5075734727284</c:v>
                </c:pt>
                <c:pt idx="1">
                  <c:v>2098.7975536088938</c:v>
                </c:pt>
                <c:pt idx="2">
                  <c:v>2102.0062269736536</c:v>
                </c:pt>
                <c:pt idx="3">
                  <c:v>1923.2881461674531</c:v>
                </c:pt>
                <c:pt idx="4">
                  <c:v>1875.7322731111381</c:v>
                </c:pt>
                <c:pt idx="5">
                  <c:v>1997.5049275663378</c:v>
                </c:pt>
                <c:pt idx="6">
                  <c:v>2111.0239539589156</c:v>
                </c:pt>
                <c:pt idx="7">
                  <c:v>2226.8566899403822</c:v>
                </c:pt>
                <c:pt idx="8">
                  <c:v>2210.3567631086007</c:v>
                </c:pt>
                <c:pt idx="9" formatCode="0.0%">
                  <c:v>6.2668334263280556E-3</c:v>
                </c:pt>
              </c:numCache>
            </c:numRef>
          </c:val>
          <c:extLst>
            <c:ext xmlns:c16="http://schemas.microsoft.com/office/drawing/2014/chart" uri="{C3380CC4-5D6E-409C-BE32-E72D297353CC}">
              <c16:uniqueId val="{00000005-890F-4805-B3CB-5ADD22363384}"/>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data'!$C$82</c:f>
              <c:strCache>
                <c:ptCount val="1"/>
                <c:pt idx="0">
                  <c:v>Recovery rate</c:v>
                </c:pt>
              </c:strCache>
            </c:strRef>
          </c:tx>
          <c:spPr>
            <a:ln w="28575">
              <a:noFill/>
            </a:ln>
          </c:spPr>
          <c:marker>
            <c:spPr>
              <a:noFill/>
              <a:ln>
                <a:noFill/>
              </a:ln>
            </c:spPr>
          </c:marker>
          <c:val>
            <c:numRef>
              <c:f>'Trends and nat. data'!$D$144:$L$144</c:f>
              <c:numCache>
                <c:formatCode>0%</c:formatCode>
                <c:ptCount val="9"/>
                <c:pt idx="0">
                  <c:v>0.48050889727888679</c:v>
                </c:pt>
                <c:pt idx="1">
                  <c:v>0.45997229594045547</c:v>
                </c:pt>
                <c:pt idx="2">
                  <c:v>0.44060683751682589</c:v>
                </c:pt>
                <c:pt idx="3">
                  <c:v>0.42888060170771847</c:v>
                </c:pt>
                <c:pt idx="4">
                  <c:v>0.50417516927386152</c:v>
                </c:pt>
                <c:pt idx="5">
                  <c:v>0.50812683663351699</c:v>
                </c:pt>
                <c:pt idx="6">
                  <c:v>0.51150701783283392</c:v>
                </c:pt>
                <c:pt idx="7">
                  <c:v>0.5144313246715525</c:v>
                </c:pt>
                <c:pt idx="8">
                  <c:v>0.47929932544677317</c:v>
                </c:pt>
              </c:numCache>
            </c:numRef>
          </c:val>
          <c:smooth val="0"/>
          <c:extLst>
            <c:ext xmlns:c16="http://schemas.microsoft.com/office/drawing/2014/chart" uri="{C3380CC4-5D6E-409C-BE32-E72D297353CC}">
              <c16:uniqueId val="{00000004-890F-4805-B3CB-5ADD22363384}"/>
            </c:ext>
          </c:extLst>
        </c:ser>
        <c:ser>
          <c:idx val="6"/>
          <c:order val="6"/>
          <c:tx>
            <c:strRef>
              <c:f>'Trends and nat. data'!$B$244</c:f>
              <c:strCache>
                <c:ptCount val="1"/>
                <c:pt idx="0">
                  <c:v>Disposal (Mt)</c:v>
                </c:pt>
              </c:strCache>
            </c:strRef>
          </c:tx>
          <c:spPr>
            <a:ln w="28575">
              <a:noFill/>
            </a:ln>
          </c:spPr>
          <c:marker>
            <c:spPr>
              <a:noFill/>
              <a:ln>
                <a:noFill/>
              </a:ln>
            </c:spPr>
          </c:marker>
          <c:val>
            <c:numRef>
              <c:f>('Trends and nat. data'!$D$140:$L$140,'Trends and nat. data'!$N$140)</c:f>
              <c:numCache>
                <c:formatCode>#,##0.00</c:formatCode>
                <c:ptCount val="10"/>
                <c:pt idx="0">
                  <c:v>4.4025410376931671</c:v>
                </c:pt>
                <c:pt idx="1">
                  <c:v>4.7149693744223509</c:v>
                </c:pt>
                <c:pt idx="2">
                  <c:v>5.0273977111515356</c:v>
                </c:pt>
                <c:pt idx="3">
                  <c:v>4.7973301320048938</c:v>
                </c:pt>
                <c:pt idx="4">
                  <c:v>4.1264539394072584</c:v>
                </c:pt>
                <c:pt idx="5">
                  <c:v>4.4396155712818581</c:v>
                </c:pt>
                <c:pt idx="6">
                  <c:v>4.7527772031564579</c:v>
                </c:pt>
                <c:pt idx="7">
                  <c:v>5.0659388350310577</c:v>
                </c:pt>
                <c:pt idx="8">
                  <c:v>5.4658523923763189</c:v>
                </c:pt>
                <c:pt idx="9" formatCode="0.0%">
                  <c:v>2.4328809128671747E-2</c:v>
                </c:pt>
              </c:numCache>
            </c:numRef>
          </c:val>
          <c:smooth val="0"/>
          <c:extLst>
            <c:ext xmlns:c16="http://schemas.microsoft.com/office/drawing/2014/chart" uri="{C3380CC4-5D6E-409C-BE32-E72D297353CC}">
              <c16:uniqueId val="{00000006-890F-4805-B3CB-5ADD22363384}"/>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247600702892672"/>
          <c:y val="9.444469696969697E-2"/>
          <c:w val="0.59424810759664781"/>
          <c:h val="0.51782247474747478"/>
        </c:manualLayout>
      </c:layout>
      <c:areaChart>
        <c:grouping val="stacked"/>
        <c:varyColors val="0"/>
        <c:ser>
          <c:idx val="0"/>
          <c:order val="0"/>
          <c:tx>
            <c:strRef>
              <c:f>'Trends and nat. data'!$C$83</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data'!$D$145:$L$145</c:f>
              <c:numCache>
                <c:formatCode>#,##0.00</c:formatCode>
                <c:ptCount val="9"/>
                <c:pt idx="0">
                  <c:v>0.69868947641149148</c:v>
                </c:pt>
                <c:pt idx="1">
                  <c:v>0.68891413631100828</c:v>
                </c:pt>
                <c:pt idx="2">
                  <c:v>0.67913879621052498</c:v>
                </c:pt>
                <c:pt idx="3">
                  <c:v>0.65927919291381021</c:v>
                </c:pt>
                <c:pt idx="4">
                  <c:v>0.78651741802020048</c:v>
                </c:pt>
                <c:pt idx="5">
                  <c:v>0.86017009060690863</c:v>
                </c:pt>
                <c:pt idx="6">
                  <c:v>0.93382276319361679</c:v>
                </c:pt>
                <c:pt idx="7">
                  <c:v>1.0074754357803251</c:v>
                </c:pt>
                <c:pt idx="8">
                  <c:v>0.96778534280928685</c:v>
                </c:pt>
              </c:numCache>
            </c:numRef>
          </c:val>
          <c:extLst>
            <c:ext xmlns:c16="http://schemas.microsoft.com/office/drawing/2014/chart" uri="{C3380CC4-5D6E-409C-BE32-E72D297353CC}">
              <c16:uniqueId val="{00000000-3D7C-45A3-8B44-C3C7F9C2154A}"/>
            </c:ext>
          </c:extLst>
        </c:ser>
        <c:ser>
          <c:idx val="1"/>
          <c:order val="1"/>
          <c:tx>
            <c:strRef>
              <c:f>'Trends and nat. data'!$C$84</c:f>
              <c:strCache>
                <c:ptCount val="1"/>
                <c:pt idx="0">
                  <c:v>Recycling</c:v>
                </c:pt>
              </c:strCache>
            </c:strRef>
          </c:tx>
          <c:spPr>
            <a:solidFill>
              <a:srgbClr val="FFFF00"/>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data'!$D$146:$L$146</c:f>
              <c:numCache>
                <c:formatCode>#,##0.00</c:formatCode>
                <c:ptCount val="9"/>
                <c:pt idx="0">
                  <c:v>2.1575805384524789</c:v>
                </c:pt>
                <c:pt idx="1">
                  <c:v>2.2476253323645992</c:v>
                </c:pt>
                <c:pt idx="2">
                  <c:v>2.3376701262767199</c:v>
                </c:pt>
                <c:pt idx="3">
                  <c:v>2.3798361747559857</c:v>
                </c:pt>
                <c:pt idx="4">
                  <c:v>2.948252356464649</c:v>
                </c:pt>
                <c:pt idx="5">
                  <c:v>3.0283444932450307</c:v>
                </c:pt>
                <c:pt idx="6">
                  <c:v>3.1084366300254125</c:v>
                </c:pt>
                <c:pt idx="7">
                  <c:v>3.1885287668057938</c:v>
                </c:pt>
                <c:pt idx="8">
                  <c:v>3.1582971812369096</c:v>
                </c:pt>
              </c:numCache>
            </c:numRef>
          </c:val>
          <c:extLst>
            <c:ext xmlns:c16="http://schemas.microsoft.com/office/drawing/2014/chart" uri="{C3380CC4-5D6E-409C-BE32-E72D297353CC}">
              <c16:uniqueId val="{00000001-3D7C-45A3-8B44-C3C7F9C2154A}"/>
            </c:ext>
          </c:extLst>
        </c:ser>
        <c:ser>
          <c:idx val="2"/>
          <c:order val="2"/>
          <c:tx>
            <c:strRef>
              <c:f>'Trends and nat. data'!$C$85</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data'!$D$147:$L$147</c:f>
              <c:numCache>
                <c:formatCode>#,##0.00</c:formatCode>
                <c:ptCount val="9"/>
                <c:pt idx="0">
                  <c:v>0.11589876978747329</c:v>
                </c:pt>
                <c:pt idx="1">
                  <c:v>0.10694963551270836</c:v>
                </c:pt>
                <c:pt idx="2">
                  <c:v>9.8000501237943446E-2</c:v>
                </c:pt>
                <c:pt idx="3">
                  <c:v>9.5728037683534162E-2</c:v>
                </c:pt>
                <c:pt idx="4">
                  <c:v>0.12510925266383544</c:v>
                </c:pt>
                <c:pt idx="5">
                  <c:v>0.14133407063101786</c:v>
                </c:pt>
                <c:pt idx="6">
                  <c:v>0.15755888859820028</c:v>
                </c:pt>
                <c:pt idx="7">
                  <c:v>0.1737837065653827</c:v>
                </c:pt>
                <c:pt idx="8">
                  <c:v>0.14942237642766357</c:v>
                </c:pt>
              </c:numCache>
            </c:numRef>
          </c:val>
          <c:extLst>
            <c:ext xmlns:c16="http://schemas.microsoft.com/office/drawing/2014/chart" uri="{C3380CC4-5D6E-409C-BE32-E72D297353CC}">
              <c16:uniqueId val="{00000002-3D7C-45A3-8B44-C3C7F9C2154A}"/>
            </c:ext>
          </c:extLst>
        </c:ser>
        <c:dLbls>
          <c:showLegendKey val="0"/>
          <c:showVal val="0"/>
          <c:showCatName val="0"/>
          <c:showSerName val="0"/>
          <c:showPercent val="0"/>
          <c:showBubbleSize val="0"/>
        </c:dLbls>
        <c:axId val="227289344"/>
        <c:axId val="227315712"/>
      </c:areaChart>
      <c:lineChart>
        <c:grouping val="stacked"/>
        <c:varyColors val="0"/>
        <c:ser>
          <c:idx val="3"/>
          <c:order val="3"/>
          <c:tx>
            <c:v>Generation (kg/capita)</c:v>
          </c:tx>
          <c:spPr>
            <a:ln>
              <a:solidFill>
                <a:schemeClr val="tx1"/>
              </a:solidFill>
            </a:ln>
          </c:spPr>
          <c:marker>
            <c:symbol val="circle"/>
            <c:size val="7"/>
            <c:spPr>
              <a:solidFill>
                <a:schemeClr val="bg1"/>
              </a:solidFill>
              <a:ln>
                <a:solidFill>
                  <a:schemeClr val="tx1"/>
                </a:solidFill>
              </a:ln>
            </c:spPr>
          </c:marker>
          <c:val>
            <c:numRef>
              <c:f>'Trends and nat. data'!$Q$148:$Y$148</c:f>
              <c:numCache>
                <c:formatCode>#,##0</c:formatCode>
                <c:ptCount val="9"/>
                <c:pt idx="0">
                  <c:v>1903.6500253964284</c:v>
                </c:pt>
                <c:pt idx="1">
                  <c:v>1928.1028275701103</c:v>
                </c:pt>
                <c:pt idx="2">
                  <c:v>1949.3387636901323</c:v>
                </c:pt>
                <c:pt idx="3">
                  <c:v>1936.7885918091868</c:v>
                </c:pt>
                <c:pt idx="4">
                  <c:v>2364.4236366150958</c:v>
                </c:pt>
                <c:pt idx="5">
                  <c:v>2446.8540074859284</c:v>
                </c:pt>
                <c:pt idx="6">
                  <c:v>2526.6669846096643</c:v>
                </c:pt>
                <c:pt idx="7">
                  <c:v>2606.2285977102852</c:v>
                </c:pt>
                <c:pt idx="8">
                  <c:v>2527.4841942852258</c:v>
                </c:pt>
              </c:numCache>
            </c:numRef>
          </c:val>
          <c:smooth val="0"/>
          <c:extLst>
            <c:ext xmlns:c16="http://schemas.microsoft.com/office/drawing/2014/chart" uri="{C3380CC4-5D6E-409C-BE32-E72D297353CC}">
              <c16:uniqueId val="{00000003-3D7C-45A3-8B44-C3C7F9C2154A}"/>
            </c:ext>
          </c:extLst>
        </c:ser>
        <c:dLbls>
          <c:showLegendKey val="0"/>
          <c:showVal val="0"/>
          <c:showCatName val="0"/>
          <c:showSerName val="0"/>
          <c:showPercent val="0"/>
          <c:showBubbleSize val="0"/>
        </c:dLbls>
        <c:marker val="1"/>
        <c:smooth val="0"/>
        <c:axId val="786891184"/>
        <c:axId val="786890200"/>
      </c:lineChart>
      <c:catAx>
        <c:axId val="227289344"/>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27315712"/>
        <c:crosses val="autoZero"/>
        <c:auto val="1"/>
        <c:lblAlgn val="ctr"/>
        <c:lblOffset val="100"/>
        <c:noMultiLvlLbl val="0"/>
      </c:catAx>
      <c:valAx>
        <c:axId val="227315712"/>
        <c:scaling>
          <c:orientation val="minMax"/>
          <c:max val="6"/>
        </c:scaling>
        <c:delete val="0"/>
        <c:axPos val="l"/>
        <c:majorGridlines>
          <c:spPr>
            <a:ln w="2540"/>
          </c:spPr>
        </c:majorGridlines>
        <c:title>
          <c:tx>
            <c:rich>
              <a:bodyPr/>
              <a:lstStyle/>
              <a:p>
                <a:pPr>
                  <a:defRPr/>
                </a:pPr>
                <a:r>
                  <a:rPr lang="en-AU"/>
                  <a:t>Megatonnes (Mt)</a:t>
                </a:r>
              </a:p>
            </c:rich>
          </c:tx>
          <c:layout>
            <c:manualLayout>
              <c:xMode val="edge"/>
              <c:yMode val="edge"/>
              <c:x val="0.17339247093809135"/>
              <c:y val="0.20264696969696966"/>
            </c:manualLayout>
          </c:layout>
          <c:overlay val="0"/>
        </c:title>
        <c:numFmt formatCode="#,##0.0" sourceLinked="0"/>
        <c:majorTickMark val="out"/>
        <c:minorTickMark val="none"/>
        <c:tickLblPos val="nextTo"/>
        <c:spPr>
          <a:ln>
            <a:noFill/>
          </a:ln>
        </c:spPr>
        <c:crossAx val="227289344"/>
        <c:crosses val="autoZero"/>
        <c:crossBetween val="between"/>
      </c:valAx>
      <c:valAx>
        <c:axId val="786890200"/>
        <c:scaling>
          <c:orientation val="minMax"/>
          <c:min val="0"/>
        </c:scaling>
        <c:delete val="0"/>
        <c:axPos val="r"/>
        <c:title>
          <c:tx>
            <c:rich>
              <a:bodyPr/>
              <a:lstStyle/>
              <a:p>
                <a:pPr>
                  <a:defRPr/>
                </a:pPr>
                <a:r>
                  <a:rPr lang="en-AU"/>
                  <a:t>Generation (kg</a:t>
                </a:r>
                <a:r>
                  <a:rPr lang="en-AU" baseline="0"/>
                  <a:t> per capita)</a:t>
                </a:r>
                <a:endParaRPr lang="en-AU"/>
              </a:p>
            </c:rich>
          </c:tx>
          <c:layout>
            <c:manualLayout>
              <c:xMode val="edge"/>
              <c:yMode val="edge"/>
              <c:x val="0.95068295485266285"/>
              <c:y val="0.12880606060606062"/>
            </c:manualLayout>
          </c:layout>
          <c:overlay val="0"/>
        </c:title>
        <c:numFmt formatCode="#,##0;\-#,##0;;" sourceLinked="0"/>
        <c:majorTickMark val="out"/>
        <c:minorTickMark val="none"/>
        <c:tickLblPos val="nextTo"/>
        <c:spPr>
          <a:ln>
            <a:noFill/>
          </a:ln>
        </c:spPr>
        <c:crossAx val="786891184"/>
        <c:crosses val="max"/>
        <c:crossBetween val="between"/>
      </c:valAx>
      <c:catAx>
        <c:axId val="786891184"/>
        <c:scaling>
          <c:orientation val="minMax"/>
        </c:scaling>
        <c:delete val="1"/>
        <c:axPos val="b"/>
        <c:majorTickMark val="out"/>
        <c:minorTickMark val="none"/>
        <c:tickLblPos val="nextTo"/>
        <c:crossAx val="786890200"/>
        <c:crosses val="autoZero"/>
        <c:auto val="1"/>
        <c:lblAlgn val="ctr"/>
        <c:lblOffset val="100"/>
        <c:noMultiLvlLbl val="0"/>
      </c:catAx>
    </c:plotArea>
    <c:legend>
      <c:legendPos val="t"/>
      <c:layout>
        <c:manualLayout>
          <c:xMode val="edge"/>
          <c:yMode val="edge"/>
          <c:x val="0.18300621789672886"/>
          <c:y val="6.7704545454545465E-3"/>
          <c:w val="0.81199935793457689"/>
          <c:h val="4.4093181818181816E-2"/>
        </c:manualLayout>
      </c:layout>
      <c:overlay val="0"/>
    </c:legend>
    <c:plotVisOnly val="1"/>
    <c:dispBlanksAs val="zero"/>
    <c:showDLblsOverMax val="0"/>
  </c:chart>
  <c:spPr>
    <a:ln>
      <a:noFill/>
    </a:ln>
  </c:spPr>
  <c:printSettings>
    <c:headerFooter/>
    <c:pageMargins b="0.750000000000005" l="0.70000000000000062" r="0.70000000000000062" t="0.75000000000000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22542087542086"/>
          <c:y val="0.30716055555555555"/>
          <c:w val="0.72880240897206983"/>
          <c:h val="0.12808528285643614"/>
        </c:manualLayout>
      </c:layout>
      <c:areaChart>
        <c:grouping val="stacked"/>
        <c:varyColors val="0"/>
        <c:ser>
          <c:idx val="0"/>
          <c:order val="0"/>
          <c:tx>
            <c:strRef>
              <c:f>'Trends and nat. data'!$B$243</c:f>
              <c:strCache>
                <c:ptCount val="1"/>
                <c:pt idx="0">
                  <c:v>Recycling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data'!$D$146:$L$146,'Trends and nat. data'!$N$146)</c:f>
              <c:numCache>
                <c:formatCode>#,##0.00</c:formatCode>
                <c:ptCount val="10"/>
                <c:pt idx="0">
                  <c:v>2.1575805384524789</c:v>
                </c:pt>
                <c:pt idx="1">
                  <c:v>2.2476253323645992</c:v>
                </c:pt>
                <c:pt idx="2">
                  <c:v>2.3376701262767199</c:v>
                </c:pt>
                <c:pt idx="3">
                  <c:v>2.3798361747559857</c:v>
                </c:pt>
                <c:pt idx="4">
                  <c:v>2.948252356464649</c:v>
                </c:pt>
                <c:pt idx="5">
                  <c:v>3.0283444932450307</c:v>
                </c:pt>
                <c:pt idx="6">
                  <c:v>3.1084366300254125</c:v>
                </c:pt>
                <c:pt idx="7">
                  <c:v>3.1885287668057938</c:v>
                </c:pt>
                <c:pt idx="8">
                  <c:v>3.1582971812369096</c:v>
                </c:pt>
                <c:pt idx="9" formatCode="0.0%">
                  <c:v>4.3247447338486733E-2</c:v>
                </c:pt>
              </c:numCache>
            </c:numRef>
          </c:val>
          <c:extLst>
            <c:ext xmlns:c16="http://schemas.microsoft.com/office/drawing/2014/chart" uri="{C3380CC4-5D6E-409C-BE32-E72D297353CC}">
              <c16:uniqueId val="{00000000-F10F-4107-A847-0D4F713CA0B4}"/>
            </c:ext>
          </c:extLst>
        </c:ser>
        <c:ser>
          <c:idx val="1"/>
          <c:order val="1"/>
          <c:tx>
            <c:strRef>
              <c:f>'Trends and nat. data'!$B$242</c:f>
              <c:strCache>
                <c:ptCount val="1"/>
                <c:pt idx="0">
                  <c:v>Energy recovery (Mt)</c:v>
                </c:pt>
              </c:strCache>
            </c:strRef>
          </c:tx>
          <c:spPr>
            <a:noFill/>
            <a:ln>
              <a:solidFill>
                <a:srgbClr val="FFFF00">
                  <a:alpha val="1000"/>
                </a:srgbClr>
              </a:solidFill>
            </a:ln>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data'!$D$147:$L$147,'Trends and nat. data'!$N$147)</c:f>
              <c:numCache>
                <c:formatCode>#,##0.00</c:formatCode>
                <c:ptCount val="10"/>
                <c:pt idx="0">
                  <c:v>0.11589876978747329</c:v>
                </c:pt>
                <c:pt idx="1">
                  <c:v>0.10694963551270836</c:v>
                </c:pt>
                <c:pt idx="2">
                  <c:v>9.8000501237943446E-2</c:v>
                </c:pt>
                <c:pt idx="3">
                  <c:v>9.5728037683534162E-2</c:v>
                </c:pt>
                <c:pt idx="4">
                  <c:v>0.12510925266383544</c:v>
                </c:pt>
                <c:pt idx="5">
                  <c:v>0.14133407063101786</c:v>
                </c:pt>
                <c:pt idx="6">
                  <c:v>0.15755888859820028</c:v>
                </c:pt>
                <c:pt idx="7">
                  <c:v>0.1737837065653827</c:v>
                </c:pt>
                <c:pt idx="8">
                  <c:v>0.14942237642766357</c:v>
                </c:pt>
                <c:pt idx="9" formatCode="0.0%">
                  <c:v>2.8631088382741421E-2</c:v>
                </c:pt>
              </c:numCache>
            </c:numRef>
          </c:val>
          <c:extLst>
            <c:ext xmlns:c16="http://schemas.microsoft.com/office/drawing/2014/chart" uri="{C3380CC4-5D6E-409C-BE32-E72D297353CC}">
              <c16:uniqueId val="{00000001-F10F-4107-A847-0D4F713CA0B4}"/>
            </c:ext>
          </c:extLst>
        </c:ser>
        <c:ser>
          <c:idx val="4"/>
          <c:order val="2"/>
          <c:tx>
            <c:strRef>
              <c:f>'Trends and nat. data'!$B$247</c:f>
              <c:strCache>
                <c:ptCount val="1"/>
                <c:pt idx="0">
                  <c:v>Generation excl.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data'!$D$148:$L$148,'Trends and nat. data'!$N$148)</c:f>
              <c:numCache>
                <c:formatCode>#,##0.00</c:formatCode>
                <c:ptCount val="10"/>
                <c:pt idx="0">
                  <c:v>2.9721687846514437</c:v>
                </c:pt>
                <c:pt idx="1">
                  <c:v>3.0434891041883159</c:v>
                </c:pt>
                <c:pt idx="2">
                  <c:v>3.1148094237251884</c:v>
                </c:pt>
                <c:pt idx="3">
                  <c:v>3.1348434053533301</c:v>
                </c:pt>
                <c:pt idx="4">
                  <c:v>3.8598790271486849</c:v>
                </c:pt>
                <c:pt idx="5">
                  <c:v>4.029848654482957</c:v>
                </c:pt>
                <c:pt idx="6">
                  <c:v>4.1998182818172296</c:v>
                </c:pt>
                <c:pt idx="7">
                  <c:v>4.3697879091515013</c:v>
                </c:pt>
                <c:pt idx="8">
                  <c:v>4.2755049004738606</c:v>
                </c:pt>
                <c:pt idx="9" formatCode="0.0%">
                  <c:v>4.1228371547412213E-2</c:v>
                </c:pt>
              </c:numCache>
            </c:numRef>
          </c:val>
          <c:extLst>
            <c:ext xmlns:c16="http://schemas.microsoft.com/office/drawing/2014/chart" uri="{C3380CC4-5D6E-409C-BE32-E72D297353CC}">
              <c16:uniqueId val="{00000002-F10F-4107-A847-0D4F713CA0B4}"/>
            </c:ext>
          </c:extLst>
        </c:ser>
        <c:ser>
          <c:idx val="2"/>
          <c:order val="3"/>
          <c:tx>
            <c:strRef>
              <c:f>'Trends and nat. data'!$B$246</c:f>
              <c:strCache>
                <c:ptCount val="1"/>
                <c:pt idx="0">
                  <c:v>Generation incl. fly ash (Mt)</c:v>
                </c:pt>
              </c:strCache>
            </c:strRef>
          </c:tx>
          <c:spPr>
            <a:noFill/>
          </c:spPr>
          <c:cat>
            <c:strRef>
              <c:f>('Trends and nat. data'!$D$77:$L$77,'Trends and nat. data'!$O$77)</c:f>
              <c:strCache>
                <c:ptCount val="10"/>
                <c:pt idx="0">
                  <c:v>2006-07</c:v>
                </c:pt>
                <c:pt idx="1">
                  <c:v>2007-08</c:v>
                </c:pt>
                <c:pt idx="2">
                  <c:v>2008-09</c:v>
                </c:pt>
                <c:pt idx="3">
                  <c:v>2009-10</c:v>
                </c:pt>
                <c:pt idx="4">
                  <c:v>2010-11</c:v>
                </c:pt>
                <c:pt idx="5">
                  <c:v>2011-12</c:v>
                </c:pt>
                <c:pt idx="6">
                  <c:v>2012-13</c:v>
                </c:pt>
                <c:pt idx="7">
                  <c:v>2013-14</c:v>
                </c:pt>
                <c:pt idx="8">
                  <c:v>2014-15</c:v>
                </c:pt>
                <c:pt idx="9">
                  <c:v>Av. AGR</c:v>
                </c:pt>
              </c:strCache>
            </c:strRef>
          </c:cat>
          <c:val>
            <c:numRef>
              <c:f>('Trends and nat. data'!$D$101:$L$101,'Trends and nat. data'!$N$101)</c:f>
              <c:numCache>
                <c:formatCode>#,##0.00</c:formatCode>
                <c:ptCount val="10"/>
                <c:pt idx="0">
                  <c:v>3.2330817846514441</c:v>
                </c:pt>
                <c:pt idx="1">
                  <c:v>3.2854456041883164</c:v>
                </c:pt>
                <c:pt idx="2">
                  <c:v>3.3378094237251883</c:v>
                </c:pt>
                <c:pt idx="3">
                  <c:v>3.30484340535333</c:v>
                </c:pt>
                <c:pt idx="4">
                  <c:v>4.0598790271486846</c:v>
                </c:pt>
                <c:pt idx="5">
                  <c:v>4.2011819878162902</c:v>
                </c:pt>
                <c:pt idx="6">
                  <c:v>4.3424849484838957</c:v>
                </c:pt>
                <c:pt idx="7">
                  <c:v>4.4837879091515012</c:v>
                </c:pt>
                <c:pt idx="8">
                  <c:v>4.4215049004738596</c:v>
                </c:pt>
                <c:pt idx="9" formatCode="0.0%">
                  <c:v>3.5394695168963652E-2</c:v>
                </c:pt>
              </c:numCache>
            </c:numRef>
          </c:val>
          <c:extLst>
            <c:ext xmlns:c16="http://schemas.microsoft.com/office/drawing/2014/chart" uri="{C3380CC4-5D6E-409C-BE32-E72D297353CC}">
              <c16:uniqueId val="{00000003-F10F-4107-A847-0D4F713CA0B4}"/>
            </c:ext>
          </c:extLst>
        </c:ser>
        <c:ser>
          <c:idx val="3"/>
          <c:order val="5"/>
          <c:tx>
            <c:strRef>
              <c:f>'Trends and nat. data'!$B$245</c:f>
              <c:strCache>
                <c:ptCount val="1"/>
                <c:pt idx="0">
                  <c:v>Generation (kg/cap)</c:v>
                </c:pt>
              </c:strCache>
            </c:strRef>
          </c:tx>
          <c:spPr>
            <a:noFill/>
            <a:ln w="19050">
              <a:no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data'!$Q$148:$Y$148,'Trends and nat. data'!$AA$148)</c:f>
              <c:numCache>
                <c:formatCode>#,##0</c:formatCode>
                <c:ptCount val="10"/>
                <c:pt idx="0">
                  <c:v>1903.6500253964284</c:v>
                </c:pt>
                <c:pt idx="1">
                  <c:v>1928.1028275701103</c:v>
                </c:pt>
                <c:pt idx="2">
                  <c:v>1949.3387636901323</c:v>
                </c:pt>
                <c:pt idx="3">
                  <c:v>1936.7885918091868</c:v>
                </c:pt>
                <c:pt idx="4">
                  <c:v>2364.4236366150958</c:v>
                </c:pt>
                <c:pt idx="5">
                  <c:v>2446.8540074859284</c:v>
                </c:pt>
                <c:pt idx="6">
                  <c:v>2526.6669846096643</c:v>
                </c:pt>
                <c:pt idx="7">
                  <c:v>2606.2285977102852</c:v>
                </c:pt>
                <c:pt idx="8">
                  <c:v>2527.4841942852258</c:v>
                </c:pt>
                <c:pt idx="9" formatCode="0.0%">
                  <c:v>3.199579238153305E-2</c:v>
                </c:pt>
              </c:numCache>
            </c:numRef>
          </c:val>
          <c:extLst>
            <c:ext xmlns:c16="http://schemas.microsoft.com/office/drawing/2014/chart" uri="{C3380CC4-5D6E-409C-BE32-E72D297353CC}">
              <c16:uniqueId val="{00000005-F10F-4107-A847-0D4F713CA0B4}"/>
            </c:ext>
          </c:extLst>
        </c:ser>
        <c:dLbls>
          <c:showLegendKey val="0"/>
          <c:showVal val="0"/>
          <c:showCatName val="0"/>
          <c:showSerName val="0"/>
          <c:showPercent val="0"/>
          <c:showBubbleSize val="0"/>
        </c:dLbls>
        <c:axId val="228272768"/>
        <c:axId val="228291328"/>
      </c:areaChart>
      <c:lineChart>
        <c:grouping val="stacked"/>
        <c:varyColors val="0"/>
        <c:ser>
          <c:idx val="5"/>
          <c:order val="4"/>
          <c:tx>
            <c:strRef>
              <c:f>'Trends and nat. data'!$C$82</c:f>
              <c:strCache>
                <c:ptCount val="1"/>
                <c:pt idx="0">
                  <c:v>Recovery rate</c:v>
                </c:pt>
              </c:strCache>
            </c:strRef>
          </c:tx>
          <c:spPr>
            <a:ln w="28575">
              <a:noFill/>
            </a:ln>
          </c:spPr>
          <c:marker>
            <c:spPr>
              <a:noFill/>
              <a:ln>
                <a:noFill/>
              </a:ln>
            </c:spPr>
          </c:marker>
          <c:val>
            <c:numRef>
              <c:f>'Trends and nat. data'!$D$149:$L$149</c:f>
              <c:numCache>
                <c:formatCode>0%</c:formatCode>
                <c:ptCount val="9"/>
                <c:pt idx="0">
                  <c:v>0.76492267867841524</c:v>
                </c:pt>
                <c:pt idx="1">
                  <c:v>0.77364330453394592</c:v>
                </c:pt>
                <c:pt idx="2">
                  <c:v>0.78196457509162731</c:v>
                </c:pt>
                <c:pt idx="3">
                  <c:v>0.78969310180279895</c:v>
                </c:pt>
                <c:pt idx="4">
                  <c:v>0.79623262478223167</c:v>
                </c:pt>
                <c:pt idx="5">
                  <c:v>0.7865502741275352</c:v>
                </c:pt>
                <c:pt idx="6">
                  <c:v>0.77765162668191468</c:v>
                </c:pt>
                <c:pt idx="7">
                  <c:v>0.76944523241725249</c:v>
                </c:pt>
                <c:pt idx="8">
                  <c:v>0.77364419750705327</c:v>
                </c:pt>
              </c:numCache>
            </c:numRef>
          </c:val>
          <c:smooth val="0"/>
          <c:extLst>
            <c:ext xmlns:c16="http://schemas.microsoft.com/office/drawing/2014/chart" uri="{C3380CC4-5D6E-409C-BE32-E72D297353CC}">
              <c16:uniqueId val="{00000004-F10F-4107-A847-0D4F713CA0B4}"/>
            </c:ext>
          </c:extLst>
        </c:ser>
        <c:ser>
          <c:idx val="6"/>
          <c:order val="6"/>
          <c:tx>
            <c:strRef>
              <c:f>'Trends and nat. data'!$B$244</c:f>
              <c:strCache>
                <c:ptCount val="1"/>
                <c:pt idx="0">
                  <c:v>Disposal (Mt)</c:v>
                </c:pt>
              </c:strCache>
            </c:strRef>
          </c:tx>
          <c:spPr>
            <a:ln w="28575">
              <a:noFill/>
            </a:ln>
          </c:spPr>
          <c:marker>
            <c:spPr>
              <a:noFill/>
              <a:ln>
                <a:noFill/>
              </a:ln>
            </c:spPr>
          </c:marker>
          <c:val>
            <c:numRef>
              <c:f>('Trends and nat. data'!$D$145:$L$145,'Trends and nat. data'!$N$145)</c:f>
              <c:numCache>
                <c:formatCode>#,##0.00</c:formatCode>
                <c:ptCount val="10"/>
                <c:pt idx="0">
                  <c:v>0.69868947641149148</c:v>
                </c:pt>
                <c:pt idx="1">
                  <c:v>0.68891413631100828</c:v>
                </c:pt>
                <c:pt idx="2">
                  <c:v>0.67913879621052498</c:v>
                </c:pt>
                <c:pt idx="3">
                  <c:v>0.65927919291381021</c:v>
                </c:pt>
                <c:pt idx="4">
                  <c:v>0.78651741802020048</c:v>
                </c:pt>
                <c:pt idx="5">
                  <c:v>0.86017009060690863</c:v>
                </c:pt>
                <c:pt idx="6">
                  <c:v>0.93382276319361679</c:v>
                </c:pt>
                <c:pt idx="7">
                  <c:v>1.0074754357803251</c:v>
                </c:pt>
                <c:pt idx="8">
                  <c:v>0.96778534280928685</c:v>
                </c:pt>
                <c:pt idx="9" formatCode="0.0%">
                  <c:v>3.6863648348983036E-2</c:v>
                </c:pt>
              </c:numCache>
            </c:numRef>
          </c:val>
          <c:smooth val="0"/>
          <c:extLst>
            <c:ext xmlns:c16="http://schemas.microsoft.com/office/drawing/2014/chart" uri="{C3380CC4-5D6E-409C-BE32-E72D297353CC}">
              <c16:uniqueId val="{00000006-F10F-4107-A847-0D4F713CA0B4}"/>
            </c:ext>
          </c:extLst>
        </c:ser>
        <c:dLbls>
          <c:showLegendKey val="0"/>
          <c:showVal val="0"/>
          <c:showCatName val="0"/>
          <c:showSerName val="0"/>
          <c:showPercent val="0"/>
          <c:showBubbleSize val="0"/>
        </c:dLbls>
        <c:marker val="1"/>
        <c:smooth val="0"/>
        <c:axId val="228303232"/>
        <c:axId val="228293248"/>
      </c:lineChart>
      <c:catAx>
        <c:axId val="228272768"/>
        <c:scaling>
          <c:orientation val="minMax"/>
        </c:scaling>
        <c:delete val="1"/>
        <c:axPos val="b"/>
        <c:numFmt formatCode="General" sourceLinked="0"/>
        <c:majorTickMark val="none"/>
        <c:minorTickMark val="none"/>
        <c:tickLblPos val="nextTo"/>
        <c:crossAx val="228291328"/>
        <c:crosses val="autoZero"/>
        <c:auto val="1"/>
        <c:lblAlgn val="ctr"/>
        <c:lblOffset val="1"/>
        <c:noMultiLvlLbl val="0"/>
      </c:catAx>
      <c:valAx>
        <c:axId val="228291328"/>
        <c:scaling>
          <c:orientation val="minMax"/>
        </c:scaling>
        <c:delete val="1"/>
        <c:axPos val="l"/>
        <c:numFmt formatCode="#,##0.0" sourceLinked="0"/>
        <c:majorTickMark val="out"/>
        <c:minorTickMark val="none"/>
        <c:tickLblPos val="nextTo"/>
        <c:crossAx val="228272768"/>
        <c:crosses val="autoZero"/>
        <c:crossBetween val="between"/>
        <c:dispUnits>
          <c:builtInUnit val="thousands"/>
        </c:dispUnits>
      </c:valAx>
      <c:valAx>
        <c:axId val="228293248"/>
        <c:scaling>
          <c:orientation val="minMax"/>
          <c:max val="2.5"/>
        </c:scaling>
        <c:delete val="1"/>
        <c:axPos val="r"/>
        <c:numFmt formatCode="#,##0.0" sourceLinked="0"/>
        <c:majorTickMark val="out"/>
        <c:minorTickMark val="none"/>
        <c:tickLblPos val="nextTo"/>
        <c:crossAx val="228303232"/>
        <c:crosses val="max"/>
        <c:crossBetween val="between"/>
      </c:valAx>
      <c:catAx>
        <c:axId val="228303232"/>
        <c:scaling>
          <c:orientation val="minMax"/>
        </c:scaling>
        <c:delete val="1"/>
        <c:axPos val="b"/>
        <c:numFmt formatCode="General" sourceLinked="1"/>
        <c:majorTickMark val="out"/>
        <c:minorTickMark val="none"/>
        <c:tickLblPos val="nextTo"/>
        <c:crossAx val="228293248"/>
        <c:crosses val="autoZero"/>
        <c:auto val="1"/>
        <c:lblAlgn val="ctr"/>
        <c:lblOffset val="100"/>
        <c:noMultiLvlLbl val="0"/>
      </c:catAx>
      <c:dTable>
        <c:showHorzBorder val="1"/>
        <c:showVertBorder val="1"/>
        <c:showOutline val="1"/>
        <c:showKeys val="0"/>
        <c:spPr>
          <a:ln w="2540"/>
        </c:spPr>
        <c:txPr>
          <a:bodyPr/>
          <a:lstStyle/>
          <a:p>
            <a:pPr rtl="0">
              <a:defRPr sz="900"/>
            </a:pPr>
            <a:endParaRPr lang="en-US"/>
          </a:p>
        </c:txPr>
      </c:dTable>
      <c:spPr>
        <a:noFill/>
      </c:spPr>
    </c:plotArea>
    <c:plotVisOnly val="1"/>
    <c:dispBlanksAs val="zero"/>
    <c:showDLblsOverMax val="0"/>
  </c:chart>
  <c:spPr>
    <a:noFill/>
    <a:ln>
      <a:noFill/>
    </a:ln>
  </c:spPr>
  <c:printSettings>
    <c:headerFooter/>
    <c:pageMargins b="0.750000000000005" l="0.70000000000000062" r="0.70000000000000062" t="0.75000000000000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8452284401192"/>
          <c:y val="9.0576010101010102E-2"/>
          <c:w val="0.61449580967829143"/>
          <c:h val="0.50694444444444442"/>
        </c:manualLayout>
      </c:layout>
      <c:areaChart>
        <c:grouping val="stacked"/>
        <c:varyColors val="0"/>
        <c:ser>
          <c:idx val="0"/>
          <c:order val="0"/>
          <c:tx>
            <c:strRef>
              <c:f>'Trends and nat. data'!$C$88</c:f>
              <c:strCache>
                <c:ptCount val="1"/>
                <c:pt idx="0">
                  <c:v>Disposal</c:v>
                </c:pt>
              </c:strCache>
            </c:strRef>
          </c:tx>
          <c:spPr>
            <a:solidFill>
              <a:schemeClr val="accent3">
                <a:lumMod val="50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data'!$D$150:$L$150</c:f>
              <c:numCache>
                <c:formatCode>#,##0.00</c:formatCode>
                <c:ptCount val="9"/>
                <c:pt idx="0">
                  <c:v>0.42319597630968958</c:v>
                </c:pt>
                <c:pt idx="1">
                  <c:v>0.38312269978357089</c:v>
                </c:pt>
                <c:pt idx="2">
                  <c:v>0.34304942325745219</c:v>
                </c:pt>
                <c:pt idx="3">
                  <c:v>0.35484902852120842</c:v>
                </c:pt>
                <c:pt idx="4">
                  <c:v>0.40231362644370122</c:v>
                </c:pt>
                <c:pt idx="5">
                  <c:v>0.40031711032412887</c:v>
                </c:pt>
                <c:pt idx="6">
                  <c:v>0.39832059420455651</c:v>
                </c:pt>
                <c:pt idx="7">
                  <c:v>0.3963240780849841</c:v>
                </c:pt>
                <c:pt idx="8">
                  <c:v>0.46992197236926575</c:v>
                </c:pt>
              </c:numCache>
            </c:numRef>
          </c:val>
          <c:extLst>
            <c:ext xmlns:c16="http://schemas.microsoft.com/office/drawing/2014/chart" uri="{C3380CC4-5D6E-409C-BE32-E72D297353CC}">
              <c16:uniqueId val="{00000000-BF9D-47B0-9941-E48F89FA08CC}"/>
            </c:ext>
          </c:extLst>
        </c:ser>
        <c:ser>
          <c:idx val="1"/>
          <c:order val="1"/>
          <c:tx>
            <c:strRef>
              <c:f>'Trends and nat. data'!$C$89</c:f>
              <c:strCache>
                <c:ptCount val="1"/>
                <c:pt idx="0">
                  <c:v>Recycling</c:v>
                </c:pt>
              </c:strCache>
            </c:strRef>
          </c:tx>
          <c:spPr>
            <a:solidFill>
              <a:srgbClr val="FFFF00"/>
            </a:solidFill>
            <a:ln>
              <a:solidFill>
                <a:srgbClr val="FFFF00">
                  <a:alpha val="1000"/>
                </a:srgbClr>
              </a:solidFill>
            </a:ln>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data'!$D$151:$L$151</c:f>
              <c:numCache>
                <c:formatCode>#,##0.00</c:formatCode>
                <c:ptCount val="9"/>
                <c:pt idx="0">
                  <c:v>9.9100802242837849E-2</c:v>
                </c:pt>
                <c:pt idx="1">
                  <c:v>0.10056004213686026</c:v>
                </c:pt>
                <c:pt idx="2">
                  <c:v>0.10201928203088269</c:v>
                </c:pt>
                <c:pt idx="3">
                  <c:v>0.16107436081011506</c:v>
                </c:pt>
                <c:pt idx="4">
                  <c:v>0.17456432888216061</c:v>
                </c:pt>
                <c:pt idx="5">
                  <c:v>0.24826208781753328</c:v>
                </c:pt>
                <c:pt idx="6">
                  <c:v>0.32195984675290595</c:v>
                </c:pt>
                <c:pt idx="7">
                  <c:v>0.39565760568827857</c:v>
                </c:pt>
                <c:pt idx="8">
                  <c:v>0.42346602621456086</c:v>
                </c:pt>
              </c:numCache>
            </c:numRef>
          </c:val>
          <c:extLst>
            <c:ext xmlns:c16="http://schemas.microsoft.com/office/drawing/2014/chart" uri="{C3380CC4-5D6E-409C-BE32-E72D297353CC}">
              <c16:uniqueId val="{00000001-BF9D-47B0-9941-E48F89FA08CC}"/>
            </c:ext>
          </c:extLst>
        </c:ser>
        <c:ser>
          <c:idx val="2"/>
          <c:order val="2"/>
          <c:tx>
            <c:strRef>
              <c:f>'Trends and nat. data'!$C$90</c:f>
              <c:strCache>
                <c:ptCount val="1"/>
                <c:pt idx="0">
                  <c:v>Energy recovery</c:v>
                </c:pt>
              </c:strCache>
            </c:strRef>
          </c:tx>
          <c:spPr>
            <a:solidFill>
              <a:schemeClr val="accent6">
                <a:lumMod val="75000"/>
              </a:schemeClr>
            </a:solidFill>
          </c:spP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data'!$D$152:$L$152</c:f>
              <c:numCache>
                <c:formatCode>#,##0.00</c:formatCode>
                <c:ptCount val="9"/>
                <c:pt idx="0">
                  <c:v>4.3037288014425454E-2</c:v>
                </c:pt>
                <c:pt idx="1">
                  <c:v>5.3568127657031298E-2</c:v>
                </c:pt>
                <c:pt idx="2">
                  <c:v>6.4098967299637141E-2</c:v>
                </c:pt>
                <c:pt idx="3">
                  <c:v>4.5169692014439732E-2</c:v>
                </c:pt>
                <c:pt idx="4">
                  <c:v>5.4918515533834401E-2</c:v>
                </c:pt>
                <c:pt idx="5">
                  <c:v>5.5326885095402734E-2</c:v>
                </c:pt>
                <c:pt idx="6">
                  <c:v>5.5735254656971066E-2</c:v>
                </c:pt>
                <c:pt idx="7">
                  <c:v>5.6143624218539405E-2</c:v>
                </c:pt>
                <c:pt idx="8">
                  <c:v>5.3225150797666647E-2</c:v>
                </c:pt>
              </c:numCache>
            </c:numRef>
          </c:val>
          <c:extLst>
            <c:ext xmlns:c16="http://schemas.microsoft.com/office/drawing/2014/chart" uri="{C3380CC4-5D6E-409C-BE32-E72D297353CC}">
              <c16:uniqueId val="{00000002-BF9D-47B0-9941-E48F89FA08CC}"/>
            </c:ext>
          </c:extLst>
        </c:ser>
        <c:dLbls>
          <c:showLegendKey val="0"/>
          <c:showVal val="0"/>
          <c:showCatName val="0"/>
          <c:showSerName val="0"/>
          <c:showPercent val="0"/>
          <c:showBubbleSize val="0"/>
        </c:dLbls>
        <c:axId val="228055680"/>
        <c:axId val="228197120"/>
      </c:areaChart>
      <c:lineChart>
        <c:grouping val="stacked"/>
        <c:varyColors val="0"/>
        <c:ser>
          <c:idx val="3"/>
          <c:order val="3"/>
          <c:tx>
            <c:v>Generation (kg/capita)</c:v>
          </c:tx>
          <c:spPr>
            <a:ln w="19050">
              <a:solidFill>
                <a:sysClr val="windowText" lastClr="000000"/>
              </a:solidFill>
            </a:ln>
          </c:spPr>
          <c:marker>
            <c:symbol val="circle"/>
            <c:size val="7"/>
            <c:spPr>
              <a:solidFill>
                <a:schemeClr val="bg1"/>
              </a:solidFill>
              <a:ln>
                <a:solidFill>
                  <a:sysClr val="windowText" lastClr="000000"/>
                </a:solidFill>
              </a:ln>
            </c:spPr>
          </c:marker>
          <c:cat>
            <c:strRef>
              <c:f>'Trends and nat. data'!$D$77:$L$77</c:f>
              <c:strCache>
                <c:ptCount val="9"/>
                <c:pt idx="0">
                  <c:v>2006-07</c:v>
                </c:pt>
                <c:pt idx="1">
                  <c:v>2007-08</c:v>
                </c:pt>
                <c:pt idx="2">
                  <c:v>2008-09</c:v>
                </c:pt>
                <c:pt idx="3">
                  <c:v>2009-10</c:v>
                </c:pt>
                <c:pt idx="4">
                  <c:v>2010-11</c:v>
                </c:pt>
                <c:pt idx="5">
                  <c:v>2011-12</c:v>
                </c:pt>
                <c:pt idx="6">
                  <c:v>2012-13</c:v>
                </c:pt>
                <c:pt idx="7">
                  <c:v>2013-14</c:v>
                </c:pt>
                <c:pt idx="8">
                  <c:v>2014-15</c:v>
                </c:pt>
              </c:strCache>
            </c:strRef>
          </c:cat>
          <c:val>
            <c:numRef>
              <c:f>'Trends and nat. data'!$Q$153:$Y$153</c:f>
              <c:numCache>
                <c:formatCode>#,##0</c:formatCode>
                <c:ptCount val="9"/>
                <c:pt idx="0">
                  <c:v>1150.1868031839372</c:v>
                </c:pt>
                <c:pt idx="1">
                  <c:v>1083.4772648166661</c:v>
                </c:pt>
                <c:pt idx="2">
                  <c:v>1014.7350651647396</c:v>
                </c:pt>
                <c:pt idx="3">
                  <c:v>1107.8702631510882</c:v>
                </c:pt>
                <c:pt idx="4">
                  <c:v>1238.2848754352469</c:v>
                </c:pt>
                <c:pt idx="5">
                  <c:v>1374.9669558331866</c:v>
                </c:pt>
                <c:pt idx="6">
                  <c:v>1514.2508329468433</c:v>
                </c:pt>
                <c:pt idx="7">
                  <c:v>1650.2161852790596</c:v>
                </c:pt>
                <c:pt idx="8">
                  <c:v>1837.035070040585</c:v>
                </c:pt>
              </c:numCache>
            </c:numRef>
          </c:val>
          <c:smooth val="0"/>
          <c:extLst>
            <c:ext xmlns:c16="http://schemas.microsoft.com/office/drawing/2014/chart" uri="{C3380CC4-5D6E-409C-BE32-E72D297353CC}">
              <c16:uniqueId val="{00000003-BF9D-47B0-9941-E48F89FA08CC}"/>
            </c:ext>
          </c:extLst>
        </c:ser>
        <c:dLbls>
          <c:showLegendKey val="0"/>
          <c:showVal val="0"/>
          <c:showCatName val="0"/>
          <c:showSerName val="0"/>
          <c:showPercent val="0"/>
          <c:showBubbleSize val="0"/>
        </c:dLbls>
        <c:marker val="1"/>
        <c:smooth val="0"/>
        <c:axId val="228209792"/>
        <c:axId val="228199424"/>
      </c:lineChart>
      <c:catAx>
        <c:axId val="228055680"/>
        <c:scaling>
          <c:orientation val="minMax"/>
        </c:scaling>
        <c:delete val="0"/>
        <c:axPos val="b"/>
        <c:numFmt formatCode="General" sourceLinked="0"/>
        <c:majorTickMark val="none"/>
        <c:minorTickMark val="none"/>
        <c:tickLblPos val="nextTo"/>
        <c:spPr>
          <a:ln w="2540">
            <a:solidFill>
              <a:schemeClr val="bg1">
                <a:lumMod val="95000"/>
              </a:schemeClr>
            </a:solidFill>
          </a:ln>
        </c:spPr>
        <c:txPr>
          <a:bodyPr/>
          <a:lstStyle/>
          <a:p>
            <a:pPr>
              <a:defRPr>
                <a:solidFill>
                  <a:schemeClr val="bg1"/>
                </a:solidFill>
              </a:defRPr>
            </a:pPr>
            <a:endParaRPr lang="en-US"/>
          </a:p>
        </c:txPr>
        <c:crossAx val="228197120"/>
        <c:crosses val="autoZero"/>
        <c:auto val="1"/>
        <c:lblAlgn val="ctr"/>
        <c:lblOffset val="1"/>
        <c:noMultiLvlLbl val="0"/>
      </c:catAx>
      <c:valAx>
        <c:axId val="228197120"/>
        <c:scaling>
          <c:orientation val="minMax"/>
          <c:max val="1.2"/>
        </c:scaling>
        <c:delete val="0"/>
        <c:axPos val="l"/>
        <c:majorGridlines>
          <c:spPr>
            <a:ln w="2540"/>
          </c:spPr>
        </c:majorGridlines>
        <c:title>
          <c:tx>
            <c:rich>
              <a:bodyPr/>
              <a:lstStyle/>
              <a:p>
                <a:pPr>
                  <a:defRPr/>
                </a:pPr>
                <a:r>
                  <a:rPr lang="en-US"/>
                  <a:t>Megatonnes</a:t>
                </a:r>
                <a:r>
                  <a:rPr lang="en-US" baseline="0"/>
                  <a:t> (Mt)</a:t>
                </a:r>
                <a:endParaRPr lang="en-US"/>
              </a:p>
            </c:rich>
          </c:tx>
          <c:layout>
            <c:manualLayout>
              <c:xMode val="edge"/>
              <c:yMode val="edge"/>
              <c:x val="0.17298340767775072"/>
              <c:y val="0.19381540404040404"/>
            </c:manualLayout>
          </c:layout>
          <c:overlay val="0"/>
        </c:title>
        <c:numFmt formatCode="#,##0.0" sourceLinked="0"/>
        <c:majorTickMark val="out"/>
        <c:minorTickMark val="none"/>
        <c:tickLblPos val="nextTo"/>
        <c:spPr>
          <a:ln>
            <a:noFill/>
          </a:ln>
        </c:spPr>
        <c:crossAx val="228055680"/>
        <c:crosses val="autoZero"/>
        <c:crossBetween val="between"/>
        <c:majorUnit val="0.30000000000000004"/>
      </c:valAx>
      <c:valAx>
        <c:axId val="228199424"/>
        <c:scaling>
          <c:orientation val="minMax"/>
        </c:scaling>
        <c:delete val="0"/>
        <c:axPos val="r"/>
        <c:title>
          <c:tx>
            <c:rich>
              <a:bodyPr/>
              <a:lstStyle/>
              <a:p>
                <a:pPr>
                  <a:defRPr/>
                </a:pPr>
                <a:r>
                  <a:rPr lang="en-AU"/>
                  <a:t>Generation (kg per capita)</a:t>
                </a:r>
              </a:p>
            </c:rich>
          </c:tx>
          <c:layout>
            <c:manualLayout>
              <c:xMode val="edge"/>
              <c:yMode val="edge"/>
              <c:x val="0.95551314544471477"/>
              <c:y val="0.13492348484848488"/>
            </c:manualLayout>
          </c:layout>
          <c:overlay val="0"/>
        </c:title>
        <c:numFmt formatCode="#,##0;\-#,##0;;" sourceLinked="0"/>
        <c:majorTickMark val="out"/>
        <c:minorTickMark val="none"/>
        <c:tickLblPos val="nextTo"/>
        <c:spPr>
          <a:ln>
            <a:noFill/>
          </a:ln>
        </c:spPr>
        <c:crossAx val="228209792"/>
        <c:crosses val="max"/>
        <c:crossBetween val="between"/>
        <c:majorUnit val="500"/>
      </c:valAx>
      <c:catAx>
        <c:axId val="228209792"/>
        <c:scaling>
          <c:orientation val="minMax"/>
        </c:scaling>
        <c:delete val="1"/>
        <c:axPos val="b"/>
        <c:numFmt formatCode="General" sourceLinked="1"/>
        <c:majorTickMark val="out"/>
        <c:minorTickMark val="none"/>
        <c:tickLblPos val="nextTo"/>
        <c:crossAx val="228199424"/>
        <c:crosses val="autoZero"/>
        <c:auto val="1"/>
        <c:lblAlgn val="ctr"/>
        <c:lblOffset val="100"/>
        <c:noMultiLvlLbl val="0"/>
      </c:catAx>
    </c:plotArea>
    <c:legend>
      <c:legendPos val="t"/>
      <c:layout>
        <c:manualLayout>
          <c:xMode val="edge"/>
          <c:yMode val="edge"/>
          <c:x val="0.17557126926196268"/>
          <c:y val="1.4724747474747477E-2"/>
          <c:w val="0.8140151054339011"/>
          <c:h val="4.0886111111111109E-2"/>
        </c:manualLayout>
      </c:layout>
      <c:overlay val="0"/>
    </c:legend>
    <c:plotVisOnly val="1"/>
    <c:dispBlanksAs val="zero"/>
    <c:showDLblsOverMax val="0"/>
  </c:chart>
  <c:spPr>
    <a:solidFill>
      <a:schemeClr val="bg1"/>
    </a:solidFill>
    <a:ln>
      <a:noFill/>
    </a:ln>
  </c:spPr>
  <c:printSettings>
    <c:headerFooter/>
    <c:pageMargins b="0.750000000000005" l="0.70000000000000062" r="0.70000000000000062" t="0.75000000000000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cid:image001.jpg@01D24EE8.D8D89EE0"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61.xml"/><Relationship Id="rId18" Type="http://schemas.openxmlformats.org/officeDocument/2006/relationships/chart" Target="../charts/chart66.xml"/><Relationship Id="rId26" Type="http://schemas.openxmlformats.org/officeDocument/2006/relationships/chart" Target="../charts/chart74.xml"/><Relationship Id="rId39" Type="http://schemas.openxmlformats.org/officeDocument/2006/relationships/chart" Target="../charts/chart87.xml"/><Relationship Id="rId21" Type="http://schemas.openxmlformats.org/officeDocument/2006/relationships/chart" Target="../charts/chart69.xml"/><Relationship Id="rId34" Type="http://schemas.openxmlformats.org/officeDocument/2006/relationships/chart" Target="../charts/chart82.xml"/><Relationship Id="rId42" Type="http://schemas.openxmlformats.org/officeDocument/2006/relationships/chart" Target="../charts/chart90.xml"/><Relationship Id="rId47" Type="http://schemas.openxmlformats.org/officeDocument/2006/relationships/chart" Target="../charts/chart95.xml"/><Relationship Id="rId50" Type="http://schemas.openxmlformats.org/officeDocument/2006/relationships/chart" Target="../charts/chart98.xml"/><Relationship Id="rId55" Type="http://schemas.openxmlformats.org/officeDocument/2006/relationships/chart" Target="../charts/chart103.xml"/><Relationship Id="rId63" Type="http://schemas.openxmlformats.org/officeDocument/2006/relationships/chart" Target="../charts/chart111.xml"/><Relationship Id="rId7" Type="http://schemas.openxmlformats.org/officeDocument/2006/relationships/chart" Target="../charts/chart55.xml"/><Relationship Id="rId2" Type="http://schemas.openxmlformats.org/officeDocument/2006/relationships/chart" Target="../charts/chart50.xml"/><Relationship Id="rId16" Type="http://schemas.openxmlformats.org/officeDocument/2006/relationships/chart" Target="../charts/chart64.xml"/><Relationship Id="rId29" Type="http://schemas.openxmlformats.org/officeDocument/2006/relationships/chart" Target="../charts/chart77.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24" Type="http://schemas.openxmlformats.org/officeDocument/2006/relationships/chart" Target="../charts/chart72.xml"/><Relationship Id="rId32" Type="http://schemas.openxmlformats.org/officeDocument/2006/relationships/chart" Target="../charts/chart80.xml"/><Relationship Id="rId37" Type="http://schemas.openxmlformats.org/officeDocument/2006/relationships/chart" Target="../charts/chart85.xml"/><Relationship Id="rId40" Type="http://schemas.openxmlformats.org/officeDocument/2006/relationships/chart" Target="../charts/chart88.xml"/><Relationship Id="rId45" Type="http://schemas.openxmlformats.org/officeDocument/2006/relationships/chart" Target="../charts/chart93.xml"/><Relationship Id="rId53" Type="http://schemas.openxmlformats.org/officeDocument/2006/relationships/chart" Target="../charts/chart101.xml"/><Relationship Id="rId58" Type="http://schemas.openxmlformats.org/officeDocument/2006/relationships/chart" Target="../charts/chart106.xml"/><Relationship Id="rId66" Type="http://schemas.openxmlformats.org/officeDocument/2006/relationships/chart" Target="../charts/chart114.xml"/><Relationship Id="rId5" Type="http://schemas.openxmlformats.org/officeDocument/2006/relationships/chart" Target="../charts/chart53.xml"/><Relationship Id="rId15" Type="http://schemas.openxmlformats.org/officeDocument/2006/relationships/chart" Target="../charts/chart63.xml"/><Relationship Id="rId23" Type="http://schemas.openxmlformats.org/officeDocument/2006/relationships/chart" Target="../charts/chart71.xml"/><Relationship Id="rId28" Type="http://schemas.openxmlformats.org/officeDocument/2006/relationships/chart" Target="../charts/chart76.xml"/><Relationship Id="rId36" Type="http://schemas.openxmlformats.org/officeDocument/2006/relationships/chart" Target="../charts/chart84.xml"/><Relationship Id="rId49" Type="http://schemas.openxmlformats.org/officeDocument/2006/relationships/chart" Target="../charts/chart97.xml"/><Relationship Id="rId57" Type="http://schemas.openxmlformats.org/officeDocument/2006/relationships/chart" Target="../charts/chart105.xml"/><Relationship Id="rId61" Type="http://schemas.openxmlformats.org/officeDocument/2006/relationships/chart" Target="../charts/chart109.xml"/><Relationship Id="rId10" Type="http://schemas.openxmlformats.org/officeDocument/2006/relationships/chart" Target="../charts/chart58.xml"/><Relationship Id="rId19" Type="http://schemas.openxmlformats.org/officeDocument/2006/relationships/chart" Target="../charts/chart67.xml"/><Relationship Id="rId31" Type="http://schemas.openxmlformats.org/officeDocument/2006/relationships/chart" Target="../charts/chart79.xml"/><Relationship Id="rId44" Type="http://schemas.openxmlformats.org/officeDocument/2006/relationships/chart" Target="../charts/chart92.xml"/><Relationship Id="rId52" Type="http://schemas.openxmlformats.org/officeDocument/2006/relationships/chart" Target="../charts/chart100.xml"/><Relationship Id="rId60" Type="http://schemas.openxmlformats.org/officeDocument/2006/relationships/chart" Target="../charts/chart108.xml"/><Relationship Id="rId65" Type="http://schemas.openxmlformats.org/officeDocument/2006/relationships/chart" Target="../charts/chart113.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 Id="rId22" Type="http://schemas.openxmlformats.org/officeDocument/2006/relationships/chart" Target="../charts/chart70.xml"/><Relationship Id="rId27" Type="http://schemas.openxmlformats.org/officeDocument/2006/relationships/chart" Target="../charts/chart75.xml"/><Relationship Id="rId30" Type="http://schemas.openxmlformats.org/officeDocument/2006/relationships/chart" Target="../charts/chart78.xml"/><Relationship Id="rId35" Type="http://schemas.openxmlformats.org/officeDocument/2006/relationships/chart" Target="../charts/chart83.xml"/><Relationship Id="rId43" Type="http://schemas.openxmlformats.org/officeDocument/2006/relationships/chart" Target="../charts/chart91.xml"/><Relationship Id="rId48" Type="http://schemas.openxmlformats.org/officeDocument/2006/relationships/chart" Target="../charts/chart96.xml"/><Relationship Id="rId56" Type="http://schemas.openxmlformats.org/officeDocument/2006/relationships/chart" Target="../charts/chart104.xml"/><Relationship Id="rId64" Type="http://schemas.openxmlformats.org/officeDocument/2006/relationships/chart" Target="../charts/chart112.xml"/><Relationship Id="rId8" Type="http://schemas.openxmlformats.org/officeDocument/2006/relationships/chart" Target="../charts/chart56.xml"/><Relationship Id="rId51" Type="http://schemas.openxmlformats.org/officeDocument/2006/relationships/chart" Target="../charts/chart99.xml"/><Relationship Id="rId3" Type="http://schemas.openxmlformats.org/officeDocument/2006/relationships/chart" Target="../charts/chart51.xml"/><Relationship Id="rId12" Type="http://schemas.openxmlformats.org/officeDocument/2006/relationships/chart" Target="../charts/chart60.xml"/><Relationship Id="rId17" Type="http://schemas.openxmlformats.org/officeDocument/2006/relationships/chart" Target="../charts/chart65.xml"/><Relationship Id="rId25" Type="http://schemas.openxmlformats.org/officeDocument/2006/relationships/chart" Target="../charts/chart73.xml"/><Relationship Id="rId33" Type="http://schemas.openxmlformats.org/officeDocument/2006/relationships/chart" Target="../charts/chart81.xml"/><Relationship Id="rId38" Type="http://schemas.openxmlformats.org/officeDocument/2006/relationships/chart" Target="../charts/chart86.xml"/><Relationship Id="rId46" Type="http://schemas.openxmlformats.org/officeDocument/2006/relationships/chart" Target="../charts/chart94.xml"/><Relationship Id="rId59" Type="http://schemas.openxmlformats.org/officeDocument/2006/relationships/chart" Target="../charts/chart107.xml"/><Relationship Id="rId67" Type="http://schemas.openxmlformats.org/officeDocument/2006/relationships/chart" Target="../charts/chart115.xml"/><Relationship Id="rId20" Type="http://schemas.openxmlformats.org/officeDocument/2006/relationships/chart" Target="../charts/chart68.xml"/><Relationship Id="rId41" Type="http://schemas.openxmlformats.org/officeDocument/2006/relationships/chart" Target="../charts/chart89.xml"/><Relationship Id="rId54" Type="http://schemas.openxmlformats.org/officeDocument/2006/relationships/chart" Target="../charts/chart102.xml"/><Relationship Id="rId62" Type="http://schemas.openxmlformats.org/officeDocument/2006/relationships/chart" Target="../charts/chart11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18.xml"/><Relationship Id="rId2" Type="http://schemas.openxmlformats.org/officeDocument/2006/relationships/chart" Target="../charts/chart117.xml"/><Relationship Id="rId1" Type="http://schemas.openxmlformats.org/officeDocument/2006/relationships/chart" Target="../charts/chart1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4.gi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xdr:from>
      <xdr:col>10</xdr:col>
      <xdr:colOff>631731</xdr:colOff>
      <xdr:row>46</xdr:row>
      <xdr:rowOff>32756</xdr:rowOff>
    </xdr:from>
    <xdr:to>
      <xdr:col>11</xdr:col>
      <xdr:colOff>704908</xdr:colOff>
      <xdr:row>48</xdr:row>
      <xdr:rowOff>38100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98656" y="10767431"/>
          <a:ext cx="1721002" cy="386344"/>
        </a:xfrm>
        <a:prstGeom prst="rect">
          <a:avLst/>
        </a:prstGeom>
      </xdr:spPr>
    </xdr:pic>
    <xdr:clientData/>
  </xdr:twoCellAnchor>
  <xdr:twoCellAnchor>
    <xdr:from>
      <xdr:col>1</xdr:col>
      <xdr:colOff>304799</xdr:colOff>
      <xdr:row>15</xdr:row>
      <xdr:rowOff>238125</xdr:rowOff>
    </xdr:from>
    <xdr:to>
      <xdr:col>12</xdr:col>
      <xdr:colOff>271769</xdr:colOff>
      <xdr:row>32</xdr:row>
      <xdr:rowOff>152400</xdr:rowOff>
    </xdr:to>
    <xdr:pic>
      <xdr:nvPicPr>
        <xdr:cNvPr id="7" name="Picture 3" descr="image002">
          <a:extLst>
            <a:ext uri="{FF2B5EF4-FFF2-40B4-BE49-F238E27FC236}">
              <a16:creationId xmlns:a16="http://schemas.microsoft.com/office/drawing/2014/main" id="{DC8B0993-1222-41D6-8008-2972F8B17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799" y="4210050"/>
          <a:ext cx="5062845"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46</xdr:row>
      <xdr:rowOff>23496</xdr:rowOff>
    </xdr:from>
    <xdr:to>
      <xdr:col>10</xdr:col>
      <xdr:colOff>409575</xdr:colOff>
      <xdr:row>48</xdr:row>
      <xdr:rowOff>28380</xdr:rowOff>
    </xdr:to>
    <xdr:pic>
      <xdr:nvPicPr>
        <xdr:cNvPr id="6" name="Picture 5" descr="cid:image001.jpg@01D24EE8.D8D89EE0">
          <a:extLst>
            <a:ext uri="{FF2B5EF4-FFF2-40B4-BE49-F238E27FC236}">
              <a16:creationId xmlns:a16="http://schemas.microsoft.com/office/drawing/2014/main" id="{F5C29111-7237-46DF-B66B-19E114EB9B4C}"/>
            </a:ext>
          </a:extLst>
        </xdr:cNvPr>
        <xdr:cNvPicPr>
          <a:picLocks noChangeAspect="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304800" y="10758171"/>
          <a:ext cx="2171700" cy="38588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403411</xdr:colOff>
      <xdr:row>66</xdr:row>
      <xdr:rowOff>44824</xdr:rowOff>
    </xdr:from>
    <xdr:to>
      <xdr:col>31</xdr:col>
      <xdr:colOff>595605</xdr:colOff>
      <xdr:row>86</xdr:row>
      <xdr:rowOff>91853</xdr:rowOff>
    </xdr:to>
    <xdr:graphicFrame macro="">
      <xdr:nvGraphicFramePr>
        <xdr:cNvPr id="8" name="Chart 7">
          <a:extLst>
            <a:ext uri="{FF2B5EF4-FFF2-40B4-BE49-F238E27FC236}">
              <a16:creationId xmlns:a16="http://schemas.microsoft.com/office/drawing/2014/main" id="{022F4F74-3976-4CEE-824D-C5C8BFE96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515469</xdr:colOff>
      <xdr:row>74</xdr:row>
      <xdr:rowOff>138683</xdr:rowOff>
    </xdr:from>
    <xdr:to>
      <xdr:col>30</xdr:col>
      <xdr:colOff>593910</xdr:colOff>
      <xdr:row>86</xdr:row>
      <xdr:rowOff>9604</xdr:rowOff>
    </xdr:to>
    <xdr:graphicFrame macro="">
      <xdr:nvGraphicFramePr>
        <xdr:cNvPr id="14" name="Chart 13">
          <a:extLst>
            <a:ext uri="{FF2B5EF4-FFF2-40B4-BE49-F238E27FC236}">
              <a16:creationId xmlns:a16="http://schemas.microsoft.com/office/drawing/2014/main" id="{DA8BAF6D-FCF5-4E8C-B86E-05FC26809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33618</xdr:colOff>
      <xdr:row>86</xdr:row>
      <xdr:rowOff>123263</xdr:rowOff>
    </xdr:from>
    <xdr:to>
      <xdr:col>22</xdr:col>
      <xdr:colOff>349077</xdr:colOff>
      <xdr:row>108</xdr:row>
      <xdr:rowOff>91851</xdr:rowOff>
    </xdr:to>
    <xdr:graphicFrame macro="">
      <xdr:nvGraphicFramePr>
        <xdr:cNvPr id="15" name="Chart 14">
          <a:extLst>
            <a:ext uri="{FF2B5EF4-FFF2-40B4-BE49-F238E27FC236}">
              <a16:creationId xmlns:a16="http://schemas.microsoft.com/office/drawing/2014/main" id="{2D715806-9416-4D84-AD46-CD192D5FF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34944</xdr:colOff>
      <xdr:row>99</xdr:row>
      <xdr:rowOff>10504</xdr:rowOff>
    </xdr:from>
    <xdr:to>
      <xdr:col>22</xdr:col>
      <xdr:colOff>190503</xdr:colOff>
      <xdr:row>108</xdr:row>
      <xdr:rowOff>66534</xdr:rowOff>
    </xdr:to>
    <xdr:graphicFrame macro="">
      <xdr:nvGraphicFramePr>
        <xdr:cNvPr id="16" name="Chart 15">
          <a:extLst>
            <a:ext uri="{FF2B5EF4-FFF2-40B4-BE49-F238E27FC236}">
              <a16:creationId xmlns:a16="http://schemas.microsoft.com/office/drawing/2014/main" id="{A9B60F67-8ED6-4490-9EAC-7A7C8F884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11205</xdr:colOff>
      <xdr:row>66</xdr:row>
      <xdr:rowOff>44823</xdr:rowOff>
    </xdr:from>
    <xdr:to>
      <xdr:col>22</xdr:col>
      <xdr:colOff>326664</xdr:colOff>
      <xdr:row>86</xdr:row>
      <xdr:rowOff>91852</xdr:rowOff>
    </xdr:to>
    <xdr:graphicFrame macro="">
      <xdr:nvGraphicFramePr>
        <xdr:cNvPr id="9" name="Chart 8">
          <a:extLst>
            <a:ext uri="{FF2B5EF4-FFF2-40B4-BE49-F238E27FC236}">
              <a16:creationId xmlns:a16="http://schemas.microsoft.com/office/drawing/2014/main" id="{30CD58E6-5562-45FC-B3E4-EAE0E5E72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198772</xdr:colOff>
      <xdr:row>77</xdr:row>
      <xdr:rowOff>258075</xdr:rowOff>
    </xdr:from>
    <xdr:to>
      <xdr:col>21</xdr:col>
      <xdr:colOff>425824</xdr:colOff>
      <xdr:row>86</xdr:row>
      <xdr:rowOff>72999</xdr:rowOff>
    </xdr:to>
    <xdr:graphicFrame macro="">
      <xdr:nvGraphicFramePr>
        <xdr:cNvPr id="10" name="Chart 9">
          <a:extLst>
            <a:ext uri="{FF2B5EF4-FFF2-40B4-BE49-F238E27FC236}">
              <a16:creationId xmlns:a16="http://schemas.microsoft.com/office/drawing/2014/main" id="{63D33C91-4975-40FE-B42E-FE3984E67FF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496760</xdr:colOff>
      <xdr:row>260</xdr:row>
      <xdr:rowOff>150010</xdr:rowOff>
    </xdr:from>
    <xdr:to>
      <xdr:col>8</xdr:col>
      <xdr:colOff>700160</xdr:colOff>
      <xdr:row>285</xdr:row>
      <xdr:rowOff>75892</xdr:rowOff>
    </xdr:to>
    <xdr:graphicFrame macro="">
      <xdr:nvGraphicFramePr>
        <xdr:cNvPr id="41" name="Chart 40">
          <a:extLst>
            <a:ext uri="{FF2B5EF4-FFF2-40B4-BE49-F238E27FC236}">
              <a16:creationId xmlns:a16="http://schemas.microsoft.com/office/drawing/2014/main" id="{00000000-0008-0000-14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50</xdr:col>
      <xdr:colOff>22411</xdr:colOff>
      <xdr:row>76</xdr:row>
      <xdr:rowOff>23814</xdr:rowOff>
    </xdr:from>
    <xdr:to>
      <xdr:col>61</xdr:col>
      <xdr:colOff>291353</xdr:colOff>
      <xdr:row>115</xdr:row>
      <xdr:rowOff>145676</xdr:rowOff>
    </xdr:to>
    <xdr:graphicFrame macro="">
      <xdr:nvGraphicFramePr>
        <xdr:cNvPr id="29" name="Chart 28">
          <a:extLst>
            <a:ext uri="{FF2B5EF4-FFF2-40B4-BE49-F238E27FC236}">
              <a16:creationId xmlns:a16="http://schemas.microsoft.com/office/drawing/2014/main" id="{00000000-0008-0000-1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21</xdr:col>
      <xdr:colOff>9201</xdr:colOff>
      <xdr:row>4</xdr:row>
      <xdr:rowOff>200104</xdr:rowOff>
    </xdr:from>
    <xdr:to>
      <xdr:col>28</xdr:col>
      <xdr:colOff>391895</xdr:colOff>
      <xdr:row>24</xdr:row>
      <xdr:rowOff>79045</xdr:rowOff>
    </xdr:to>
    <xdr:graphicFrame macro="">
      <xdr:nvGraphicFramePr>
        <xdr:cNvPr id="71" name="Chart 70">
          <a:extLst>
            <a:ext uri="{FF2B5EF4-FFF2-40B4-BE49-F238E27FC236}">
              <a16:creationId xmlns:a16="http://schemas.microsoft.com/office/drawing/2014/main" id="{00000000-0008-0000-14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21</xdr:col>
      <xdr:colOff>129666</xdr:colOff>
      <xdr:row>12</xdr:row>
      <xdr:rowOff>52928</xdr:rowOff>
    </xdr:from>
    <xdr:to>
      <xdr:col>28</xdr:col>
      <xdr:colOff>44825</xdr:colOff>
      <xdr:row>24</xdr:row>
      <xdr:rowOff>4801</xdr:rowOff>
    </xdr:to>
    <xdr:graphicFrame macro="">
      <xdr:nvGraphicFramePr>
        <xdr:cNvPr id="72" name="Chart 71">
          <a:extLst>
            <a:ext uri="{FF2B5EF4-FFF2-40B4-BE49-F238E27FC236}">
              <a16:creationId xmlns:a16="http://schemas.microsoft.com/office/drawing/2014/main" id="{00000000-0008-0000-14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33</xdr:col>
      <xdr:colOff>26814</xdr:colOff>
      <xdr:row>26</xdr:row>
      <xdr:rowOff>16806</xdr:rowOff>
    </xdr:from>
    <xdr:to>
      <xdr:col>48</xdr:col>
      <xdr:colOff>485108</xdr:colOff>
      <xdr:row>41</xdr:row>
      <xdr:rowOff>116336</xdr:rowOff>
    </xdr:to>
    <xdr:graphicFrame macro="">
      <xdr:nvGraphicFramePr>
        <xdr:cNvPr id="73" name="Chart 72">
          <a:extLst>
            <a:ext uri="{FF2B5EF4-FFF2-40B4-BE49-F238E27FC236}">
              <a16:creationId xmlns:a16="http://schemas.microsoft.com/office/drawing/2014/main" id="{00000000-0008-0000-14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21</xdr:col>
      <xdr:colOff>20008</xdr:colOff>
      <xdr:row>26</xdr:row>
      <xdr:rowOff>10405</xdr:rowOff>
    </xdr:from>
    <xdr:to>
      <xdr:col>31</xdr:col>
      <xdr:colOff>186949</xdr:colOff>
      <xdr:row>41</xdr:row>
      <xdr:rowOff>109935</xdr:rowOff>
    </xdr:to>
    <xdr:graphicFrame macro="">
      <xdr:nvGraphicFramePr>
        <xdr:cNvPr id="75" name="Chart 74">
          <a:extLst>
            <a:ext uri="{FF2B5EF4-FFF2-40B4-BE49-F238E27FC236}">
              <a16:creationId xmlns:a16="http://schemas.microsoft.com/office/drawing/2014/main" id="{00000000-0008-0000-14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21</xdr:col>
      <xdr:colOff>56031</xdr:colOff>
      <xdr:row>33</xdr:row>
      <xdr:rowOff>11207</xdr:rowOff>
    </xdr:from>
    <xdr:to>
      <xdr:col>31</xdr:col>
      <xdr:colOff>1</xdr:colOff>
      <xdr:row>41</xdr:row>
      <xdr:rowOff>123267</xdr:rowOff>
    </xdr:to>
    <xdr:graphicFrame macro="">
      <xdr:nvGraphicFramePr>
        <xdr:cNvPr id="76" name="Chart 75">
          <a:extLst>
            <a:ext uri="{FF2B5EF4-FFF2-40B4-BE49-F238E27FC236}">
              <a16:creationId xmlns:a16="http://schemas.microsoft.com/office/drawing/2014/main" id="{00000000-0008-0000-14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29</xdr:col>
      <xdr:colOff>15208</xdr:colOff>
      <xdr:row>4</xdr:row>
      <xdr:rowOff>200906</xdr:rowOff>
    </xdr:from>
    <xdr:to>
      <xdr:col>40</xdr:col>
      <xdr:colOff>140166</xdr:colOff>
      <xdr:row>24</xdr:row>
      <xdr:rowOff>79847</xdr:rowOff>
    </xdr:to>
    <xdr:graphicFrame macro="">
      <xdr:nvGraphicFramePr>
        <xdr:cNvPr id="77" name="Chart 76">
          <a:extLst>
            <a:ext uri="{FF2B5EF4-FFF2-40B4-BE49-F238E27FC236}">
              <a16:creationId xmlns:a16="http://schemas.microsoft.com/office/drawing/2014/main" id="{00000000-0008-0000-14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29</xdr:col>
      <xdr:colOff>206210</xdr:colOff>
      <xdr:row>15</xdr:row>
      <xdr:rowOff>89648</xdr:rowOff>
    </xdr:from>
    <xdr:to>
      <xdr:col>39</xdr:col>
      <xdr:colOff>123265</xdr:colOff>
      <xdr:row>24</xdr:row>
      <xdr:rowOff>67235</xdr:rowOff>
    </xdr:to>
    <xdr:graphicFrame macro="">
      <xdr:nvGraphicFramePr>
        <xdr:cNvPr id="78" name="Chart 77">
          <a:extLst>
            <a:ext uri="{FF2B5EF4-FFF2-40B4-BE49-F238E27FC236}">
              <a16:creationId xmlns:a16="http://schemas.microsoft.com/office/drawing/2014/main" id="{00000000-0008-0000-14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20</xdr:col>
      <xdr:colOff>747990</xdr:colOff>
      <xdr:row>49</xdr:row>
      <xdr:rowOff>82547</xdr:rowOff>
    </xdr:from>
    <xdr:to>
      <xdr:col>28</xdr:col>
      <xdr:colOff>347672</xdr:colOff>
      <xdr:row>68</xdr:row>
      <xdr:rowOff>153388</xdr:rowOff>
    </xdr:to>
    <xdr:graphicFrame macro="">
      <xdr:nvGraphicFramePr>
        <xdr:cNvPr id="79" name="Chart 78">
          <a:extLst>
            <a:ext uri="{FF2B5EF4-FFF2-40B4-BE49-F238E27FC236}">
              <a16:creationId xmlns:a16="http://schemas.microsoft.com/office/drawing/2014/main" id="{00000000-0008-0000-14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40</xdr:col>
      <xdr:colOff>423022</xdr:colOff>
      <xdr:row>5</xdr:row>
      <xdr:rowOff>3733</xdr:rowOff>
    </xdr:from>
    <xdr:to>
      <xdr:col>55</xdr:col>
      <xdr:colOff>186552</xdr:colOff>
      <xdr:row>19</xdr:row>
      <xdr:rowOff>148792</xdr:rowOff>
    </xdr:to>
    <xdr:graphicFrame macro="">
      <xdr:nvGraphicFramePr>
        <xdr:cNvPr id="82" name="Chart 81">
          <a:extLst>
            <a:ext uri="{FF2B5EF4-FFF2-40B4-BE49-F238E27FC236}">
              <a16:creationId xmlns:a16="http://schemas.microsoft.com/office/drawing/2014/main" id="{00000000-0008-0000-14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20</xdr:col>
      <xdr:colOff>743086</xdr:colOff>
      <xdr:row>59</xdr:row>
      <xdr:rowOff>139376</xdr:rowOff>
    </xdr:from>
    <xdr:to>
      <xdr:col>27</xdr:col>
      <xdr:colOff>565194</xdr:colOff>
      <xdr:row>69</xdr:row>
      <xdr:rowOff>747</xdr:rowOff>
    </xdr:to>
    <xdr:graphicFrame macro="">
      <xdr:nvGraphicFramePr>
        <xdr:cNvPr id="112" name="Chart 111">
          <a:extLst>
            <a:ext uri="{FF2B5EF4-FFF2-40B4-BE49-F238E27FC236}">
              <a16:creationId xmlns:a16="http://schemas.microsoft.com/office/drawing/2014/main" id="{00000000-0008-0000-14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14</xdr:col>
      <xdr:colOff>271460</xdr:colOff>
      <xdr:row>339</xdr:row>
      <xdr:rowOff>35018</xdr:rowOff>
    </xdr:from>
    <xdr:to>
      <xdr:col>21</xdr:col>
      <xdr:colOff>393489</xdr:colOff>
      <xdr:row>360</xdr:row>
      <xdr:rowOff>70842</xdr:rowOff>
    </xdr:to>
    <xdr:graphicFrame macro="">
      <xdr:nvGraphicFramePr>
        <xdr:cNvPr id="113" name="Chart 112">
          <a:extLst>
            <a:ext uri="{FF2B5EF4-FFF2-40B4-BE49-F238E27FC236}">
              <a16:creationId xmlns:a16="http://schemas.microsoft.com/office/drawing/2014/main" id="{00000000-0008-0000-14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21</xdr:col>
      <xdr:colOff>410411</xdr:colOff>
      <xdr:row>339</xdr:row>
      <xdr:rowOff>35017</xdr:rowOff>
    </xdr:from>
    <xdr:to>
      <xdr:col>28</xdr:col>
      <xdr:colOff>274705</xdr:colOff>
      <xdr:row>360</xdr:row>
      <xdr:rowOff>70841</xdr:rowOff>
    </xdr:to>
    <xdr:graphicFrame macro="">
      <xdr:nvGraphicFramePr>
        <xdr:cNvPr id="115" name="Chart 114">
          <a:extLst>
            <a:ext uri="{FF2B5EF4-FFF2-40B4-BE49-F238E27FC236}">
              <a16:creationId xmlns:a16="http://schemas.microsoft.com/office/drawing/2014/main" id="{00000000-0008-0000-14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27</xdr:col>
      <xdr:colOff>497963</xdr:colOff>
      <xdr:row>76</xdr:row>
      <xdr:rowOff>22413</xdr:rowOff>
    </xdr:from>
    <xdr:to>
      <xdr:col>36</xdr:col>
      <xdr:colOff>309157</xdr:colOff>
      <xdr:row>101</xdr:row>
      <xdr:rowOff>123531</xdr:rowOff>
    </xdr:to>
    <xdr:graphicFrame macro="">
      <xdr:nvGraphicFramePr>
        <xdr:cNvPr id="107" name="Chart 106">
          <a:extLst>
            <a:ext uri="{FF2B5EF4-FFF2-40B4-BE49-F238E27FC236}">
              <a16:creationId xmlns:a16="http://schemas.microsoft.com/office/drawing/2014/main" id="{00000000-0008-0000-1400-00006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28</xdr:col>
      <xdr:colOff>56029</xdr:colOff>
      <xdr:row>89</xdr:row>
      <xdr:rowOff>58300</xdr:rowOff>
    </xdr:from>
    <xdr:to>
      <xdr:col>36</xdr:col>
      <xdr:colOff>280146</xdr:colOff>
      <xdr:row>101</xdr:row>
      <xdr:rowOff>19763</xdr:rowOff>
    </xdr:to>
    <xdr:graphicFrame macro="">
      <xdr:nvGraphicFramePr>
        <xdr:cNvPr id="80" name="Chart 79">
          <a:extLst>
            <a:ext uri="{FF2B5EF4-FFF2-40B4-BE49-F238E27FC236}">
              <a16:creationId xmlns:a16="http://schemas.microsoft.com/office/drawing/2014/main" id="{00000000-0008-0000-14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27</xdr:col>
      <xdr:colOff>566599</xdr:colOff>
      <xdr:row>127</xdr:row>
      <xdr:rowOff>14009</xdr:rowOff>
    </xdr:from>
    <xdr:to>
      <xdr:col>36</xdr:col>
      <xdr:colOff>377793</xdr:colOff>
      <xdr:row>152</xdr:row>
      <xdr:rowOff>51950</xdr:rowOff>
    </xdr:to>
    <xdr:graphicFrame macro="">
      <xdr:nvGraphicFramePr>
        <xdr:cNvPr id="108" name="Chart 107">
          <a:extLst>
            <a:ext uri="{FF2B5EF4-FFF2-40B4-BE49-F238E27FC236}">
              <a16:creationId xmlns:a16="http://schemas.microsoft.com/office/drawing/2014/main" id="{70475C9C-D88B-49C1-BDAA-820AD297B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48</xdr:col>
      <xdr:colOff>291350</xdr:colOff>
      <xdr:row>127</xdr:row>
      <xdr:rowOff>11207</xdr:rowOff>
    </xdr:from>
    <xdr:to>
      <xdr:col>58</xdr:col>
      <xdr:colOff>158574</xdr:colOff>
      <xdr:row>152</xdr:row>
      <xdr:rowOff>49148</xdr:rowOff>
    </xdr:to>
    <xdr:graphicFrame macro="">
      <xdr:nvGraphicFramePr>
        <xdr:cNvPr id="117" name="Chart 116">
          <a:extLst>
            <a:ext uri="{FF2B5EF4-FFF2-40B4-BE49-F238E27FC236}">
              <a16:creationId xmlns:a16="http://schemas.microsoft.com/office/drawing/2014/main" id="{850A69BA-CE01-431A-9C1E-42E5EA9398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27</xdr:col>
      <xdr:colOff>324971</xdr:colOff>
      <xdr:row>187</xdr:row>
      <xdr:rowOff>49725</xdr:rowOff>
    </xdr:from>
    <xdr:to>
      <xdr:col>35</xdr:col>
      <xdr:colOff>223589</xdr:colOff>
      <xdr:row>209</xdr:row>
      <xdr:rowOff>108667</xdr:rowOff>
    </xdr:to>
    <xdr:graphicFrame macro="">
      <xdr:nvGraphicFramePr>
        <xdr:cNvPr id="85" name="Chart 84">
          <a:extLst>
            <a:ext uri="{FF2B5EF4-FFF2-40B4-BE49-F238E27FC236}">
              <a16:creationId xmlns:a16="http://schemas.microsoft.com/office/drawing/2014/main" id="{4BF99204-049C-4E21-8148-E09CB84FE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36</xdr:col>
      <xdr:colOff>34318</xdr:colOff>
      <xdr:row>187</xdr:row>
      <xdr:rowOff>51127</xdr:rowOff>
    </xdr:from>
    <xdr:to>
      <xdr:col>47</xdr:col>
      <xdr:colOff>280318</xdr:colOff>
      <xdr:row>209</xdr:row>
      <xdr:rowOff>110069</xdr:rowOff>
    </xdr:to>
    <xdr:graphicFrame macro="">
      <xdr:nvGraphicFramePr>
        <xdr:cNvPr id="111" name="Chart 110">
          <a:extLst>
            <a:ext uri="{FF2B5EF4-FFF2-40B4-BE49-F238E27FC236}">
              <a16:creationId xmlns:a16="http://schemas.microsoft.com/office/drawing/2014/main" id="{BAEA347C-353C-4A9F-B579-D54B70431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76</xdr:col>
      <xdr:colOff>493058</xdr:colOff>
      <xdr:row>187</xdr:row>
      <xdr:rowOff>44823</xdr:rowOff>
    </xdr:from>
    <xdr:to>
      <xdr:col>86</xdr:col>
      <xdr:colOff>21882</xdr:colOff>
      <xdr:row>209</xdr:row>
      <xdr:rowOff>103765</xdr:rowOff>
    </xdr:to>
    <xdr:graphicFrame macro="">
      <xdr:nvGraphicFramePr>
        <xdr:cNvPr id="123" name="Chart 122">
          <a:extLst>
            <a:ext uri="{FF2B5EF4-FFF2-40B4-BE49-F238E27FC236}">
              <a16:creationId xmlns:a16="http://schemas.microsoft.com/office/drawing/2014/main" id="{C2C6A595-8319-4908-9117-ECB7E9FCC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absolute">
    <xdr:from>
      <xdr:col>86</xdr:col>
      <xdr:colOff>268941</xdr:colOff>
      <xdr:row>187</xdr:row>
      <xdr:rowOff>67235</xdr:rowOff>
    </xdr:from>
    <xdr:to>
      <xdr:col>95</xdr:col>
      <xdr:colOff>402882</xdr:colOff>
      <xdr:row>209</xdr:row>
      <xdr:rowOff>126177</xdr:rowOff>
    </xdr:to>
    <xdr:graphicFrame macro="">
      <xdr:nvGraphicFramePr>
        <xdr:cNvPr id="126" name="Chart 125">
          <a:extLst>
            <a:ext uri="{FF2B5EF4-FFF2-40B4-BE49-F238E27FC236}">
              <a16:creationId xmlns:a16="http://schemas.microsoft.com/office/drawing/2014/main" id="{DE1FADAA-A549-4D1F-A586-86A8FAC64C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47</xdr:col>
      <xdr:colOff>466444</xdr:colOff>
      <xdr:row>187</xdr:row>
      <xdr:rowOff>73538</xdr:rowOff>
    </xdr:from>
    <xdr:to>
      <xdr:col>56</xdr:col>
      <xdr:colOff>600385</xdr:colOff>
      <xdr:row>209</xdr:row>
      <xdr:rowOff>132480</xdr:rowOff>
    </xdr:to>
    <xdr:graphicFrame macro="">
      <xdr:nvGraphicFramePr>
        <xdr:cNvPr id="127" name="Chart 126">
          <a:extLst>
            <a:ext uri="{FF2B5EF4-FFF2-40B4-BE49-F238E27FC236}">
              <a16:creationId xmlns:a16="http://schemas.microsoft.com/office/drawing/2014/main" id="{4EB22CB6-AB2F-4A85-8A3C-6257F8B23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57</xdr:col>
      <xdr:colOff>314467</xdr:colOff>
      <xdr:row>187</xdr:row>
      <xdr:rowOff>73539</xdr:rowOff>
    </xdr:from>
    <xdr:to>
      <xdr:col>66</xdr:col>
      <xdr:colOff>448408</xdr:colOff>
      <xdr:row>209</xdr:row>
      <xdr:rowOff>132481</xdr:rowOff>
    </xdr:to>
    <xdr:graphicFrame macro="">
      <xdr:nvGraphicFramePr>
        <xdr:cNvPr id="128" name="Chart 127">
          <a:extLst>
            <a:ext uri="{FF2B5EF4-FFF2-40B4-BE49-F238E27FC236}">
              <a16:creationId xmlns:a16="http://schemas.microsoft.com/office/drawing/2014/main" id="{A7C1C245-C600-4749-96AC-FD32F87B0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absolute">
    <xdr:from>
      <xdr:col>67</xdr:col>
      <xdr:colOff>143575</xdr:colOff>
      <xdr:row>187</xdr:row>
      <xdr:rowOff>28715</xdr:rowOff>
    </xdr:from>
    <xdr:to>
      <xdr:col>76</xdr:col>
      <xdr:colOff>277516</xdr:colOff>
      <xdr:row>209</xdr:row>
      <xdr:rowOff>87657</xdr:rowOff>
    </xdr:to>
    <xdr:graphicFrame macro="">
      <xdr:nvGraphicFramePr>
        <xdr:cNvPr id="121" name="Chart 120">
          <a:extLst>
            <a:ext uri="{FF2B5EF4-FFF2-40B4-BE49-F238E27FC236}">
              <a16:creationId xmlns:a16="http://schemas.microsoft.com/office/drawing/2014/main" id="{2F6DD556-775D-46D5-9A66-D232B04E4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absolute">
    <xdr:from>
      <xdr:col>28</xdr:col>
      <xdr:colOff>235324</xdr:colOff>
      <xdr:row>139</xdr:row>
      <xdr:rowOff>22411</xdr:rowOff>
    </xdr:from>
    <xdr:to>
      <xdr:col>36</xdr:col>
      <xdr:colOff>280150</xdr:colOff>
      <xdr:row>151</xdr:row>
      <xdr:rowOff>78441</xdr:rowOff>
    </xdr:to>
    <xdr:graphicFrame macro="">
      <xdr:nvGraphicFramePr>
        <xdr:cNvPr id="135" name="Chart 134">
          <a:extLst>
            <a:ext uri="{FF2B5EF4-FFF2-40B4-BE49-F238E27FC236}">
              <a16:creationId xmlns:a16="http://schemas.microsoft.com/office/drawing/2014/main" id="{E15DC4FD-4810-4589-9413-B84D47A31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absolute">
    <xdr:from>
      <xdr:col>27</xdr:col>
      <xdr:colOff>425826</xdr:colOff>
      <xdr:row>201</xdr:row>
      <xdr:rowOff>44822</xdr:rowOff>
    </xdr:from>
    <xdr:to>
      <xdr:col>34</xdr:col>
      <xdr:colOff>347383</xdr:colOff>
      <xdr:row>208</xdr:row>
      <xdr:rowOff>145674</xdr:rowOff>
    </xdr:to>
    <xdr:graphicFrame macro="">
      <xdr:nvGraphicFramePr>
        <xdr:cNvPr id="138" name="Chart 137">
          <a:extLst>
            <a:ext uri="{FF2B5EF4-FFF2-40B4-BE49-F238E27FC236}">
              <a16:creationId xmlns:a16="http://schemas.microsoft.com/office/drawing/2014/main" id="{1BBD6DE9-D657-4445-ADA6-A35E9C8B2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absolute">
    <xdr:from>
      <xdr:col>36</xdr:col>
      <xdr:colOff>145677</xdr:colOff>
      <xdr:row>200</xdr:row>
      <xdr:rowOff>123266</xdr:rowOff>
    </xdr:from>
    <xdr:to>
      <xdr:col>46</xdr:col>
      <xdr:colOff>593911</xdr:colOff>
      <xdr:row>208</xdr:row>
      <xdr:rowOff>67235</xdr:rowOff>
    </xdr:to>
    <xdr:graphicFrame macro="">
      <xdr:nvGraphicFramePr>
        <xdr:cNvPr id="139" name="Chart 138">
          <a:extLst>
            <a:ext uri="{FF2B5EF4-FFF2-40B4-BE49-F238E27FC236}">
              <a16:creationId xmlns:a16="http://schemas.microsoft.com/office/drawing/2014/main" id="{B1F8DB83-E147-4CAB-A839-2555FB98B0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absolute">
    <xdr:from>
      <xdr:col>47</xdr:col>
      <xdr:colOff>582706</xdr:colOff>
      <xdr:row>197</xdr:row>
      <xdr:rowOff>112059</xdr:rowOff>
    </xdr:from>
    <xdr:to>
      <xdr:col>56</xdr:col>
      <xdr:colOff>582706</xdr:colOff>
      <xdr:row>209</xdr:row>
      <xdr:rowOff>56028</xdr:rowOff>
    </xdr:to>
    <xdr:graphicFrame macro="">
      <xdr:nvGraphicFramePr>
        <xdr:cNvPr id="140" name="Chart 139">
          <a:extLst>
            <a:ext uri="{FF2B5EF4-FFF2-40B4-BE49-F238E27FC236}">
              <a16:creationId xmlns:a16="http://schemas.microsoft.com/office/drawing/2014/main" id="{0AF2583A-1AB9-49D4-8F14-D72CC06FE5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absolute">
    <xdr:from>
      <xdr:col>57</xdr:col>
      <xdr:colOff>448237</xdr:colOff>
      <xdr:row>197</xdr:row>
      <xdr:rowOff>134471</xdr:rowOff>
    </xdr:from>
    <xdr:to>
      <xdr:col>66</xdr:col>
      <xdr:colOff>447708</xdr:colOff>
      <xdr:row>209</xdr:row>
      <xdr:rowOff>78440</xdr:rowOff>
    </xdr:to>
    <xdr:graphicFrame macro="">
      <xdr:nvGraphicFramePr>
        <xdr:cNvPr id="141" name="Chart 140">
          <a:extLst>
            <a:ext uri="{FF2B5EF4-FFF2-40B4-BE49-F238E27FC236}">
              <a16:creationId xmlns:a16="http://schemas.microsoft.com/office/drawing/2014/main" id="{B8DC156C-99BC-4482-8FEA-D466F5486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absolute">
    <xdr:from>
      <xdr:col>67</xdr:col>
      <xdr:colOff>257735</xdr:colOff>
      <xdr:row>197</xdr:row>
      <xdr:rowOff>78441</xdr:rowOff>
    </xdr:from>
    <xdr:to>
      <xdr:col>76</xdr:col>
      <xdr:colOff>279616</xdr:colOff>
      <xdr:row>209</xdr:row>
      <xdr:rowOff>22410</xdr:rowOff>
    </xdr:to>
    <xdr:graphicFrame macro="">
      <xdr:nvGraphicFramePr>
        <xdr:cNvPr id="142" name="Chart 141">
          <a:extLst>
            <a:ext uri="{FF2B5EF4-FFF2-40B4-BE49-F238E27FC236}">
              <a16:creationId xmlns:a16="http://schemas.microsoft.com/office/drawing/2014/main" id="{208538D1-8A9F-4B0B-86C4-3FDB07B1A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absolute">
    <xdr:from>
      <xdr:col>77</xdr:col>
      <xdr:colOff>11207</xdr:colOff>
      <xdr:row>200</xdr:row>
      <xdr:rowOff>89648</xdr:rowOff>
    </xdr:from>
    <xdr:to>
      <xdr:col>85</xdr:col>
      <xdr:colOff>347381</xdr:colOff>
      <xdr:row>208</xdr:row>
      <xdr:rowOff>33617</xdr:rowOff>
    </xdr:to>
    <xdr:graphicFrame macro="">
      <xdr:nvGraphicFramePr>
        <xdr:cNvPr id="143" name="Chart 142">
          <a:extLst>
            <a:ext uri="{FF2B5EF4-FFF2-40B4-BE49-F238E27FC236}">
              <a16:creationId xmlns:a16="http://schemas.microsoft.com/office/drawing/2014/main" id="{8A0C2253-3040-4F70-AA06-22E396E9B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absolute">
    <xdr:from>
      <xdr:col>86</xdr:col>
      <xdr:colOff>392205</xdr:colOff>
      <xdr:row>201</xdr:row>
      <xdr:rowOff>123265</xdr:rowOff>
    </xdr:from>
    <xdr:to>
      <xdr:col>95</xdr:col>
      <xdr:colOff>123262</xdr:colOff>
      <xdr:row>209</xdr:row>
      <xdr:rowOff>67235</xdr:rowOff>
    </xdr:to>
    <xdr:graphicFrame macro="">
      <xdr:nvGraphicFramePr>
        <xdr:cNvPr id="146" name="Chart 145">
          <a:extLst>
            <a:ext uri="{FF2B5EF4-FFF2-40B4-BE49-F238E27FC236}">
              <a16:creationId xmlns:a16="http://schemas.microsoft.com/office/drawing/2014/main" id="{75D093D9-885B-4E11-894F-A0A48762C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43</xdr:col>
      <xdr:colOff>79842</xdr:colOff>
      <xdr:row>49</xdr:row>
      <xdr:rowOff>95950</xdr:rowOff>
    </xdr:from>
    <xdr:to>
      <xdr:col>52</xdr:col>
      <xdr:colOff>553583</xdr:colOff>
      <xdr:row>67</xdr:row>
      <xdr:rowOff>68037</xdr:rowOff>
    </xdr:to>
    <xdr:graphicFrame macro="">
      <xdr:nvGraphicFramePr>
        <xdr:cNvPr id="134" name="Chart 133">
          <a:extLst>
            <a:ext uri="{FF2B5EF4-FFF2-40B4-BE49-F238E27FC236}">
              <a16:creationId xmlns:a16="http://schemas.microsoft.com/office/drawing/2014/main" id="{F5E143C2-ACC7-427F-A1E9-C7DBA98E3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38</xdr:col>
      <xdr:colOff>329874</xdr:colOff>
      <xdr:row>76</xdr:row>
      <xdr:rowOff>22411</xdr:rowOff>
    </xdr:from>
    <xdr:to>
      <xdr:col>49</xdr:col>
      <xdr:colOff>533274</xdr:colOff>
      <xdr:row>101</xdr:row>
      <xdr:rowOff>123529</xdr:rowOff>
    </xdr:to>
    <xdr:graphicFrame macro="">
      <xdr:nvGraphicFramePr>
        <xdr:cNvPr id="96" name="Chart 95">
          <a:extLst>
            <a:ext uri="{FF2B5EF4-FFF2-40B4-BE49-F238E27FC236}">
              <a16:creationId xmlns:a16="http://schemas.microsoft.com/office/drawing/2014/main" id="{6C86BD4A-67D8-493A-96E2-AC82A362D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39</xdr:col>
      <xdr:colOff>33618</xdr:colOff>
      <xdr:row>89</xdr:row>
      <xdr:rowOff>58297</xdr:rowOff>
    </xdr:from>
    <xdr:to>
      <xdr:col>49</xdr:col>
      <xdr:colOff>526677</xdr:colOff>
      <xdr:row>101</xdr:row>
      <xdr:rowOff>19760</xdr:rowOff>
    </xdr:to>
    <xdr:graphicFrame macro="">
      <xdr:nvGraphicFramePr>
        <xdr:cNvPr id="97" name="Chart 96">
          <a:extLst>
            <a:ext uri="{FF2B5EF4-FFF2-40B4-BE49-F238E27FC236}">
              <a16:creationId xmlns:a16="http://schemas.microsoft.com/office/drawing/2014/main" id="{0307B3CE-B668-4293-83E1-5508ED40B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36</xdr:col>
      <xdr:colOff>347382</xdr:colOff>
      <xdr:row>127</xdr:row>
      <xdr:rowOff>11206</xdr:rowOff>
    </xdr:from>
    <xdr:to>
      <xdr:col>48</xdr:col>
      <xdr:colOff>326664</xdr:colOff>
      <xdr:row>152</xdr:row>
      <xdr:rowOff>49147</xdr:rowOff>
    </xdr:to>
    <xdr:graphicFrame macro="">
      <xdr:nvGraphicFramePr>
        <xdr:cNvPr id="99" name="Chart 98">
          <a:extLst>
            <a:ext uri="{FF2B5EF4-FFF2-40B4-BE49-F238E27FC236}">
              <a16:creationId xmlns:a16="http://schemas.microsoft.com/office/drawing/2014/main" id="{F29F822C-BE9D-42EE-9E3B-7064E07B0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absolute">
    <xdr:from>
      <xdr:col>37</xdr:col>
      <xdr:colOff>49031</xdr:colOff>
      <xdr:row>140</xdr:row>
      <xdr:rowOff>134470</xdr:rowOff>
    </xdr:from>
    <xdr:to>
      <xdr:col>48</xdr:col>
      <xdr:colOff>123265</xdr:colOff>
      <xdr:row>151</xdr:row>
      <xdr:rowOff>145678</xdr:rowOff>
    </xdr:to>
    <xdr:graphicFrame macro="">
      <xdr:nvGraphicFramePr>
        <xdr:cNvPr id="100" name="Chart 99">
          <a:extLst>
            <a:ext uri="{FF2B5EF4-FFF2-40B4-BE49-F238E27FC236}">
              <a16:creationId xmlns:a16="http://schemas.microsoft.com/office/drawing/2014/main" id="{72C953A3-8EBB-4FF8-B52B-448A2164B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33</xdr:col>
      <xdr:colOff>145676</xdr:colOff>
      <xdr:row>32</xdr:row>
      <xdr:rowOff>112058</xdr:rowOff>
    </xdr:from>
    <xdr:to>
      <xdr:col>48</xdr:col>
      <xdr:colOff>380999</xdr:colOff>
      <xdr:row>41</xdr:row>
      <xdr:rowOff>67236</xdr:rowOff>
    </xdr:to>
    <xdr:graphicFrame macro="">
      <xdr:nvGraphicFramePr>
        <xdr:cNvPr id="106" name="Chart 105">
          <a:extLst>
            <a:ext uri="{FF2B5EF4-FFF2-40B4-BE49-F238E27FC236}">
              <a16:creationId xmlns:a16="http://schemas.microsoft.com/office/drawing/2014/main" id="{C68DE110-62F0-4A3F-8E39-B291B4A61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43</xdr:col>
      <xdr:colOff>292755</xdr:colOff>
      <xdr:row>57</xdr:row>
      <xdr:rowOff>68635</xdr:rowOff>
    </xdr:from>
    <xdr:to>
      <xdr:col>51</xdr:col>
      <xdr:colOff>583407</xdr:colOff>
      <xdr:row>67</xdr:row>
      <xdr:rowOff>46224</xdr:rowOff>
    </xdr:to>
    <xdr:graphicFrame macro="">
      <xdr:nvGraphicFramePr>
        <xdr:cNvPr id="98" name="Chart 97">
          <a:extLst>
            <a:ext uri="{FF2B5EF4-FFF2-40B4-BE49-F238E27FC236}">
              <a16:creationId xmlns:a16="http://schemas.microsoft.com/office/drawing/2014/main" id="{76FD59A2-CE5E-4680-BBBC-FB7F356A0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2</xdr:col>
      <xdr:colOff>638737</xdr:colOff>
      <xdr:row>272</xdr:row>
      <xdr:rowOff>44824</xdr:rowOff>
    </xdr:from>
    <xdr:to>
      <xdr:col>8</xdr:col>
      <xdr:colOff>616325</xdr:colOff>
      <xdr:row>285</xdr:row>
      <xdr:rowOff>3880</xdr:rowOff>
    </xdr:to>
    <xdr:graphicFrame macro="">
      <xdr:nvGraphicFramePr>
        <xdr:cNvPr id="120" name="Chart 119">
          <a:extLst>
            <a:ext uri="{FF2B5EF4-FFF2-40B4-BE49-F238E27FC236}">
              <a16:creationId xmlns:a16="http://schemas.microsoft.com/office/drawing/2014/main" id="{C99EC98D-CAF1-40E5-A2EF-392D13182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absolute">
    <xdr:from>
      <xdr:col>49</xdr:col>
      <xdr:colOff>11208</xdr:colOff>
      <xdr:row>139</xdr:row>
      <xdr:rowOff>1</xdr:rowOff>
    </xdr:from>
    <xdr:to>
      <xdr:col>58</xdr:col>
      <xdr:colOff>123265</xdr:colOff>
      <xdr:row>151</xdr:row>
      <xdr:rowOff>56031</xdr:rowOff>
    </xdr:to>
    <xdr:graphicFrame macro="">
      <xdr:nvGraphicFramePr>
        <xdr:cNvPr id="101" name="Chart 100">
          <a:extLst>
            <a:ext uri="{FF2B5EF4-FFF2-40B4-BE49-F238E27FC236}">
              <a16:creationId xmlns:a16="http://schemas.microsoft.com/office/drawing/2014/main" id="{BC8A7E98-A707-4FC2-88E6-F9685251F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2</xdr:col>
      <xdr:colOff>504265</xdr:colOff>
      <xdr:row>285</xdr:row>
      <xdr:rowOff>134471</xdr:rowOff>
    </xdr:from>
    <xdr:to>
      <xdr:col>8</xdr:col>
      <xdr:colOff>707665</xdr:colOff>
      <xdr:row>310</xdr:row>
      <xdr:rowOff>60354</xdr:rowOff>
    </xdr:to>
    <xdr:graphicFrame macro="">
      <xdr:nvGraphicFramePr>
        <xdr:cNvPr id="125" name="Chart 124">
          <a:extLst>
            <a:ext uri="{FF2B5EF4-FFF2-40B4-BE49-F238E27FC236}">
              <a16:creationId xmlns:a16="http://schemas.microsoft.com/office/drawing/2014/main" id="{922022E5-1C35-4E6B-948A-353115FCC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2</xdr:col>
      <xdr:colOff>986118</xdr:colOff>
      <xdr:row>296</xdr:row>
      <xdr:rowOff>56030</xdr:rowOff>
    </xdr:from>
    <xdr:to>
      <xdr:col>8</xdr:col>
      <xdr:colOff>672354</xdr:colOff>
      <xdr:row>309</xdr:row>
      <xdr:rowOff>1</xdr:rowOff>
    </xdr:to>
    <xdr:graphicFrame macro="">
      <xdr:nvGraphicFramePr>
        <xdr:cNvPr id="144" name="Chart 143">
          <a:extLst>
            <a:ext uri="{FF2B5EF4-FFF2-40B4-BE49-F238E27FC236}">
              <a16:creationId xmlns:a16="http://schemas.microsoft.com/office/drawing/2014/main" id="{D0854EB7-AE42-439C-A8D8-0CCBA0547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2</xdr:col>
      <xdr:colOff>493061</xdr:colOff>
      <xdr:row>236</xdr:row>
      <xdr:rowOff>0</xdr:rowOff>
    </xdr:from>
    <xdr:to>
      <xdr:col>8</xdr:col>
      <xdr:colOff>696461</xdr:colOff>
      <xdr:row>260</xdr:row>
      <xdr:rowOff>82765</xdr:rowOff>
    </xdr:to>
    <xdr:graphicFrame macro="">
      <xdr:nvGraphicFramePr>
        <xdr:cNvPr id="103" name="Chart 102">
          <a:extLst>
            <a:ext uri="{FF2B5EF4-FFF2-40B4-BE49-F238E27FC236}">
              <a16:creationId xmlns:a16="http://schemas.microsoft.com/office/drawing/2014/main" id="{20B203F0-65BC-4128-ABAF-C1DCD832F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2</xdr:col>
      <xdr:colOff>922250</xdr:colOff>
      <xdr:row>247</xdr:row>
      <xdr:rowOff>45006</xdr:rowOff>
    </xdr:from>
    <xdr:to>
      <xdr:col>8</xdr:col>
      <xdr:colOff>661148</xdr:colOff>
      <xdr:row>260</xdr:row>
      <xdr:rowOff>4063</xdr:rowOff>
    </xdr:to>
    <xdr:graphicFrame macro="">
      <xdr:nvGraphicFramePr>
        <xdr:cNvPr id="104" name="Chart 103">
          <a:extLst>
            <a:ext uri="{FF2B5EF4-FFF2-40B4-BE49-F238E27FC236}">
              <a16:creationId xmlns:a16="http://schemas.microsoft.com/office/drawing/2014/main" id="{FD3F3413-1F2C-4B8A-A5F7-7EF9130C2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8</xdr:col>
      <xdr:colOff>534382</xdr:colOff>
      <xdr:row>258</xdr:row>
      <xdr:rowOff>19610</xdr:rowOff>
    </xdr:from>
    <xdr:to>
      <xdr:col>9</xdr:col>
      <xdr:colOff>194282</xdr:colOff>
      <xdr:row>259</xdr:row>
      <xdr:rowOff>130268</xdr:rowOff>
    </xdr:to>
    <xdr:sp macro="" textlink="">
      <xdr:nvSpPr>
        <xdr:cNvPr id="119" name="Rectangle 118">
          <a:extLst>
            <a:ext uri="{FF2B5EF4-FFF2-40B4-BE49-F238E27FC236}">
              <a16:creationId xmlns:a16="http://schemas.microsoft.com/office/drawing/2014/main" id="{73EBB2EE-A47D-4C32-A779-621095338CE1}"/>
            </a:ext>
          </a:extLst>
        </xdr:cNvPr>
        <xdr:cNvSpPr/>
      </xdr:nvSpPr>
      <xdr:spPr>
        <a:xfrm>
          <a:off x="7785288" y="44072735"/>
          <a:ext cx="398088" cy="2773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8</xdr:col>
      <xdr:colOff>1</xdr:colOff>
      <xdr:row>307</xdr:row>
      <xdr:rowOff>1398</xdr:rowOff>
    </xdr:from>
    <xdr:to>
      <xdr:col>8</xdr:col>
      <xdr:colOff>451860</xdr:colOff>
      <xdr:row>308</xdr:row>
      <xdr:rowOff>22411</xdr:rowOff>
    </xdr:to>
    <xdr:sp macro="" textlink="">
      <xdr:nvSpPr>
        <xdr:cNvPr id="83" name="Rectangle 82">
          <a:extLst>
            <a:ext uri="{FF2B5EF4-FFF2-40B4-BE49-F238E27FC236}">
              <a16:creationId xmlns:a16="http://schemas.microsoft.com/office/drawing/2014/main" id="{00000000-0008-0000-1400-000053000000}"/>
            </a:ext>
          </a:extLst>
        </xdr:cNvPr>
        <xdr:cNvSpPr/>
      </xdr:nvSpPr>
      <xdr:spPr>
        <a:xfrm>
          <a:off x="7295030" y="49621045"/>
          <a:ext cx="451859" cy="17789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7</xdr:col>
      <xdr:colOff>638736</xdr:colOff>
      <xdr:row>283</xdr:row>
      <xdr:rowOff>100853</xdr:rowOff>
    </xdr:from>
    <xdr:to>
      <xdr:col>8</xdr:col>
      <xdr:colOff>400730</xdr:colOff>
      <xdr:row>285</xdr:row>
      <xdr:rowOff>24163</xdr:rowOff>
    </xdr:to>
    <xdr:sp macro="" textlink="">
      <xdr:nvSpPr>
        <xdr:cNvPr id="2" name="Rectangle 1">
          <a:extLst>
            <a:ext uri="{FF2B5EF4-FFF2-40B4-BE49-F238E27FC236}">
              <a16:creationId xmlns:a16="http://schemas.microsoft.com/office/drawing/2014/main" id="{00000000-0008-0000-1400-000002000000}"/>
            </a:ext>
          </a:extLst>
        </xdr:cNvPr>
        <xdr:cNvSpPr/>
      </xdr:nvSpPr>
      <xdr:spPr>
        <a:xfrm>
          <a:off x="7272618" y="45843265"/>
          <a:ext cx="423141" cy="2370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2</xdr:col>
      <xdr:colOff>504264</xdr:colOff>
      <xdr:row>310</xdr:row>
      <xdr:rowOff>134471</xdr:rowOff>
    </xdr:from>
    <xdr:to>
      <xdr:col>8</xdr:col>
      <xdr:colOff>707664</xdr:colOff>
      <xdr:row>335</xdr:row>
      <xdr:rowOff>60353</xdr:rowOff>
    </xdr:to>
    <xdr:graphicFrame macro="">
      <xdr:nvGraphicFramePr>
        <xdr:cNvPr id="145" name="Chart 144">
          <a:extLst>
            <a:ext uri="{FF2B5EF4-FFF2-40B4-BE49-F238E27FC236}">
              <a16:creationId xmlns:a16="http://schemas.microsoft.com/office/drawing/2014/main" id="{B22AD6B9-170B-4CFA-BB1E-D2FBABF4F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2</xdr:col>
      <xdr:colOff>657447</xdr:colOff>
      <xdr:row>321</xdr:row>
      <xdr:rowOff>74108</xdr:rowOff>
    </xdr:from>
    <xdr:to>
      <xdr:col>8</xdr:col>
      <xdr:colOff>616322</xdr:colOff>
      <xdr:row>334</xdr:row>
      <xdr:rowOff>145223</xdr:rowOff>
    </xdr:to>
    <xdr:graphicFrame macro="">
      <xdr:nvGraphicFramePr>
        <xdr:cNvPr id="147" name="Chart 146">
          <a:extLst>
            <a:ext uri="{FF2B5EF4-FFF2-40B4-BE49-F238E27FC236}">
              <a16:creationId xmlns:a16="http://schemas.microsoft.com/office/drawing/2014/main" id="{7FA12161-E1D3-4F5C-8CEE-9104A42CD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7</xdr:col>
      <xdr:colOff>646158</xdr:colOff>
      <xdr:row>333</xdr:row>
      <xdr:rowOff>78441</xdr:rowOff>
    </xdr:from>
    <xdr:to>
      <xdr:col>8</xdr:col>
      <xdr:colOff>416017</xdr:colOff>
      <xdr:row>335</xdr:row>
      <xdr:rowOff>33619</xdr:rowOff>
    </xdr:to>
    <xdr:sp macro="" textlink="">
      <xdr:nvSpPr>
        <xdr:cNvPr id="84" name="Rectangle 83">
          <a:extLst>
            <a:ext uri="{FF2B5EF4-FFF2-40B4-BE49-F238E27FC236}">
              <a16:creationId xmlns:a16="http://schemas.microsoft.com/office/drawing/2014/main" id="{00000000-0008-0000-1400-000054000000}"/>
            </a:ext>
          </a:extLst>
        </xdr:cNvPr>
        <xdr:cNvSpPr/>
      </xdr:nvSpPr>
      <xdr:spPr>
        <a:xfrm>
          <a:off x="7280040" y="53889088"/>
          <a:ext cx="431006" cy="26894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13</xdr:col>
      <xdr:colOff>201706</xdr:colOff>
      <xdr:row>236</xdr:row>
      <xdr:rowOff>44822</xdr:rowOff>
    </xdr:from>
    <xdr:to>
      <xdr:col>21</xdr:col>
      <xdr:colOff>192194</xdr:colOff>
      <xdr:row>260</xdr:row>
      <xdr:rowOff>127587</xdr:rowOff>
    </xdr:to>
    <xdr:graphicFrame macro="">
      <xdr:nvGraphicFramePr>
        <xdr:cNvPr id="148" name="Chart 147">
          <a:extLst>
            <a:ext uri="{FF2B5EF4-FFF2-40B4-BE49-F238E27FC236}">
              <a16:creationId xmlns:a16="http://schemas.microsoft.com/office/drawing/2014/main" id="{2A768E7B-3997-45B7-9CC2-E660C0DD5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13</xdr:col>
      <xdr:colOff>354890</xdr:colOff>
      <xdr:row>247</xdr:row>
      <xdr:rowOff>96519</xdr:rowOff>
    </xdr:from>
    <xdr:to>
      <xdr:col>21</xdr:col>
      <xdr:colOff>100854</xdr:colOff>
      <xdr:row>260</xdr:row>
      <xdr:rowOff>55576</xdr:rowOff>
    </xdr:to>
    <xdr:graphicFrame macro="">
      <xdr:nvGraphicFramePr>
        <xdr:cNvPr id="149" name="Chart 148">
          <a:extLst>
            <a:ext uri="{FF2B5EF4-FFF2-40B4-BE49-F238E27FC236}">
              <a16:creationId xmlns:a16="http://schemas.microsoft.com/office/drawing/2014/main" id="{C21A3A0B-09DF-4AD6-A919-2EF601911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20</xdr:col>
      <xdr:colOff>268941</xdr:colOff>
      <xdr:row>258</xdr:row>
      <xdr:rowOff>145677</xdr:rowOff>
    </xdr:from>
    <xdr:to>
      <xdr:col>20</xdr:col>
      <xdr:colOff>696865</xdr:colOff>
      <xdr:row>260</xdr:row>
      <xdr:rowOff>33617</xdr:rowOff>
    </xdr:to>
    <xdr:sp macro="" textlink="">
      <xdr:nvSpPr>
        <xdr:cNvPr id="150" name="Rectangle 149">
          <a:extLst>
            <a:ext uri="{FF2B5EF4-FFF2-40B4-BE49-F238E27FC236}">
              <a16:creationId xmlns:a16="http://schemas.microsoft.com/office/drawing/2014/main" id="{3F53FEE1-058C-4B62-8B96-B09304DE2D1F}"/>
            </a:ext>
          </a:extLst>
        </xdr:cNvPr>
        <xdr:cNvSpPr/>
      </xdr:nvSpPr>
      <xdr:spPr>
        <a:xfrm>
          <a:off x="16158882" y="41853971"/>
          <a:ext cx="427924" cy="20170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13</xdr:col>
      <xdr:colOff>179294</xdr:colOff>
      <xdr:row>261</xdr:row>
      <xdr:rowOff>22412</xdr:rowOff>
    </xdr:from>
    <xdr:to>
      <xdr:col>21</xdr:col>
      <xdr:colOff>169782</xdr:colOff>
      <xdr:row>285</xdr:row>
      <xdr:rowOff>105177</xdr:rowOff>
    </xdr:to>
    <xdr:graphicFrame macro="">
      <xdr:nvGraphicFramePr>
        <xdr:cNvPr id="151" name="Chart 150">
          <a:extLst>
            <a:ext uri="{FF2B5EF4-FFF2-40B4-BE49-F238E27FC236}">
              <a16:creationId xmlns:a16="http://schemas.microsoft.com/office/drawing/2014/main" id="{2A0D4673-8BA6-4FBF-98F4-08C74D3F0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13</xdr:col>
      <xdr:colOff>593912</xdr:colOff>
      <xdr:row>272</xdr:row>
      <xdr:rowOff>56030</xdr:rowOff>
    </xdr:from>
    <xdr:to>
      <xdr:col>21</xdr:col>
      <xdr:colOff>112059</xdr:colOff>
      <xdr:row>284</xdr:row>
      <xdr:rowOff>44824</xdr:rowOff>
    </xdr:to>
    <xdr:graphicFrame macro="">
      <xdr:nvGraphicFramePr>
        <xdr:cNvPr id="152" name="Chart 151">
          <a:extLst>
            <a:ext uri="{FF2B5EF4-FFF2-40B4-BE49-F238E27FC236}">
              <a16:creationId xmlns:a16="http://schemas.microsoft.com/office/drawing/2014/main" id="{08CA0FDA-4183-40F5-ACF8-ABD4CCBF5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20</xdr:col>
      <xdr:colOff>291353</xdr:colOff>
      <xdr:row>282</xdr:row>
      <xdr:rowOff>44824</xdr:rowOff>
    </xdr:from>
    <xdr:to>
      <xdr:col>20</xdr:col>
      <xdr:colOff>752894</xdr:colOff>
      <xdr:row>283</xdr:row>
      <xdr:rowOff>145676</xdr:rowOff>
    </xdr:to>
    <xdr:sp macro="" textlink="">
      <xdr:nvSpPr>
        <xdr:cNvPr id="153" name="Rectangle 152">
          <a:extLst>
            <a:ext uri="{FF2B5EF4-FFF2-40B4-BE49-F238E27FC236}">
              <a16:creationId xmlns:a16="http://schemas.microsoft.com/office/drawing/2014/main" id="{51827BA3-9CE9-44F8-9B0C-C1C5F3CCE875}"/>
            </a:ext>
          </a:extLst>
        </xdr:cNvPr>
        <xdr:cNvSpPr/>
      </xdr:nvSpPr>
      <xdr:spPr>
        <a:xfrm>
          <a:off x="16181294" y="45630353"/>
          <a:ext cx="461541" cy="25773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13</xdr:col>
      <xdr:colOff>190501</xdr:colOff>
      <xdr:row>285</xdr:row>
      <xdr:rowOff>134470</xdr:rowOff>
    </xdr:from>
    <xdr:to>
      <xdr:col>21</xdr:col>
      <xdr:colOff>180989</xdr:colOff>
      <xdr:row>310</xdr:row>
      <xdr:rowOff>60353</xdr:rowOff>
    </xdr:to>
    <xdr:graphicFrame macro="">
      <xdr:nvGraphicFramePr>
        <xdr:cNvPr id="154" name="Chart 153">
          <a:extLst>
            <a:ext uri="{FF2B5EF4-FFF2-40B4-BE49-F238E27FC236}">
              <a16:creationId xmlns:a16="http://schemas.microsoft.com/office/drawing/2014/main" id="{58770041-7728-40CF-B8A7-7B6DDC93A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13</xdr:col>
      <xdr:colOff>343684</xdr:colOff>
      <xdr:row>296</xdr:row>
      <xdr:rowOff>74107</xdr:rowOff>
    </xdr:from>
    <xdr:to>
      <xdr:col>21</xdr:col>
      <xdr:colOff>89647</xdr:colOff>
      <xdr:row>309</xdr:row>
      <xdr:rowOff>145223</xdr:rowOff>
    </xdr:to>
    <xdr:graphicFrame macro="">
      <xdr:nvGraphicFramePr>
        <xdr:cNvPr id="155" name="Chart 154">
          <a:extLst>
            <a:ext uri="{FF2B5EF4-FFF2-40B4-BE49-F238E27FC236}">
              <a16:creationId xmlns:a16="http://schemas.microsoft.com/office/drawing/2014/main" id="{4C438FAE-94DD-41C0-B070-93914FF48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13</xdr:col>
      <xdr:colOff>190500</xdr:colOff>
      <xdr:row>310</xdr:row>
      <xdr:rowOff>100852</xdr:rowOff>
    </xdr:from>
    <xdr:to>
      <xdr:col>21</xdr:col>
      <xdr:colOff>180988</xdr:colOff>
      <xdr:row>335</xdr:row>
      <xdr:rowOff>26734</xdr:rowOff>
    </xdr:to>
    <xdr:graphicFrame macro="">
      <xdr:nvGraphicFramePr>
        <xdr:cNvPr id="156" name="Chart 155">
          <a:extLst>
            <a:ext uri="{FF2B5EF4-FFF2-40B4-BE49-F238E27FC236}">
              <a16:creationId xmlns:a16="http://schemas.microsoft.com/office/drawing/2014/main" id="{E375DA7A-FC89-4717-AB1E-997419222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13</xdr:col>
      <xdr:colOff>343684</xdr:colOff>
      <xdr:row>321</xdr:row>
      <xdr:rowOff>40489</xdr:rowOff>
    </xdr:from>
    <xdr:to>
      <xdr:col>21</xdr:col>
      <xdr:colOff>89647</xdr:colOff>
      <xdr:row>334</xdr:row>
      <xdr:rowOff>111604</xdr:rowOff>
    </xdr:to>
    <xdr:graphicFrame macro="">
      <xdr:nvGraphicFramePr>
        <xdr:cNvPr id="157" name="Chart 156">
          <a:extLst>
            <a:ext uri="{FF2B5EF4-FFF2-40B4-BE49-F238E27FC236}">
              <a16:creationId xmlns:a16="http://schemas.microsoft.com/office/drawing/2014/main" id="{C81911A8-7968-4F40-A2A5-2A7BBA66E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20</xdr:col>
      <xdr:colOff>257734</xdr:colOff>
      <xdr:row>333</xdr:row>
      <xdr:rowOff>44824</xdr:rowOff>
    </xdr:from>
    <xdr:to>
      <xdr:col>20</xdr:col>
      <xdr:colOff>717173</xdr:colOff>
      <xdr:row>334</xdr:row>
      <xdr:rowOff>100852</xdr:rowOff>
    </xdr:to>
    <xdr:sp macro="" textlink="">
      <xdr:nvSpPr>
        <xdr:cNvPr id="158" name="Rectangle 157">
          <a:extLst>
            <a:ext uri="{FF2B5EF4-FFF2-40B4-BE49-F238E27FC236}">
              <a16:creationId xmlns:a16="http://schemas.microsoft.com/office/drawing/2014/main" id="{F0B450AA-1D45-4FBD-9773-81D2C158F9D2}"/>
            </a:ext>
          </a:extLst>
        </xdr:cNvPr>
        <xdr:cNvSpPr/>
      </xdr:nvSpPr>
      <xdr:spPr>
        <a:xfrm flipH="1">
          <a:off x="16147675" y="53855471"/>
          <a:ext cx="459439" cy="2129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55</xdr:col>
      <xdr:colOff>459439</xdr:colOff>
      <xdr:row>5</xdr:row>
      <xdr:rowOff>1</xdr:rowOff>
    </xdr:from>
    <xdr:to>
      <xdr:col>69</xdr:col>
      <xdr:colOff>267792</xdr:colOff>
      <xdr:row>19</xdr:row>
      <xdr:rowOff>145060</xdr:rowOff>
    </xdr:to>
    <xdr:graphicFrame macro="">
      <xdr:nvGraphicFramePr>
        <xdr:cNvPr id="133" name="Chart 132">
          <a:extLst>
            <a:ext uri="{FF2B5EF4-FFF2-40B4-BE49-F238E27FC236}">
              <a16:creationId xmlns:a16="http://schemas.microsoft.com/office/drawing/2014/main" id="{47F3291B-B5AD-46BA-8209-2A52162CA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40</xdr:col>
      <xdr:colOff>415127</xdr:colOff>
      <xdr:row>8</xdr:row>
      <xdr:rowOff>69246</xdr:rowOff>
    </xdr:from>
    <xdr:to>
      <xdr:col>55</xdr:col>
      <xdr:colOff>172642</xdr:colOff>
      <xdr:row>19</xdr:row>
      <xdr:rowOff>112059</xdr:rowOff>
    </xdr:to>
    <xdr:grpSp>
      <xdr:nvGrpSpPr>
        <xdr:cNvPr id="8" name="Group 7">
          <a:extLst>
            <a:ext uri="{FF2B5EF4-FFF2-40B4-BE49-F238E27FC236}">
              <a16:creationId xmlns:a16="http://schemas.microsoft.com/office/drawing/2014/main" id="{D1597B1D-19AC-4562-814A-B441DA81E7E8}"/>
            </a:ext>
          </a:extLst>
        </xdr:cNvPr>
        <xdr:cNvGrpSpPr/>
      </xdr:nvGrpSpPr>
      <xdr:grpSpPr>
        <a:xfrm>
          <a:off x="29796951" y="1806158"/>
          <a:ext cx="8273985" cy="1802136"/>
          <a:chOff x="30172169" y="4170474"/>
          <a:chExt cx="8274004" cy="1802136"/>
        </a:xfrm>
      </xdr:grpSpPr>
      <xdr:graphicFrame macro="">
        <xdr:nvGraphicFramePr>
          <xdr:cNvPr id="81" name="Chart 80">
            <a:extLst>
              <a:ext uri="{FF2B5EF4-FFF2-40B4-BE49-F238E27FC236}">
                <a16:creationId xmlns:a16="http://schemas.microsoft.com/office/drawing/2014/main" id="{00000000-0008-0000-1400-000051000000}"/>
              </a:ext>
            </a:extLst>
          </xdr:cNvPr>
          <xdr:cNvGraphicFramePr>
            <a:graphicFrameLocks/>
          </xdr:cNvGraphicFramePr>
        </xdr:nvGraphicFramePr>
        <xdr:xfrm>
          <a:off x="30172169" y="4170474"/>
          <a:ext cx="8274004" cy="1802136"/>
        </xdr:xfrm>
        <a:graphic>
          <a:graphicData uri="http://schemas.openxmlformats.org/drawingml/2006/chart">
            <c:chart xmlns:c="http://schemas.openxmlformats.org/drawingml/2006/chart" xmlns:r="http://schemas.openxmlformats.org/officeDocument/2006/relationships" r:id="rId58"/>
          </a:graphicData>
        </a:graphic>
      </xdr:graphicFrame>
      <xdr:grpSp>
        <xdr:nvGrpSpPr>
          <xdr:cNvPr id="6" name="Group 5">
            <a:extLst>
              <a:ext uri="{FF2B5EF4-FFF2-40B4-BE49-F238E27FC236}">
                <a16:creationId xmlns:a16="http://schemas.microsoft.com/office/drawing/2014/main" id="{FDD0DEBD-7BCA-4C28-AB2E-4E4755F506F8}"/>
              </a:ext>
            </a:extLst>
          </xdr:cNvPr>
          <xdr:cNvGrpSpPr/>
        </xdr:nvGrpSpPr>
        <xdr:grpSpPr>
          <a:xfrm>
            <a:off x="31079261" y="4560088"/>
            <a:ext cx="7247818" cy="180001"/>
            <a:chOff x="35965026" y="5949617"/>
            <a:chExt cx="7247818" cy="180001"/>
          </a:xfrm>
        </xdr:grpSpPr>
        <xdr:sp macro="" textlink="">
          <xdr:nvSpPr>
            <xdr:cNvPr id="4" name="TextBox 3">
              <a:extLst>
                <a:ext uri="{FF2B5EF4-FFF2-40B4-BE49-F238E27FC236}">
                  <a16:creationId xmlns:a16="http://schemas.microsoft.com/office/drawing/2014/main" id="{CB439FA3-C8FD-4DE7-9E18-1BB715D918A3}"/>
                </a:ext>
              </a:extLst>
            </xdr:cNvPr>
            <xdr:cNvSpPr txBox="1"/>
          </xdr:nvSpPr>
          <xdr:spPr>
            <a:xfrm>
              <a:off x="35965026" y="5949617"/>
              <a:ext cx="1449895" cy="179875"/>
            </a:xfrm>
            <a:prstGeom prst="rect">
              <a:avLst/>
            </a:prstGeom>
            <a:noFill/>
            <a:ln w="254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a:t>NSW</a:t>
              </a:r>
            </a:p>
          </xdr:txBody>
        </xdr:sp>
        <xdr:sp macro="" textlink="">
          <xdr:nvSpPr>
            <xdr:cNvPr id="136" name="TextBox 135">
              <a:extLst>
                <a:ext uri="{FF2B5EF4-FFF2-40B4-BE49-F238E27FC236}">
                  <a16:creationId xmlns:a16="http://schemas.microsoft.com/office/drawing/2014/main" id="{F5945FCE-A75A-45C3-B711-F4F21C1E9051}"/>
                </a:ext>
              </a:extLst>
            </xdr:cNvPr>
            <xdr:cNvSpPr txBox="1"/>
          </xdr:nvSpPr>
          <xdr:spPr>
            <a:xfrm>
              <a:off x="37414920" y="5949619"/>
              <a:ext cx="1453275" cy="179874"/>
            </a:xfrm>
            <a:prstGeom prst="rect">
              <a:avLst/>
            </a:prstGeom>
            <a:noFill/>
            <a:ln w="254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a:t>Qld</a:t>
              </a:r>
            </a:p>
          </xdr:txBody>
        </xdr:sp>
        <xdr:sp macro="" textlink="">
          <xdr:nvSpPr>
            <xdr:cNvPr id="137" name="TextBox 136">
              <a:extLst>
                <a:ext uri="{FF2B5EF4-FFF2-40B4-BE49-F238E27FC236}">
                  <a16:creationId xmlns:a16="http://schemas.microsoft.com/office/drawing/2014/main" id="{74FFEC38-A657-4A51-9353-1AFFFC9BC817}"/>
                </a:ext>
              </a:extLst>
            </xdr:cNvPr>
            <xdr:cNvSpPr txBox="1"/>
          </xdr:nvSpPr>
          <xdr:spPr>
            <a:xfrm>
              <a:off x="38867405" y="5949617"/>
              <a:ext cx="1449669" cy="180000"/>
            </a:xfrm>
            <a:prstGeom prst="rect">
              <a:avLst/>
            </a:prstGeom>
            <a:noFill/>
            <a:ln w="254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a:t>SA</a:t>
              </a:r>
            </a:p>
          </xdr:txBody>
        </xdr:sp>
        <xdr:sp macro="" textlink="">
          <xdr:nvSpPr>
            <xdr:cNvPr id="159" name="TextBox 158">
              <a:extLst>
                <a:ext uri="{FF2B5EF4-FFF2-40B4-BE49-F238E27FC236}">
                  <a16:creationId xmlns:a16="http://schemas.microsoft.com/office/drawing/2014/main" id="{4B962AEB-AB28-48ED-B9CA-B0BD91143742}"/>
                </a:ext>
              </a:extLst>
            </xdr:cNvPr>
            <xdr:cNvSpPr txBox="1"/>
          </xdr:nvSpPr>
          <xdr:spPr>
            <a:xfrm>
              <a:off x="40318373" y="5949618"/>
              <a:ext cx="1446911" cy="180000"/>
            </a:xfrm>
            <a:prstGeom prst="rect">
              <a:avLst/>
            </a:prstGeom>
            <a:noFill/>
            <a:ln w="254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a:t>Vic</a:t>
              </a:r>
            </a:p>
          </xdr:txBody>
        </xdr:sp>
        <xdr:sp macro="" textlink="">
          <xdr:nvSpPr>
            <xdr:cNvPr id="160" name="TextBox 159">
              <a:extLst>
                <a:ext uri="{FF2B5EF4-FFF2-40B4-BE49-F238E27FC236}">
                  <a16:creationId xmlns:a16="http://schemas.microsoft.com/office/drawing/2014/main" id="{AE9E6180-0BE4-44F7-B3B8-D1B8E964917B}"/>
                </a:ext>
              </a:extLst>
            </xdr:cNvPr>
            <xdr:cNvSpPr txBox="1"/>
          </xdr:nvSpPr>
          <xdr:spPr>
            <a:xfrm>
              <a:off x="41765284" y="5949618"/>
              <a:ext cx="1447560" cy="180000"/>
            </a:xfrm>
            <a:prstGeom prst="rect">
              <a:avLst/>
            </a:prstGeom>
            <a:noFill/>
            <a:ln w="254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a:t>WA</a:t>
              </a:r>
            </a:p>
          </xdr:txBody>
        </xdr:sp>
      </xdr:grpSp>
    </xdr:grpSp>
    <xdr:clientData/>
  </xdr:twoCellAnchor>
  <xdr:twoCellAnchor>
    <xdr:from>
      <xdr:col>55</xdr:col>
      <xdr:colOff>452801</xdr:colOff>
      <xdr:row>8</xdr:row>
      <xdr:rowOff>37615</xdr:rowOff>
    </xdr:from>
    <xdr:to>
      <xdr:col>69</xdr:col>
      <xdr:colOff>261154</xdr:colOff>
      <xdr:row>19</xdr:row>
      <xdr:rowOff>30349</xdr:rowOff>
    </xdr:to>
    <xdr:grpSp>
      <xdr:nvGrpSpPr>
        <xdr:cNvPr id="161" name="Group 160">
          <a:extLst>
            <a:ext uri="{FF2B5EF4-FFF2-40B4-BE49-F238E27FC236}">
              <a16:creationId xmlns:a16="http://schemas.microsoft.com/office/drawing/2014/main" id="{8C83A1E0-F41C-4822-9F07-9E74B3A9E5CF}"/>
            </a:ext>
          </a:extLst>
        </xdr:cNvPr>
        <xdr:cNvGrpSpPr/>
      </xdr:nvGrpSpPr>
      <xdr:grpSpPr>
        <a:xfrm>
          <a:off x="38351095" y="1774527"/>
          <a:ext cx="8280000" cy="1752057"/>
          <a:chOff x="30162202" y="4040903"/>
          <a:chExt cx="8280000" cy="1752057"/>
        </a:xfrm>
      </xdr:grpSpPr>
      <xdr:graphicFrame macro="">
        <xdr:nvGraphicFramePr>
          <xdr:cNvPr id="162" name="Chart 161">
            <a:extLst>
              <a:ext uri="{FF2B5EF4-FFF2-40B4-BE49-F238E27FC236}">
                <a16:creationId xmlns:a16="http://schemas.microsoft.com/office/drawing/2014/main" id="{C60E8A89-D3F8-4657-9A24-76C460AB0E53}"/>
              </a:ext>
            </a:extLst>
          </xdr:cNvPr>
          <xdr:cNvGraphicFramePr>
            <a:graphicFrameLocks/>
          </xdr:cNvGraphicFramePr>
        </xdr:nvGraphicFramePr>
        <xdr:xfrm>
          <a:off x="30162202" y="4040903"/>
          <a:ext cx="8280000" cy="1752057"/>
        </xdr:xfrm>
        <a:graphic>
          <a:graphicData uri="http://schemas.openxmlformats.org/drawingml/2006/chart">
            <c:chart xmlns:c="http://schemas.openxmlformats.org/drawingml/2006/chart" xmlns:r="http://schemas.openxmlformats.org/officeDocument/2006/relationships" r:id="rId59"/>
          </a:graphicData>
        </a:graphic>
      </xdr:graphicFrame>
      <xdr:grpSp>
        <xdr:nvGrpSpPr>
          <xdr:cNvPr id="163" name="Group 162">
            <a:extLst>
              <a:ext uri="{FF2B5EF4-FFF2-40B4-BE49-F238E27FC236}">
                <a16:creationId xmlns:a16="http://schemas.microsoft.com/office/drawing/2014/main" id="{38F8193D-C828-4EC3-BCF3-503D31BCAE5D}"/>
              </a:ext>
            </a:extLst>
          </xdr:cNvPr>
          <xdr:cNvGrpSpPr/>
        </xdr:nvGrpSpPr>
        <xdr:grpSpPr>
          <a:xfrm>
            <a:off x="31075371" y="4580544"/>
            <a:ext cx="7248047" cy="291354"/>
            <a:chOff x="35961136" y="5970073"/>
            <a:chExt cx="7248047" cy="291354"/>
          </a:xfrm>
        </xdr:grpSpPr>
        <xdr:sp macro="" textlink="">
          <xdr:nvSpPr>
            <xdr:cNvPr id="164" name="TextBox 163">
              <a:extLst>
                <a:ext uri="{FF2B5EF4-FFF2-40B4-BE49-F238E27FC236}">
                  <a16:creationId xmlns:a16="http://schemas.microsoft.com/office/drawing/2014/main" id="{7981CF07-C955-4B7B-8391-808732F4A30C}"/>
                </a:ext>
              </a:extLst>
            </xdr:cNvPr>
            <xdr:cNvSpPr txBox="1"/>
          </xdr:nvSpPr>
          <xdr:spPr>
            <a:xfrm>
              <a:off x="35961136" y="5970073"/>
              <a:ext cx="2416739" cy="291353"/>
            </a:xfrm>
            <a:prstGeom prst="rect">
              <a:avLst/>
            </a:prstGeom>
            <a:noFill/>
            <a:ln w="254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a:t>ACT</a:t>
              </a:r>
            </a:p>
          </xdr:txBody>
        </xdr:sp>
        <xdr:sp macro="" textlink="">
          <xdr:nvSpPr>
            <xdr:cNvPr id="165" name="TextBox 164">
              <a:extLst>
                <a:ext uri="{FF2B5EF4-FFF2-40B4-BE49-F238E27FC236}">
                  <a16:creationId xmlns:a16="http://schemas.microsoft.com/office/drawing/2014/main" id="{0BFFCCF4-27D2-4AFE-9E6C-1060CF3C2286}"/>
                </a:ext>
              </a:extLst>
            </xdr:cNvPr>
            <xdr:cNvSpPr txBox="1"/>
          </xdr:nvSpPr>
          <xdr:spPr>
            <a:xfrm>
              <a:off x="38377876" y="5970074"/>
              <a:ext cx="2415864" cy="291353"/>
            </a:xfrm>
            <a:prstGeom prst="rect">
              <a:avLst/>
            </a:prstGeom>
            <a:noFill/>
            <a:ln w="254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a:t>NT</a:t>
              </a:r>
            </a:p>
          </xdr:txBody>
        </xdr:sp>
        <xdr:sp macro="" textlink="">
          <xdr:nvSpPr>
            <xdr:cNvPr id="166" name="TextBox 165">
              <a:extLst>
                <a:ext uri="{FF2B5EF4-FFF2-40B4-BE49-F238E27FC236}">
                  <a16:creationId xmlns:a16="http://schemas.microsoft.com/office/drawing/2014/main" id="{A0D49F08-11FC-4D88-813F-16215CE749F4}"/>
                </a:ext>
              </a:extLst>
            </xdr:cNvPr>
            <xdr:cNvSpPr txBox="1"/>
          </xdr:nvSpPr>
          <xdr:spPr>
            <a:xfrm>
              <a:off x="40793739" y="5970073"/>
              <a:ext cx="2415444" cy="291353"/>
            </a:xfrm>
            <a:prstGeom prst="rect">
              <a:avLst/>
            </a:prstGeom>
            <a:noFill/>
            <a:ln w="254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000"/>
                <a:t>Tas</a:t>
              </a:r>
            </a:p>
          </xdr:txBody>
        </xdr:sp>
      </xdr:grpSp>
    </xdr:grpSp>
    <xdr:clientData/>
  </xdr:twoCellAnchor>
  <xdr:twoCellAnchor editAs="oneCell">
    <xdr:from>
      <xdr:col>20</xdr:col>
      <xdr:colOff>259836</xdr:colOff>
      <xdr:row>308</xdr:row>
      <xdr:rowOff>78442</xdr:rowOff>
    </xdr:from>
    <xdr:to>
      <xdr:col>20</xdr:col>
      <xdr:colOff>689721</xdr:colOff>
      <xdr:row>310</xdr:row>
      <xdr:rowOff>11208</xdr:rowOff>
    </xdr:to>
    <xdr:sp macro="" textlink="">
      <xdr:nvSpPr>
        <xdr:cNvPr id="109" name="Rectangle 108">
          <a:extLst>
            <a:ext uri="{FF2B5EF4-FFF2-40B4-BE49-F238E27FC236}">
              <a16:creationId xmlns:a16="http://schemas.microsoft.com/office/drawing/2014/main" id="{00000000-0008-0000-1400-00006D000000}"/>
            </a:ext>
          </a:extLst>
        </xdr:cNvPr>
        <xdr:cNvSpPr/>
      </xdr:nvSpPr>
      <xdr:spPr>
        <a:xfrm>
          <a:off x="16149777" y="49854971"/>
          <a:ext cx="429885" cy="24653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28</xdr:col>
      <xdr:colOff>467847</xdr:colOff>
      <xdr:row>49</xdr:row>
      <xdr:rowOff>95949</xdr:rowOff>
    </xdr:from>
    <xdr:to>
      <xdr:col>42</xdr:col>
      <xdr:colOff>320768</xdr:colOff>
      <xdr:row>69</xdr:row>
      <xdr:rowOff>84043</xdr:rowOff>
    </xdr:to>
    <xdr:graphicFrame macro="">
      <xdr:nvGraphicFramePr>
        <xdr:cNvPr id="86" name="Chart 85">
          <a:extLst>
            <a:ext uri="{FF2B5EF4-FFF2-40B4-BE49-F238E27FC236}">
              <a16:creationId xmlns:a16="http://schemas.microsoft.com/office/drawing/2014/main" id="{336A39E4-552D-413D-8F4A-218ADF19F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editAs="oneCell">
    <xdr:from>
      <xdr:col>28</xdr:col>
      <xdr:colOff>633132</xdr:colOff>
      <xdr:row>57</xdr:row>
      <xdr:rowOff>140174</xdr:rowOff>
    </xdr:from>
    <xdr:to>
      <xdr:col>41</xdr:col>
      <xdr:colOff>342480</xdr:colOff>
      <xdr:row>68</xdr:row>
      <xdr:rowOff>143576</xdr:rowOff>
    </xdr:to>
    <xdr:graphicFrame macro="">
      <xdr:nvGraphicFramePr>
        <xdr:cNvPr id="87" name="Chart 86">
          <a:extLst>
            <a:ext uri="{FF2B5EF4-FFF2-40B4-BE49-F238E27FC236}">
              <a16:creationId xmlns:a16="http://schemas.microsoft.com/office/drawing/2014/main" id="{0CA61199-B8EC-4179-BA9D-08FB5CD9DB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editAs="oneCell">
    <xdr:from>
      <xdr:col>80</xdr:col>
      <xdr:colOff>380999</xdr:colOff>
      <xdr:row>4</xdr:row>
      <xdr:rowOff>95251</xdr:rowOff>
    </xdr:from>
    <xdr:to>
      <xdr:col>90</xdr:col>
      <xdr:colOff>227913</xdr:colOff>
      <xdr:row>24</xdr:row>
      <xdr:rowOff>35719</xdr:rowOff>
    </xdr:to>
    <xdr:graphicFrame macro="">
      <xdr:nvGraphicFramePr>
        <xdr:cNvPr id="88" name="Chart 87">
          <a:extLst>
            <a:ext uri="{FF2B5EF4-FFF2-40B4-BE49-F238E27FC236}">
              <a16:creationId xmlns:a16="http://schemas.microsoft.com/office/drawing/2014/main" id="{644D4EE0-A810-499B-AD8F-429042B08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80</xdr:col>
      <xdr:colOff>522472</xdr:colOff>
      <xdr:row>12</xdr:row>
      <xdr:rowOff>95417</xdr:rowOff>
    </xdr:from>
    <xdr:to>
      <xdr:col>90</xdr:col>
      <xdr:colOff>175090</xdr:colOff>
      <xdr:row>24</xdr:row>
      <xdr:rowOff>44973</xdr:rowOff>
    </xdr:to>
    <xdr:graphicFrame macro="">
      <xdr:nvGraphicFramePr>
        <xdr:cNvPr id="89" name="Chart 88">
          <a:extLst>
            <a:ext uri="{FF2B5EF4-FFF2-40B4-BE49-F238E27FC236}">
              <a16:creationId xmlns:a16="http://schemas.microsoft.com/office/drawing/2014/main" id="{C0659A8F-2C4A-4D37-8705-F022A39C0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90</xdr:col>
      <xdr:colOff>381001</xdr:colOff>
      <xdr:row>4</xdr:row>
      <xdr:rowOff>95250</xdr:rowOff>
    </xdr:from>
    <xdr:to>
      <xdr:col>100</xdr:col>
      <xdr:colOff>227913</xdr:colOff>
      <xdr:row>28</xdr:row>
      <xdr:rowOff>23812</xdr:rowOff>
    </xdr:to>
    <xdr:graphicFrame macro="">
      <xdr:nvGraphicFramePr>
        <xdr:cNvPr id="90" name="Chart 89">
          <a:extLst>
            <a:ext uri="{FF2B5EF4-FFF2-40B4-BE49-F238E27FC236}">
              <a16:creationId xmlns:a16="http://schemas.microsoft.com/office/drawing/2014/main" id="{12280C8A-6695-44CE-A0F3-6864FC320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editAs="oneCell">
    <xdr:from>
      <xdr:col>90</xdr:col>
      <xdr:colOff>465747</xdr:colOff>
      <xdr:row>14</xdr:row>
      <xdr:rowOff>90949</xdr:rowOff>
    </xdr:from>
    <xdr:to>
      <xdr:col>99</xdr:col>
      <xdr:colOff>452343</xdr:colOff>
      <xdr:row>26</xdr:row>
      <xdr:rowOff>42822</xdr:rowOff>
    </xdr:to>
    <xdr:graphicFrame macro="">
      <xdr:nvGraphicFramePr>
        <xdr:cNvPr id="91" name="Chart 90">
          <a:extLst>
            <a:ext uri="{FF2B5EF4-FFF2-40B4-BE49-F238E27FC236}">
              <a16:creationId xmlns:a16="http://schemas.microsoft.com/office/drawing/2014/main" id="{2B41682E-CAB8-40A4-8323-F62838384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editAs="oneCell">
    <xdr:from>
      <xdr:col>53</xdr:col>
      <xdr:colOff>56029</xdr:colOff>
      <xdr:row>49</xdr:row>
      <xdr:rowOff>100852</xdr:rowOff>
    </xdr:from>
    <xdr:to>
      <xdr:col>62</xdr:col>
      <xdr:colOff>529770</xdr:colOff>
      <xdr:row>67</xdr:row>
      <xdr:rowOff>72939</xdr:rowOff>
    </xdr:to>
    <xdr:graphicFrame macro="">
      <xdr:nvGraphicFramePr>
        <xdr:cNvPr id="92" name="Chart 91">
          <a:extLst>
            <a:ext uri="{FF2B5EF4-FFF2-40B4-BE49-F238E27FC236}">
              <a16:creationId xmlns:a16="http://schemas.microsoft.com/office/drawing/2014/main" id="{2333B319-5A33-4682-A11D-4987B5C63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editAs="oneCell">
    <xdr:from>
      <xdr:col>53</xdr:col>
      <xdr:colOff>302560</xdr:colOff>
      <xdr:row>57</xdr:row>
      <xdr:rowOff>73537</xdr:rowOff>
    </xdr:from>
    <xdr:to>
      <xdr:col>61</xdr:col>
      <xdr:colOff>593213</xdr:colOff>
      <xdr:row>67</xdr:row>
      <xdr:rowOff>51126</xdr:rowOff>
    </xdr:to>
    <xdr:graphicFrame macro="">
      <xdr:nvGraphicFramePr>
        <xdr:cNvPr id="93" name="Chart 92">
          <a:extLst>
            <a:ext uri="{FF2B5EF4-FFF2-40B4-BE49-F238E27FC236}">
              <a16:creationId xmlns:a16="http://schemas.microsoft.com/office/drawing/2014/main" id="{3EED9211-CAF4-4C43-97A7-114F6C7B1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8</xdr:col>
      <xdr:colOff>834277</xdr:colOff>
      <xdr:row>153</xdr:row>
      <xdr:rowOff>156882</xdr:rowOff>
    </xdr:from>
    <xdr:to>
      <xdr:col>18</xdr:col>
      <xdr:colOff>429718</xdr:colOff>
      <xdr:row>177</xdr:row>
      <xdr:rowOff>44824</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571500</xdr:colOff>
      <xdr:row>50</xdr:row>
      <xdr:rowOff>33617</xdr:rowOff>
    </xdr:from>
    <xdr:to>
      <xdr:col>6</xdr:col>
      <xdr:colOff>595606</xdr:colOff>
      <xdr:row>70</xdr:row>
      <xdr:rowOff>114265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717176</xdr:colOff>
      <xdr:row>60</xdr:row>
      <xdr:rowOff>100853</xdr:rowOff>
    </xdr:from>
    <xdr:to>
      <xdr:col>6</xdr:col>
      <xdr:colOff>582882</xdr:colOff>
      <xdr:row>70</xdr:row>
      <xdr:rowOff>67237</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347383</xdr:colOff>
      <xdr:row>339</xdr:row>
      <xdr:rowOff>100853</xdr:rowOff>
    </xdr:from>
    <xdr:to>
      <xdr:col>16</xdr:col>
      <xdr:colOff>329328</xdr:colOff>
      <xdr:row>342</xdr:row>
      <xdr:rowOff>78442</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11934265" y="56141471"/>
          <a:ext cx="2402416" cy="448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Note: based on WGRRA</a:t>
          </a:r>
          <a:r>
            <a:rPr lang="en-AU" sz="1100" baseline="0"/>
            <a:t> percentages but excluding biosolids</a:t>
          </a:r>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473</xdr:row>
      <xdr:rowOff>0</xdr:rowOff>
    </xdr:from>
    <xdr:to>
      <xdr:col>7</xdr:col>
      <xdr:colOff>9525</xdr:colOff>
      <xdr:row>473</xdr:row>
      <xdr:rowOff>9525</xdr:rowOff>
    </xdr:to>
    <xdr:pic>
      <xdr:nvPicPr>
        <xdr:cNvPr id="2" name="Picture 1" descr="http://www.abs.gov.au/icons/ecblank.gif">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3" name="Picture 2" descr="http://www.abs.gov.au/icons/ecblank.gif">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4" name="Picture 3" descr="http://www.abs.gov.au/icons/ecblank.gif">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5" name="Picture 4" descr="http://www.abs.gov.au/icons/ecblank.gif">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6" name="Picture 5" descr="http://www.abs.gov.au/icons/ecblank.gif">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7" name="Picture 6" descr="http://www.abs.gov.au/icons/ecblank.gif">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8" name="Picture 7" descr="http://www.abs.gov.au/icons/ecblank.gif">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9" name="Picture 8" descr="http://www.abs.gov.au/icons/ecblank.gif">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0" name="Picture 9" descr="http://www.abs.gov.au/icons/ecblank.gif">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1" name="Picture 10" descr="http://www.abs.gov.au/icons/ecblank.gif">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12" name="Picture 11" descr="http://www.abs.gov.au/icons/ecblank.gif">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13" name="Picture 12" descr="http://www.abs.gov.au/icons/ecblank.gif">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4" name="Picture 13" descr="http://www.abs.gov.au/icons/ecblank.gif">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5" name="Picture 14" descr="http://www.abs.gov.au/icons/ecblank.gif">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6" name="Picture 15" descr="http://www.abs.gov.au/icons/ecblank.gif">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7" name="Picture 16" descr="http://www.abs.gov.au/icons/ecblank.gif">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8" name="Picture 17" descr="http://www.abs.gov.au/icons/ecblank.gif">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9" name="Picture 18" descr="http://www.abs.gov.au/icons/ecblank.gif">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20" name="Picture 19" descr="http://www.abs.gov.au/icons/ecblank.gif">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21" name="Picture 20" descr="http://www.abs.gov.au/icons/ecblank.gif">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22" name="Picture 21" descr="http://www.abs.gov.au/icons/ecblank.gif">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23" name="Picture 22" descr="http://www.abs.gov.au/icons/ecblank.gif">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24" name="Picture 23" descr="http://www.abs.gov.au/icons/ecblank.gif">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25" name="Picture 24" descr="http://www.abs.gov.au/icons/ecblank.gif">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26" name="Picture 25" descr="http://www.abs.gov.au/icons/ecblank.gif">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27" name="Picture 26" descr="http://www.abs.gov.au/icons/ecblank.gif">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28" name="Picture 27" descr="http://www.abs.gov.au/icons/ecblank.gif">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29" name="Picture 28" descr="http://www.abs.gov.au/icons/ecblank.gif">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30" name="Picture 29" descr="http://www.abs.gov.au/icons/ecblank.gif">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31" name="Picture 30" descr="http://www.abs.gov.au/icons/ecblank.gif">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32" name="Picture 31" descr="http://www.abs.gov.au/icons/ecblank.gif">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33" name="Picture 32" descr="http://www.abs.gov.au/icons/ecblank.gif">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34" name="Picture 33" descr="http://www.abs.gov.au/icons/ecblank.gif">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35" name="Picture 34" descr="http://www.abs.gov.au/icons/ecblank.gif">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36" name="Picture 35" descr="http://www.abs.gov.au/icons/ecblank.gif">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37" name="Picture 36" descr="http://www.abs.gov.au/icons/ecblank.gif">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38" name="Picture 37" descr="http://www.abs.gov.au/icons/ecblank.gif">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39" name="Picture 38" descr="http://www.abs.gov.au/icons/ecblank.gif">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40" name="Picture 39" descr="http://www.abs.gov.au/icons/ecblank.gif">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41" name="Picture 40" descr="http://www.abs.gov.au/icons/ecblank.gif">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42" name="Picture 41" descr="http://www.abs.gov.au/icons/ecblank.gif">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43" name="Picture 42" descr="http://www.abs.gov.au/icons/ecblank.gif">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44" name="Picture 43" descr="http://www.abs.gov.au/icons/ecblank.gif">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45" name="Picture 44" descr="http://www.abs.gov.au/icons/ecblank.gif">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46" name="Picture 45" descr="http://www.abs.gov.au/icons/ecblank.gif">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47" name="Picture 46" descr="http://www.abs.gov.au/icons/ecblank.gif">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48" name="Picture 47" descr="http://www.abs.gov.au/icons/ecblank.gif">
          <a:extLst>
            <a:ext uri="{FF2B5EF4-FFF2-40B4-BE49-F238E27FC236}">
              <a16:creationId xmlns:a16="http://schemas.microsoft.com/office/drawing/2014/main" id="{00000000-0008-0000-0B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49" name="Picture 48" descr="http://www.abs.gov.au/icons/ecblank.gif">
          <a:extLst>
            <a:ext uri="{FF2B5EF4-FFF2-40B4-BE49-F238E27FC236}">
              <a16:creationId xmlns:a16="http://schemas.microsoft.com/office/drawing/2014/main" id="{00000000-0008-0000-0B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50" name="Picture 49" descr="http://www.abs.gov.au/icons/ecblank.gif">
          <a:extLst>
            <a:ext uri="{FF2B5EF4-FFF2-40B4-BE49-F238E27FC236}">
              <a16:creationId xmlns:a16="http://schemas.microsoft.com/office/drawing/2014/main" id="{00000000-0008-0000-0B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51" name="Picture 50" descr="http://www.abs.gov.au/icons/ecblank.gif">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52" name="Picture 51" descr="http://www.abs.gov.au/icons/ecblank.gif">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53" name="Picture 52" descr="http://www.abs.gov.au/icons/ecblank.gif">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54" name="Picture 53" descr="http://www.abs.gov.au/icons/ecblank.gif">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55" name="Picture 54" descr="http://www.abs.gov.au/icons/ecblank.gif">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56" name="Picture 55" descr="http://www.abs.gov.au/icons/ecblank.gif">
          <a:extLst>
            <a:ext uri="{FF2B5EF4-FFF2-40B4-BE49-F238E27FC236}">
              <a16:creationId xmlns:a16="http://schemas.microsoft.com/office/drawing/2014/main" id="{00000000-0008-0000-0B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57" name="Picture 56" descr="http://www.abs.gov.au/icons/ecblank.gif">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58" name="Picture 57" descr="http://www.abs.gov.au/icons/ecblank.gif">
          <a:extLst>
            <a:ext uri="{FF2B5EF4-FFF2-40B4-BE49-F238E27FC236}">
              <a16:creationId xmlns:a16="http://schemas.microsoft.com/office/drawing/2014/main" id="{00000000-0008-0000-0B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59" name="Picture 58" descr="http://www.abs.gov.au/icons/ecblank.gif">
          <a:extLst>
            <a:ext uri="{FF2B5EF4-FFF2-40B4-BE49-F238E27FC236}">
              <a16:creationId xmlns:a16="http://schemas.microsoft.com/office/drawing/2014/main" id="{00000000-0008-0000-0B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60" name="Picture 59" descr="http://www.abs.gov.au/icons/ecblank.gif">
          <a:extLst>
            <a:ext uri="{FF2B5EF4-FFF2-40B4-BE49-F238E27FC236}">
              <a16:creationId xmlns:a16="http://schemas.microsoft.com/office/drawing/2014/main" id="{00000000-0008-0000-0B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61" name="Picture 60" descr="http://www.abs.gov.au/icons/ecblank.gif">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62" name="Picture 61" descr="http://www.abs.gov.au/icons/ecblank.gif">
          <a:extLst>
            <a:ext uri="{FF2B5EF4-FFF2-40B4-BE49-F238E27FC236}">
              <a16:creationId xmlns:a16="http://schemas.microsoft.com/office/drawing/2014/main" id="{00000000-0008-0000-0B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63" name="Picture 62" descr="http://www.abs.gov.au/icons/ecblank.gif">
          <a:extLst>
            <a:ext uri="{FF2B5EF4-FFF2-40B4-BE49-F238E27FC236}">
              <a16:creationId xmlns:a16="http://schemas.microsoft.com/office/drawing/2014/main" id="{00000000-0008-0000-0B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64" name="Picture 63" descr="http://www.abs.gov.au/icons/ecblank.gif">
          <a:extLst>
            <a:ext uri="{FF2B5EF4-FFF2-40B4-BE49-F238E27FC236}">
              <a16:creationId xmlns:a16="http://schemas.microsoft.com/office/drawing/2014/main" id="{00000000-0008-0000-0B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65" name="Picture 64" descr="http://www.abs.gov.au/icons/ecblank.gif">
          <a:extLst>
            <a:ext uri="{FF2B5EF4-FFF2-40B4-BE49-F238E27FC236}">
              <a16:creationId xmlns:a16="http://schemas.microsoft.com/office/drawing/2014/main" id="{00000000-0008-0000-0B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66" name="Picture 65" descr="http://www.abs.gov.au/icons/ecblank.gif">
          <a:extLst>
            <a:ext uri="{FF2B5EF4-FFF2-40B4-BE49-F238E27FC236}">
              <a16:creationId xmlns:a16="http://schemas.microsoft.com/office/drawing/2014/main" id="{00000000-0008-0000-0B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67" name="Picture 66" descr="http://www.abs.gov.au/icons/ecblank.gif">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68" name="Picture 67" descr="http://www.abs.gov.au/icons/ecblank.gif">
          <a:extLst>
            <a:ext uri="{FF2B5EF4-FFF2-40B4-BE49-F238E27FC236}">
              <a16:creationId xmlns:a16="http://schemas.microsoft.com/office/drawing/2014/main" id="{00000000-0008-0000-0B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69" name="Picture 68" descr="http://www.abs.gov.au/icons/ecblank.gif">
          <a:extLst>
            <a:ext uri="{FF2B5EF4-FFF2-40B4-BE49-F238E27FC236}">
              <a16:creationId xmlns:a16="http://schemas.microsoft.com/office/drawing/2014/main" id="{00000000-0008-0000-0B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70" name="Picture 69" descr="http://www.abs.gov.au/icons/ecblank.gif">
          <a:extLst>
            <a:ext uri="{FF2B5EF4-FFF2-40B4-BE49-F238E27FC236}">
              <a16:creationId xmlns:a16="http://schemas.microsoft.com/office/drawing/2014/main" id="{00000000-0008-0000-0B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71" name="Picture 70" descr="http://www.abs.gov.au/icons/ecblank.gif">
          <a:extLst>
            <a:ext uri="{FF2B5EF4-FFF2-40B4-BE49-F238E27FC236}">
              <a16:creationId xmlns:a16="http://schemas.microsoft.com/office/drawing/2014/main" id="{00000000-0008-0000-0B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72" name="Picture 71" descr="http://www.abs.gov.au/icons/ecblank.gif">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73" name="Picture 72" descr="http://www.abs.gov.au/icons/ecblank.gif">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74" name="Picture 73" descr="http://www.abs.gov.au/icons/ecblank.gif">
          <a:extLst>
            <a:ext uri="{FF2B5EF4-FFF2-40B4-BE49-F238E27FC236}">
              <a16:creationId xmlns:a16="http://schemas.microsoft.com/office/drawing/2014/main" id="{00000000-0008-0000-0B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75" name="Picture 74" descr="http://www.abs.gov.au/icons/ecblank.gif">
          <a:extLst>
            <a:ext uri="{FF2B5EF4-FFF2-40B4-BE49-F238E27FC236}">
              <a16:creationId xmlns:a16="http://schemas.microsoft.com/office/drawing/2014/main" id="{00000000-0008-0000-0B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76" name="Picture 75" descr="http://www.abs.gov.au/icons/ecblank.gif">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77" name="Picture 76" descr="http://www.abs.gov.au/icons/ecblank.gif">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78" name="Picture 77" descr="http://www.abs.gov.au/icons/ecblank.gif">
          <a:extLst>
            <a:ext uri="{FF2B5EF4-FFF2-40B4-BE49-F238E27FC236}">
              <a16:creationId xmlns:a16="http://schemas.microsoft.com/office/drawing/2014/main" id="{00000000-0008-0000-0B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79" name="Picture 78" descr="http://www.abs.gov.au/icons/ecblank.gif">
          <a:extLst>
            <a:ext uri="{FF2B5EF4-FFF2-40B4-BE49-F238E27FC236}">
              <a16:creationId xmlns:a16="http://schemas.microsoft.com/office/drawing/2014/main" id="{00000000-0008-0000-0B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80" name="Picture 79" descr="http://www.abs.gov.au/icons/ecblank.gif">
          <a:extLst>
            <a:ext uri="{FF2B5EF4-FFF2-40B4-BE49-F238E27FC236}">
              <a16:creationId xmlns:a16="http://schemas.microsoft.com/office/drawing/2014/main" id="{00000000-0008-0000-0B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81" name="Picture 80" descr="http://www.abs.gov.au/icons/ecblank.gif">
          <a:extLst>
            <a:ext uri="{FF2B5EF4-FFF2-40B4-BE49-F238E27FC236}">
              <a16:creationId xmlns:a16="http://schemas.microsoft.com/office/drawing/2014/main" id="{00000000-0008-0000-0B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82" name="Picture 81" descr="http://www.abs.gov.au/icons/ecblank.gif">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83" name="Picture 82" descr="http://www.abs.gov.au/icons/ecblank.gif">
          <a:extLst>
            <a:ext uri="{FF2B5EF4-FFF2-40B4-BE49-F238E27FC236}">
              <a16:creationId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84" name="Picture 83" descr="http://www.abs.gov.au/icons/ecblank.gif">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85" name="Picture 84" descr="http://www.abs.gov.au/icons/ecblank.gif">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86" name="Picture 85" descr="http://www.abs.gov.au/icons/ecblank.gif">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87" name="Picture 86" descr="http://www.abs.gov.au/icons/ecblank.gif">
          <a:extLst>
            <a:ext uri="{FF2B5EF4-FFF2-40B4-BE49-F238E27FC236}">
              <a16:creationId xmlns:a16="http://schemas.microsoft.com/office/drawing/2014/main" id="{00000000-0008-0000-0B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88" name="Picture 87" descr="http://www.abs.gov.au/icons/ecblank.gif">
          <a:extLst>
            <a:ext uri="{FF2B5EF4-FFF2-40B4-BE49-F238E27FC236}">
              <a16:creationId xmlns:a16="http://schemas.microsoft.com/office/drawing/2014/main" id="{00000000-0008-0000-0B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89" name="Picture 88" descr="http://www.abs.gov.au/icons/ecblank.gif">
          <a:extLst>
            <a:ext uri="{FF2B5EF4-FFF2-40B4-BE49-F238E27FC236}">
              <a16:creationId xmlns:a16="http://schemas.microsoft.com/office/drawing/2014/main" id="{00000000-0008-0000-0B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90" name="Picture 89" descr="http://www.abs.gov.au/icons/ecblank.gif">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91" name="Picture 90" descr="http://www.abs.gov.au/icons/ecblank.gif">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92" name="Picture 91" descr="http://www.abs.gov.au/icons/ecblank.gif">
          <a:extLst>
            <a:ext uri="{FF2B5EF4-FFF2-40B4-BE49-F238E27FC236}">
              <a16:creationId xmlns:a16="http://schemas.microsoft.com/office/drawing/2014/main" id="{00000000-0008-0000-0B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93" name="Picture 92" descr="http://www.abs.gov.au/icons/ecblank.gif">
          <a:extLst>
            <a:ext uri="{FF2B5EF4-FFF2-40B4-BE49-F238E27FC236}">
              <a16:creationId xmlns:a16="http://schemas.microsoft.com/office/drawing/2014/main" id="{00000000-0008-0000-0B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94" name="Picture 93" descr="http://www.abs.gov.au/icons/ecblank.gif">
          <a:extLst>
            <a:ext uri="{FF2B5EF4-FFF2-40B4-BE49-F238E27FC236}">
              <a16:creationId xmlns:a16="http://schemas.microsoft.com/office/drawing/2014/main" id="{00000000-0008-0000-0B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95" name="Picture 94" descr="http://www.abs.gov.au/icons/ecblank.gif">
          <a:extLst>
            <a:ext uri="{FF2B5EF4-FFF2-40B4-BE49-F238E27FC236}">
              <a16:creationId xmlns:a16="http://schemas.microsoft.com/office/drawing/2014/main" id="{00000000-0008-0000-0B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96" name="Picture 95" descr="http://www.abs.gov.au/icons/ecblank.gif">
          <a:extLst>
            <a:ext uri="{FF2B5EF4-FFF2-40B4-BE49-F238E27FC236}">
              <a16:creationId xmlns:a16="http://schemas.microsoft.com/office/drawing/2014/main" id="{00000000-0008-0000-0B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97" name="Picture 96" descr="http://www.abs.gov.au/icons/ecblank.gif">
          <a:extLst>
            <a:ext uri="{FF2B5EF4-FFF2-40B4-BE49-F238E27FC236}">
              <a16:creationId xmlns:a16="http://schemas.microsoft.com/office/drawing/2014/main" id="{00000000-0008-0000-0B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98" name="Picture 97" descr="http://www.abs.gov.au/icons/ecblank.gif">
          <a:extLst>
            <a:ext uri="{FF2B5EF4-FFF2-40B4-BE49-F238E27FC236}">
              <a16:creationId xmlns:a16="http://schemas.microsoft.com/office/drawing/2014/main" id="{00000000-0008-0000-0B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99" name="Picture 98" descr="http://www.abs.gov.au/icons/ecblank.gif">
          <a:extLst>
            <a:ext uri="{FF2B5EF4-FFF2-40B4-BE49-F238E27FC236}">
              <a16:creationId xmlns:a16="http://schemas.microsoft.com/office/drawing/2014/main" id="{00000000-0008-0000-0B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00" name="Picture 99" descr="http://www.abs.gov.au/icons/ecblank.gif">
          <a:extLst>
            <a:ext uri="{FF2B5EF4-FFF2-40B4-BE49-F238E27FC236}">
              <a16:creationId xmlns:a16="http://schemas.microsoft.com/office/drawing/2014/main" id="{00000000-0008-0000-0B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01" name="Picture 100" descr="http://www.abs.gov.au/icons/ecblank.gif">
          <a:extLst>
            <a:ext uri="{FF2B5EF4-FFF2-40B4-BE49-F238E27FC236}">
              <a16:creationId xmlns:a16="http://schemas.microsoft.com/office/drawing/2014/main" id="{00000000-0008-0000-0B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02" name="Picture 101" descr="http://www.abs.gov.au/icons/ecblank.gif">
          <a:extLst>
            <a:ext uri="{FF2B5EF4-FFF2-40B4-BE49-F238E27FC236}">
              <a16:creationId xmlns:a16="http://schemas.microsoft.com/office/drawing/2014/main" id="{00000000-0008-0000-0B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03" name="Picture 102" descr="http://www.abs.gov.au/icons/ecblank.gif">
          <a:extLst>
            <a:ext uri="{FF2B5EF4-FFF2-40B4-BE49-F238E27FC236}">
              <a16:creationId xmlns:a16="http://schemas.microsoft.com/office/drawing/2014/main" id="{00000000-0008-0000-0B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104" name="Picture 103" descr="http://www.abs.gov.au/icons/ecblank.gif">
          <a:extLst>
            <a:ext uri="{FF2B5EF4-FFF2-40B4-BE49-F238E27FC236}">
              <a16:creationId xmlns:a16="http://schemas.microsoft.com/office/drawing/2014/main" id="{00000000-0008-0000-0B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105" name="Picture 104" descr="http://www.abs.gov.au/icons/ecblank.gif">
          <a:extLst>
            <a:ext uri="{FF2B5EF4-FFF2-40B4-BE49-F238E27FC236}">
              <a16:creationId xmlns:a16="http://schemas.microsoft.com/office/drawing/2014/main" id="{00000000-0008-0000-0B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06" name="Picture 105" descr="http://www.abs.gov.au/icons/ecblank.gif">
          <a:extLst>
            <a:ext uri="{FF2B5EF4-FFF2-40B4-BE49-F238E27FC236}">
              <a16:creationId xmlns:a16="http://schemas.microsoft.com/office/drawing/2014/main" id="{00000000-0008-0000-0B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07" name="Picture 106" descr="http://www.abs.gov.au/icons/ecblank.gif">
          <a:extLst>
            <a:ext uri="{FF2B5EF4-FFF2-40B4-BE49-F238E27FC236}">
              <a16:creationId xmlns:a16="http://schemas.microsoft.com/office/drawing/2014/main" id="{00000000-0008-0000-0B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08" name="Picture 107" descr="http://www.abs.gov.au/icons/ecblank.gif">
          <a:extLst>
            <a:ext uri="{FF2B5EF4-FFF2-40B4-BE49-F238E27FC236}">
              <a16:creationId xmlns:a16="http://schemas.microsoft.com/office/drawing/2014/main" id="{00000000-0008-0000-0B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09" name="Picture 108" descr="http://www.abs.gov.au/icons/ecblank.gif">
          <a:extLst>
            <a:ext uri="{FF2B5EF4-FFF2-40B4-BE49-F238E27FC236}">
              <a16:creationId xmlns:a16="http://schemas.microsoft.com/office/drawing/2014/main" id="{00000000-0008-0000-0B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10" name="Picture 109" descr="http://www.abs.gov.au/icons/ecblank.gif">
          <a:extLst>
            <a:ext uri="{FF2B5EF4-FFF2-40B4-BE49-F238E27FC236}">
              <a16:creationId xmlns:a16="http://schemas.microsoft.com/office/drawing/2014/main" id="{00000000-0008-0000-0B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11" name="Picture 110" descr="http://www.abs.gov.au/icons/ecblank.gif">
          <a:extLst>
            <a:ext uri="{FF2B5EF4-FFF2-40B4-BE49-F238E27FC236}">
              <a16:creationId xmlns:a16="http://schemas.microsoft.com/office/drawing/2014/main" id="{00000000-0008-0000-0B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12" name="Picture 111" descr="http://www.abs.gov.au/icons/ecblank.gif">
          <a:extLst>
            <a:ext uri="{FF2B5EF4-FFF2-40B4-BE49-F238E27FC236}">
              <a16:creationId xmlns:a16="http://schemas.microsoft.com/office/drawing/2014/main" id="{00000000-0008-0000-0B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13" name="Picture 112" descr="http://www.abs.gov.au/icons/ecblank.gif">
          <a:extLst>
            <a:ext uri="{FF2B5EF4-FFF2-40B4-BE49-F238E27FC236}">
              <a16:creationId xmlns:a16="http://schemas.microsoft.com/office/drawing/2014/main" id="{00000000-0008-0000-0B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114" name="Picture 113" descr="http://www.abs.gov.au/icons/ecblank.gif">
          <a:extLst>
            <a:ext uri="{FF2B5EF4-FFF2-40B4-BE49-F238E27FC236}">
              <a16:creationId xmlns:a16="http://schemas.microsoft.com/office/drawing/2014/main" id="{00000000-0008-0000-0B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115" name="Picture 114" descr="http://www.abs.gov.au/icons/ecblank.gif">
          <a:extLst>
            <a:ext uri="{FF2B5EF4-FFF2-40B4-BE49-F238E27FC236}">
              <a16:creationId xmlns:a16="http://schemas.microsoft.com/office/drawing/2014/main" id="{00000000-0008-0000-0B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16" name="Picture 115" descr="http://www.abs.gov.au/icons/ecblank.gif">
          <a:extLst>
            <a:ext uri="{FF2B5EF4-FFF2-40B4-BE49-F238E27FC236}">
              <a16:creationId xmlns:a16="http://schemas.microsoft.com/office/drawing/2014/main" id="{00000000-0008-0000-0B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17" name="Picture 116" descr="http://www.abs.gov.au/icons/ecblank.gif">
          <a:extLst>
            <a:ext uri="{FF2B5EF4-FFF2-40B4-BE49-F238E27FC236}">
              <a16:creationId xmlns:a16="http://schemas.microsoft.com/office/drawing/2014/main" id="{00000000-0008-0000-0B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18" name="Picture 117" descr="http://www.abs.gov.au/icons/ecblank.gif">
          <a:extLst>
            <a:ext uri="{FF2B5EF4-FFF2-40B4-BE49-F238E27FC236}">
              <a16:creationId xmlns:a16="http://schemas.microsoft.com/office/drawing/2014/main" id="{00000000-0008-0000-0B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19" name="Picture 118" descr="http://www.abs.gov.au/icons/ecblank.gif">
          <a:extLst>
            <a:ext uri="{FF2B5EF4-FFF2-40B4-BE49-F238E27FC236}">
              <a16:creationId xmlns:a16="http://schemas.microsoft.com/office/drawing/2014/main" id="{00000000-0008-0000-0B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20" name="Picture 119" descr="http://www.abs.gov.au/icons/ecblank.gif">
          <a:extLst>
            <a:ext uri="{FF2B5EF4-FFF2-40B4-BE49-F238E27FC236}">
              <a16:creationId xmlns:a16="http://schemas.microsoft.com/office/drawing/2014/main" id="{00000000-0008-0000-0B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21" name="Picture 120" descr="http://www.abs.gov.au/icons/ecblank.gif">
          <a:extLst>
            <a:ext uri="{FF2B5EF4-FFF2-40B4-BE49-F238E27FC236}">
              <a16:creationId xmlns:a16="http://schemas.microsoft.com/office/drawing/2014/main" id="{00000000-0008-0000-0B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22" name="Picture 121" descr="http://www.abs.gov.au/icons/ecblank.gif">
          <a:extLst>
            <a:ext uri="{FF2B5EF4-FFF2-40B4-BE49-F238E27FC236}">
              <a16:creationId xmlns:a16="http://schemas.microsoft.com/office/drawing/2014/main" id="{00000000-0008-0000-0B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23" name="Picture 122" descr="http://www.abs.gov.au/icons/ecblank.gif">
          <a:extLst>
            <a:ext uri="{FF2B5EF4-FFF2-40B4-BE49-F238E27FC236}">
              <a16:creationId xmlns:a16="http://schemas.microsoft.com/office/drawing/2014/main" id="{00000000-0008-0000-0B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124" name="Picture 123" descr="http://www.abs.gov.au/icons/ecblank.gif">
          <a:extLst>
            <a:ext uri="{FF2B5EF4-FFF2-40B4-BE49-F238E27FC236}">
              <a16:creationId xmlns:a16="http://schemas.microsoft.com/office/drawing/2014/main" id="{00000000-0008-0000-0B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125" name="Picture 124" descr="http://www.abs.gov.au/icons/ecblank.gif">
          <a:extLst>
            <a:ext uri="{FF2B5EF4-FFF2-40B4-BE49-F238E27FC236}">
              <a16:creationId xmlns:a16="http://schemas.microsoft.com/office/drawing/2014/main" id="{00000000-0008-0000-0B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26" name="Picture 125" descr="http://www.abs.gov.au/icons/ecblank.gif">
          <a:extLst>
            <a:ext uri="{FF2B5EF4-FFF2-40B4-BE49-F238E27FC236}">
              <a16:creationId xmlns:a16="http://schemas.microsoft.com/office/drawing/2014/main" id="{00000000-0008-0000-0B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27" name="Picture 126" descr="http://www.abs.gov.au/icons/ecblank.gif">
          <a:extLst>
            <a:ext uri="{FF2B5EF4-FFF2-40B4-BE49-F238E27FC236}">
              <a16:creationId xmlns:a16="http://schemas.microsoft.com/office/drawing/2014/main" id="{00000000-0008-0000-0B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28" name="Picture 127" descr="http://www.abs.gov.au/icons/ecblank.gif">
          <a:extLst>
            <a:ext uri="{FF2B5EF4-FFF2-40B4-BE49-F238E27FC236}">
              <a16:creationId xmlns:a16="http://schemas.microsoft.com/office/drawing/2014/main" id="{00000000-0008-0000-0B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29" name="Picture 128" descr="http://www.abs.gov.au/icons/ecblank.gif">
          <a:extLst>
            <a:ext uri="{FF2B5EF4-FFF2-40B4-BE49-F238E27FC236}">
              <a16:creationId xmlns:a16="http://schemas.microsoft.com/office/drawing/2014/main" id="{00000000-0008-0000-0B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30" name="Picture 129" descr="http://www.abs.gov.au/icons/ecblank.gif">
          <a:extLst>
            <a:ext uri="{FF2B5EF4-FFF2-40B4-BE49-F238E27FC236}">
              <a16:creationId xmlns:a16="http://schemas.microsoft.com/office/drawing/2014/main" id="{00000000-0008-0000-0B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31" name="Picture 130" descr="http://www.abs.gov.au/icons/ecblank.gif">
          <a:extLst>
            <a:ext uri="{FF2B5EF4-FFF2-40B4-BE49-F238E27FC236}">
              <a16:creationId xmlns:a16="http://schemas.microsoft.com/office/drawing/2014/main" id="{00000000-0008-0000-0B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32" name="Picture 131" descr="http://www.abs.gov.au/icons/ecblank.gif">
          <a:extLst>
            <a:ext uri="{FF2B5EF4-FFF2-40B4-BE49-F238E27FC236}">
              <a16:creationId xmlns:a16="http://schemas.microsoft.com/office/drawing/2014/main" id="{00000000-0008-0000-0B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33" name="Picture 132" descr="http://www.abs.gov.au/icons/ecblank.gif">
          <a:extLst>
            <a:ext uri="{FF2B5EF4-FFF2-40B4-BE49-F238E27FC236}">
              <a16:creationId xmlns:a16="http://schemas.microsoft.com/office/drawing/2014/main" id="{00000000-0008-0000-0B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134" name="Picture 133" descr="http://www.abs.gov.au/icons/ecblank.gif">
          <a:extLst>
            <a:ext uri="{FF2B5EF4-FFF2-40B4-BE49-F238E27FC236}">
              <a16:creationId xmlns:a16="http://schemas.microsoft.com/office/drawing/2014/main" id="{00000000-0008-0000-0B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135" name="Picture 134" descr="http://www.abs.gov.au/icons/ecblank.gif">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36" name="Picture 135" descr="http://www.abs.gov.au/icons/ecblank.gif">
          <a:extLst>
            <a:ext uri="{FF2B5EF4-FFF2-40B4-BE49-F238E27FC236}">
              <a16:creationId xmlns:a16="http://schemas.microsoft.com/office/drawing/2014/main" id="{00000000-0008-0000-0B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37" name="Picture 136" descr="http://www.abs.gov.au/icons/ecblank.gif">
          <a:extLst>
            <a:ext uri="{FF2B5EF4-FFF2-40B4-BE49-F238E27FC236}">
              <a16:creationId xmlns:a16="http://schemas.microsoft.com/office/drawing/2014/main" id="{00000000-0008-0000-0B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38" name="Picture 137" descr="http://www.abs.gov.au/icons/ecblank.gif">
          <a:extLst>
            <a:ext uri="{FF2B5EF4-FFF2-40B4-BE49-F238E27FC236}">
              <a16:creationId xmlns:a16="http://schemas.microsoft.com/office/drawing/2014/main" id="{00000000-0008-0000-0B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39" name="Picture 138" descr="http://www.abs.gov.au/icons/ecblank.gif">
          <a:extLst>
            <a:ext uri="{FF2B5EF4-FFF2-40B4-BE49-F238E27FC236}">
              <a16:creationId xmlns:a16="http://schemas.microsoft.com/office/drawing/2014/main" id="{00000000-0008-0000-0B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40" name="Picture 139" descr="http://www.abs.gov.au/icons/ecblank.gif">
          <a:extLst>
            <a:ext uri="{FF2B5EF4-FFF2-40B4-BE49-F238E27FC236}">
              <a16:creationId xmlns:a16="http://schemas.microsoft.com/office/drawing/2014/main" id="{00000000-0008-0000-0B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41" name="Picture 140" descr="http://www.abs.gov.au/icons/ecblank.gif">
          <a:extLst>
            <a:ext uri="{FF2B5EF4-FFF2-40B4-BE49-F238E27FC236}">
              <a16:creationId xmlns:a16="http://schemas.microsoft.com/office/drawing/2014/main" id="{00000000-0008-0000-0B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42" name="Picture 141" descr="http://www.abs.gov.au/icons/ecblank.gif">
          <a:extLst>
            <a:ext uri="{FF2B5EF4-FFF2-40B4-BE49-F238E27FC236}">
              <a16:creationId xmlns:a16="http://schemas.microsoft.com/office/drawing/2014/main" id="{00000000-0008-0000-0B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143" name="Picture 142" descr="http://www.abs.gov.au/icons/ecblank.gif">
          <a:extLst>
            <a:ext uri="{FF2B5EF4-FFF2-40B4-BE49-F238E27FC236}">
              <a16:creationId xmlns:a16="http://schemas.microsoft.com/office/drawing/2014/main" id="{00000000-0008-0000-0B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144" name="Picture 143" descr="http://www.abs.gov.au/icons/ecblank.gif">
          <a:extLst>
            <a:ext uri="{FF2B5EF4-FFF2-40B4-BE49-F238E27FC236}">
              <a16:creationId xmlns:a16="http://schemas.microsoft.com/office/drawing/2014/main" id="{00000000-0008-0000-0B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45" name="Picture 144" descr="http://www.abs.gov.au/icons/ecblank.gif">
          <a:extLst>
            <a:ext uri="{FF2B5EF4-FFF2-40B4-BE49-F238E27FC236}">
              <a16:creationId xmlns:a16="http://schemas.microsoft.com/office/drawing/2014/main" id="{00000000-0008-0000-0B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46" name="Picture 145" descr="http://www.abs.gov.au/icons/ecblank.gif">
          <a:extLst>
            <a:ext uri="{FF2B5EF4-FFF2-40B4-BE49-F238E27FC236}">
              <a16:creationId xmlns:a16="http://schemas.microsoft.com/office/drawing/2014/main" id="{00000000-0008-0000-0B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47" name="Picture 146" descr="http://www.abs.gov.au/icons/ecblank.gif">
          <a:extLst>
            <a:ext uri="{FF2B5EF4-FFF2-40B4-BE49-F238E27FC236}">
              <a16:creationId xmlns:a16="http://schemas.microsoft.com/office/drawing/2014/main" id="{00000000-0008-0000-0B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48" name="Picture 147" descr="http://www.abs.gov.au/icons/ecblank.gif">
          <a:extLst>
            <a:ext uri="{FF2B5EF4-FFF2-40B4-BE49-F238E27FC236}">
              <a16:creationId xmlns:a16="http://schemas.microsoft.com/office/drawing/2014/main" id="{00000000-0008-0000-0B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49" name="Picture 148" descr="http://www.abs.gov.au/icons/ecblank.gif">
          <a:extLst>
            <a:ext uri="{FF2B5EF4-FFF2-40B4-BE49-F238E27FC236}">
              <a16:creationId xmlns:a16="http://schemas.microsoft.com/office/drawing/2014/main" id="{00000000-0008-0000-0B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50" name="Picture 149" descr="http://www.abs.gov.au/icons/ecblank.gif">
          <a:extLst>
            <a:ext uri="{FF2B5EF4-FFF2-40B4-BE49-F238E27FC236}">
              <a16:creationId xmlns:a16="http://schemas.microsoft.com/office/drawing/2014/main" id="{00000000-0008-0000-0B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151" name="Picture 150" descr="http://www.abs.gov.au/icons/ecblank.gif">
          <a:extLst>
            <a:ext uri="{FF2B5EF4-FFF2-40B4-BE49-F238E27FC236}">
              <a16:creationId xmlns:a16="http://schemas.microsoft.com/office/drawing/2014/main" id="{00000000-0008-0000-0B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152" name="Picture 151" descr="http://www.abs.gov.au/icons/ecblank.gif">
          <a:extLst>
            <a:ext uri="{FF2B5EF4-FFF2-40B4-BE49-F238E27FC236}">
              <a16:creationId xmlns:a16="http://schemas.microsoft.com/office/drawing/2014/main" id="{00000000-0008-0000-0B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53" name="Picture 152" descr="http://www.abs.gov.au/icons/ecblank.gif">
          <a:extLst>
            <a:ext uri="{FF2B5EF4-FFF2-40B4-BE49-F238E27FC236}">
              <a16:creationId xmlns:a16="http://schemas.microsoft.com/office/drawing/2014/main" id="{00000000-0008-0000-0B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54" name="Picture 153" descr="http://www.abs.gov.au/icons/ecblank.gif">
          <a:extLst>
            <a:ext uri="{FF2B5EF4-FFF2-40B4-BE49-F238E27FC236}">
              <a16:creationId xmlns:a16="http://schemas.microsoft.com/office/drawing/2014/main" id="{00000000-0008-0000-0B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55" name="Picture 154" descr="http://www.abs.gov.au/icons/ecblank.gif">
          <a:extLst>
            <a:ext uri="{FF2B5EF4-FFF2-40B4-BE49-F238E27FC236}">
              <a16:creationId xmlns:a16="http://schemas.microsoft.com/office/drawing/2014/main" id="{00000000-0008-0000-0B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56" name="Picture 155" descr="http://www.abs.gov.au/icons/ecblank.gif">
          <a:extLst>
            <a:ext uri="{FF2B5EF4-FFF2-40B4-BE49-F238E27FC236}">
              <a16:creationId xmlns:a16="http://schemas.microsoft.com/office/drawing/2014/main" id="{00000000-0008-0000-0B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57" name="Picture 156" descr="http://www.abs.gov.au/icons/ecblank.gif">
          <a:extLst>
            <a:ext uri="{FF2B5EF4-FFF2-40B4-BE49-F238E27FC236}">
              <a16:creationId xmlns:a16="http://schemas.microsoft.com/office/drawing/2014/main" id="{00000000-0008-0000-0B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473</xdr:row>
      <xdr:rowOff>0</xdr:rowOff>
    </xdr:from>
    <xdr:to>
      <xdr:col>7</xdr:col>
      <xdr:colOff>9525</xdr:colOff>
      <xdr:row>473</xdr:row>
      <xdr:rowOff>9525</xdr:rowOff>
    </xdr:to>
    <xdr:pic>
      <xdr:nvPicPr>
        <xdr:cNvPr id="158" name="Picture 157" descr="http://www.abs.gov.au/icons/ecblank.gif">
          <a:extLst>
            <a:ext uri="{FF2B5EF4-FFF2-40B4-BE49-F238E27FC236}">
              <a16:creationId xmlns:a16="http://schemas.microsoft.com/office/drawing/2014/main" id="{00000000-0008-0000-0B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473</xdr:row>
      <xdr:rowOff>0</xdr:rowOff>
    </xdr:from>
    <xdr:to>
      <xdr:col>8</xdr:col>
      <xdr:colOff>9525</xdr:colOff>
      <xdr:row>473</xdr:row>
      <xdr:rowOff>9525</xdr:rowOff>
    </xdr:to>
    <xdr:pic>
      <xdr:nvPicPr>
        <xdr:cNvPr id="159" name="Picture 158" descr="http://www.abs.gov.au/icons/ecblank.gif">
          <a:extLst>
            <a:ext uri="{FF2B5EF4-FFF2-40B4-BE49-F238E27FC236}">
              <a16:creationId xmlns:a16="http://schemas.microsoft.com/office/drawing/2014/main" id="{00000000-0008-0000-0B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60" name="Picture 159" descr="http://www.abs.gov.au/icons/ecblank.gif">
          <a:extLst>
            <a:ext uri="{FF2B5EF4-FFF2-40B4-BE49-F238E27FC236}">
              <a16:creationId xmlns:a16="http://schemas.microsoft.com/office/drawing/2014/main" id="{00000000-0008-0000-0B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473</xdr:row>
      <xdr:rowOff>0</xdr:rowOff>
    </xdr:from>
    <xdr:to>
      <xdr:col>9</xdr:col>
      <xdr:colOff>9525</xdr:colOff>
      <xdr:row>473</xdr:row>
      <xdr:rowOff>9525</xdr:rowOff>
    </xdr:to>
    <xdr:pic>
      <xdr:nvPicPr>
        <xdr:cNvPr id="161" name="Picture 160" descr="http://www.abs.gov.au/icons/ecblank.gif">
          <a:extLst>
            <a:ext uri="{FF2B5EF4-FFF2-40B4-BE49-F238E27FC236}">
              <a16:creationId xmlns:a16="http://schemas.microsoft.com/office/drawing/2014/main" id="{00000000-0008-0000-0B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62" name="Picture 161" descr="http://www.abs.gov.au/icons/ecblank.gif">
          <a:extLst>
            <a:ext uri="{FF2B5EF4-FFF2-40B4-BE49-F238E27FC236}">
              <a16:creationId xmlns:a16="http://schemas.microsoft.com/office/drawing/2014/main" id="{00000000-0008-0000-0B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63" name="Picture 162" descr="http://www.abs.gov.au/icons/ecblank.gif">
          <a:extLst>
            <a:ext uri="{FF2B5EF4-FFF2-40B4-BE49-F238E27FC236}">
              <a16:creationId xmlns:a16="http://schemas.microsoft.com/office/drawing/2014/main" id="{00000000-0008-0000-0B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64" name="Picture 163" descr="http://www.abs.gov.au/icons/ecblank.gif">
          <a:extLst>
            <a:ext uri="{FF2B5EF4-FFF2-40B4-BE49-F238E27FC236}">
              <a16:creationId xmlns:a16="http://schemas.microsoft.com/office/drawing/2014/main" id="{00000000-0008-0000-0B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65" name="Picture 164" descr="http://www.abs.gov.au/icons/ecblank.gif">
          <a:extLst>
            <a:ext uri="{FF2B5EF4-FFF2-40B4-BE49-F238E27FC236}">
              <a16:creationId xmlns:a16="http://schemas.microsoft.com/office/drawing/2014/main" id="{00000000-0008-0000-0B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66" name="Picture 165" descr="http://www.abs.gov.au/icons/ecblank.gif">
          <a:extLst>
            <a:ext uri="{FF2B5EF4-FFF2-40B4-BE49-F238E27FC236}">
              <a16:creationId xmlns:a16="http://schemas.microsoft.com/office/drawing/2014/main" id="{00000000-0008-0000-0B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473</xdr:row>
      <xdr:rowOff>0</xdr:rowOff>
    </xdr:from>
    <xdr:to>
      <xdr:col>5</xdr:col>
      <xdr:colOff>9525</xdr:colOff>
      <xdr:row>473</xdr:row>
      <xdr:rowOff>9525</xdr:rowOff>
    </xdr:to>
    <xdr:pic>
      <xdr:nvPicPr>
        <xdr:cNvPr id="167" name="Picture 166" descr="http://www.abs.gov.au/icons/ecblank.gif">
          <a:extLst>
            <a:ext uri="{FF2B5EF4-FFF2-40B4-BE49-F238E27FC236}">
              <a16:creationId xmlns:a16="http://schemas.microsoft.com/office/drawing/2014/main" id="{00000000-0008-0000-0B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473</xdr:row>
      <xdr:rowOff>0</xdr:rowOff>
    </xdr:from>
    <xdr:ext cx="9525" cy="9525"/>
    <xdr:pic>
      <xdr:nvPicPr>
        <xdr:cNvPr id="168" name="Picture 167" descr="http://www.abs.gov.au/icons/ecblank.gif">
          <a:extLst>
            <a:ext uri="{FF2B5EF4-FFF2-40B4-BE49-F238E27FC236}">
              <a16:creationId xmlns:a16="http://schemas.microsoft.com/office/drawing/2014/main" id="{00000000-0008-0000-0B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169" name="Picture 168" descr="http://www.abs.gov.au/icons/ecblank.gif">
          <a:extLst>
            <a:ext uri="{FF2B5EF4-FFF2-40B4-BE49-F238E27FC236}">
              <a16:creationId xmlns:a16="http://schemas.microsoft.com/office/drawing/2014/main" id="{00000000-0008-0000-0B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170" name="Picture 169" descr="http://www.abs.gov.au/icons/ecblank.gif">
          <a:extLst>
            <a:ext uri="{FF2B5EF4-FFF2-40B4-BE49-F238E27FC236}">
              <a16:creationId xmlns:a16="http://schemas.microsoft.com/office/drawing/2014/main" id="{00000000-0008-0000-0B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171" name="Picture 170" descr="http://www.abs.gov.au/icons/ecblank.gif">
          <a:extLst>
            <a:ext uri="{FF2B5EF4-FFF2-40B4-BE49-F238E27FC236}">
              <a16:creationId xmlns:a16="http://schemas.microsoft.com/office/drawing/2014/main" id="{00000000-0008-0000-0B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72" name="Picture 171" descr="http://www.abs.gov.au/icons/ecblank.gif">
          <a:extLst>
            <a:ext uri="{FF2B5EF4-FFF2-40B4-BE49-F238E27FC236}">
              <a16:creationId xmlns:a16="http://schemas.microsoft.com/office/drawing/2014/main" id="{00000000-0008-0000-0B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73" name="Picture 172" descr="http://www.abs.gov.au/icons/ecblank.gif">
          <a:extLst>
            <a:ext uri="{FF2B5EF4-FFF2-40B4-BE49-F238E27FC236}">
              <a16:creationId xmlns:a16="http://schemas.microsoft.com/office/drawing/2014/main" id="{00000000-0008-0000-0B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74" name="Picture 173" descr="http://www.abs.gov.au/icons/ecblank.gif">
          <a:extLst>
            <a:ext uri="{FF2B5EF4-FFF2-40B4-BE49-F238E27FC236}">
              <a16:creationId xmlns:a16="http://schemas.microsoft.com/office/drawing/2014/main" id="{00000000-0008-0000-0B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75" name="Picture 174" descr="http://www.abs.gov.au/icons/ecblank.gif">
          <a:extLst>
            <a:ext uri="{FF2B5EF4-FFF2-40B4-BE49-F238E27FC236}">
              <a16:creationId xmlns:a16="http://schemas.microsoft.com/office/drawing/2014/main" id="{00000000-0008-0000-0B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76" name="Picture 175" descr="http://www.abs.gov.au/icons/ecblank.gif">
          <a:extLst>
            <a:ext uri="{FF2B5EF4-FFF2-40B4-BE49-F238E27FC236}">
              <a16:creationId xmlns:a16="http://schemas.microsoft.com/office/drawing/2014/main" id="{00000000-0008-0000-0B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77" name="Picture 176" descr="http://www.abs.gov.au/icons/ecblank.gif">
          <a:extLst>
            <a:ext uri="{FF2B5EF4-FFF2-40B4-BE49-F238E27FC236}">
              <a16:creationId xmlns:a16="http://schemas.microsoft.com/office/drawing/2014/main" id="{00000000-0008-0000-0B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178" name="Picture 177" descr="http://www.abs.gov.au/icons/ecblank.gif">
          <a:extLst>
            <a:ext uri="{FF2B5EF4-FFF2-40B4-BE49-F238E27FC236}">
              <a16:creationId xmlns:a16="http://schemas.microsoft.com/office/drawing/2014/main" id="{00000000-0008-0000-0B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179" name="Picture 178" descr="http://www.abs.gov.au/icons/ecblank.gif">
          <a:extLst>
            <a:ext uri="{FF2B5EF4-FFF2-40B4-BE49-F238E27FC236}">
              <a16:creationId xmlns:a16="http://schemas.microsoft.com/office/drawing/2014/main" id="{00000000-0008-0000-0B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180" name="Picture 179" descr="http://www.abs.gov.au/icons/ecblank.gif">
          <a:extLst>
            <a:ext uri="{FF2B5EF4-FFF2-40B4-BE49-F238E27FC236}">
              <a16:creationId xmlns:a16="http://schemas.microsoft.com/office/drawing/2014/main" id="{00000000-0008-0000-0B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181" name="Picture 180" descr="http://www.abs.gov.au/icons/ecblank.gif">
          <a:extLst>
            <a:ext uri="{FF2B5EF4-FFF2-40B4-BE49-F238E27FC236}">
              <a16:creationId xmlns:a16="http://schemas.microsoft.com/office/drawing/2014/main" id="{00000000-0008-0000-0B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82" name="Picture 181" descr="http://www.abs.gov.au/icons/ecblank.gif">
          <a:extLst>
            <a:ext uri="{FF2B5EF4-FFF2-40B4-BE49-F238E27FC236}">
              <a16:creationId xmlns:a16="http://schemas.microsoft.com/office/drawing/2014/main" id="{00000000-0008-0000-0B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83" name="Picture 182" descr="http://www.abs.gov.au/icons/ecblank.gif">
          <a:extLst>
            <a:ext uri="{FF2B5EF4-FFF2-40B4-BE49-F238E27FC236}">
              <a16:creationId xmlns:a16="http://schemas.microsoft.com/office/drawing/2014/main" id="{00000000-0008-0000-0B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84" name="Picture 183" descr="http://www.abs.gov.au/icons/ecblank.gif">
          <a:extLst>
            <a:ext uri="{FF2B5EF4-FFF2-40B4-BE49-F238E27FC236}">
              <a16:creationId xmlns:a16="http://schemas.microsoft.com/office/drawing/2014/main" id="{00000000-0008-0000-0B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85" name="Picture 184" descr="http://www.abs.gov.au/icons/ecblank.gif">
          <a:extLst>
            <a:ext uri="{FF2B5EF4-FFF2-40B4-BE49-F238E27FC236}">
              <a16:creationId xmlns:a16="http://schemas.microsoft.com/office/drawing/2014/main" id="{00000000-0008-0000-0B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86" name="Picture 185" descr="http://www.abs.gov.au/icons/ecblank.gif">
          <a:extLst>
            <a:ext uri="{FF2B5EF4-FFF2-40B4-BE49-F238E27FC236}">
              <a16:creationId xmlns:a16="http://schemas.microsoft.com/office/drawing/2014/main" id="{00000000-0008-0000-0B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187" name="Picture 186" descr="http://www.abs.gov.au/icons/ecblank.gif">
          <a:extLst>
            <a:ext uri="{FF2B5EF4-FFF2-40B4-BE49-F238E27FC236}">
              <a16:creationId xmlns:a16="http://schemas.microsoft.com/office/drawing/2014/main" id="{00000000-0008-0000-0B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188" name="Picture 187" descr="http://www.abs.gov.au/icons/ecblank.gif">
          <a:extLst>
            <a:ext uri="{FF2B5EF4-FFF2-40B4-BE49-F238E27FC236}">
              <a16:creationId xmlns:a16="http://schemas.microsoft.com/office/drawing/2014/main" id="{00000000-0008-0000-0B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189" name="Picture 188" descr="http://www.abs.gov.au/icons/ecblank.gif">
          <a:extLst>
            <a:ext uri="{FF2B5EF4-FFF2-40B4-BE49-F238E27FC236}">
              <a16:creationId xmlns:a16="http://schemas.microsoft.com/office/drawing/2014/main" id="{00000000-0008-0000-0B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190" name="Picture 189" descr="http://www.abs.gov.au/icons/ecblank.gif">
          <a:extLst>
            <a:ext uri="{FF2B5EF4-FFF2-40B4-BE49-F238E27FC236}">
              <a16:creationId xmlns:a16="http://schemas.microsoft.com/office/drawing/2014/main" id="{00000000-0008-0000-0B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91" name="Picture 190" descr="http://www.abs.gov.au/icons/ecblank.gif">
          <a:extLst>
            <a:ext uri="{FF2B5EF4-FFF2-40B4-BE49-F238E27FC236}">
              <a16:creationId xmlns:a16="http://schemas.microsoft.com/office/drawing/2014/main" id="{00000000-0008-0000-0B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92" name="Picture 191" descr="http://www.abs.gov.au/icons/ecblank.gif">
          <a:extLst>
            <a:ext uri="{FF2B5EF4-FFF2-40B4-BE49-F238E27FC236}">
              <a16:creationId xmlns:a16="http://schemas.microsoft.com/office/drawing/2014/main" id="{00000000-0008-0000-0B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93" name="Picture 192" descr="http://www.abs.gov.au/icons/ecblank.gif">
          <a:extLst>
            <a:ext uri="{FF2B5EF4-FFF2-40B4-BE49-F238E27FC236}">
              <a16:creationId xmlns:a16="http://schemas.microsoft.com/office/drawing/2014/main" id="{00000000-0008-0000-0B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94" name="Picture 193" descr="http://www.abs.gov.au/icons/ecblank.gif">
          <a:extLst>
            <a:ext uri="{FF2B5EF4-FFF2-40B4-BE49-F238E27FC236}">
              <a16:creationId xmlns:a16="http://schemas.microsoft.com/office/drawing/2014/main" id="{00000000-0008-0000-0B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95" name="Picture 194" descr="http://www.abs.gov.au/icons/ecblank.gif">
          <a:extLst>
            <a:ext uri="{FF2B5EF4-FFF2-40B4-BE49-F238E27FC236}">
              <a16:creationId xmlns:a16="http://schemas.microsoft.com/office/drawing/2014/main" id="{00000000-0008-0000-0B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196" name="Picture 195" descr="http://www.abs.gov.au/icons/ecblank.gif">
          <a:extLst>
            <a:ext uri="{FF2B5EF4-FFF2-40B4-BE49-F238E27FC236}">
              <a16:creationId xmlns:a16="http://schemas.microsoft.com/office/drawing/2014/main" id="{00000000-0008-0000-0B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197" name="Picture 196" descr="http://www.abs.gov.au/icons/ecblank.gif">
          <a:extLst>
            <a:ext uri="{FF2B5EF4-FFF2-40B4-BE49-F238E27FC236}">
              <a16:creationId xmlns:a16="http://schemas.microsoft.com/office/drawing/2014/main" id="{00000000-0008-0000-0B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198" name="Picture 197" descr="http://www.abs.gov.au/icons/ecblank.gif">
          <a:extLst>
            <a:ext uri="{FF2B5EF4-FFF2-40B4-BE49-F238E27FC236}">
              <a16:creationId xmlns:a16="http://schemas.microsoft.com/office/drawing/2014/main" id="{00000000-0008-0000-0B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199" name="Picture 198" descr="http://www.abs.gov.au/icons/ecblank.gif">
          <a:extLst>
            <a:ext uri="{FF2B5EF4-FFF2-40B4-BE49-F238E27FC236}">
              <a16:creationId xmlns:a16="http://schemas.microsoft.com/office/drawing/2014/main" id="{00000000-0008-0000-0B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00" name="Picture 199" descr="http://www.abs.gov.au/icons/ecblank.gif">
          <a:extLst>
            <a:ext uri="{FF2B5EF4-FFF2-40B4-BE49-F238E27FC236}">
              <a16:creationId xmlns:a16="http://schemas.microsoft.com/office/drawing/2014/main" id="{00000000-0008-0000-0B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01" name="Picture 200" descr="http://www.abs.gov.au/icons/ecblank.gif">
          <a:extLst>
            <a:ext uri="{FF2B5EF4-FFF2-40B4-BE49-F238E27FC236}">
              <a16:creationId xmlns:a16="http://schemas.microsoft.com/office/drawing/2014/main" id="{00000000-0008-0000-0B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02" name="Picture 201" descr="http://www.abs.gov.au/icons/ecblank.gif">
          <a:extLst>
            <a:ext uri="{FF2B5EF4-FFF2-40B4-BE49-F238E27FC236}">
              <a16:creationId xmlns:a16="http://schemas.microsoft.com/office/drawing/2014/main" id="{00000000-0008-0000-0B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03" name="Picture 202" descr="http://www.abs.gov.au/icons/ecblank.gif">
          <a:extLst>
            <a:ext uri="{FF2B5EF4-FFF2-40B4-BE49-F238E27FC236}">
              <a16:creationId xmlns:a16="http://schemas.microsoft.com/office/drawing/2014/main" id="{00000000-0008-0000-0B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04" name="Picture 203" descr="http://www.abs.gov.au/icons/ecblank.gif">
          <a:extLst>
            <a:ext uri="{FF2B5EF4-FFF2-40B4-BE49-F238E27FC236}">
              <a16:creationId xmlns:a16="http://schemas.microsoft.com/office/drawing/2014/main" id="{00000000-0008-0000-0B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05" name="Picture 204" descr="http://www.abs.gov.au/icons/ecblank.gif">
          <a:extLst>
            <a:ext uri="{FF2B5EF4-FFF2-40B4-BE49-F238E27FC236}">
              <a16:creationId xmlns:a16="http://schemas.microsoft.com/office/drawing/2014/main" id="{00000000-0008-0000-0B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06" name="Picture 205" descr="http://www.abs.gov.au/icons/ecblank.gif">
          <a:extLst>
            <a:ext uri="{FF2B5EF4-FFF2-40B4-BE49-F238E27FC236}">
              <a16:creationId xmlns:a16="http://schemas.microsoft.com/office/drawing/2014/main" id="{00000000-0008-0000-0B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207" name="Picture 206" descr="http://www.abs.gov.au/icons/ecblank.gif">
          <a:extLst>
            <a:ext uri="{FF2B5EF4-FFF2-40B4-BE49-F238E27FC236}">
              <a16:creationId xmlns:a16="http://schemas.microsoft.com/office/drawing/2014/main" id="{00000000-0008-0000-0B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208" name="Picture 207" descr="http://www.abs.gov.au/icons/ecblank.gif">
          <a:extLst>
            <a:ext uri="{FF2B5EF4-FFF2-40B4-BE49-F238E27FC236}">
              <a16:creationId xmlns:a16="http://schemas.microsoft.com/office/drawing/2014/main" id="{00000000-0008-0000-0B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09" name="Picture 208" descr="http://www.abs.gov.au/icons/ecblank.gif">
          <a:extLst>
            <a:ext uri="{FF2B5EF4-FFF2-40B4-BE49-F238E27FC236}">
              <a16:creationId xmlns:a16="http://schemas.microsoft.com/office/drawing/2014/main" id="{00000000-0008-0000-0B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10" name="Picture 209" descr="http://www.abs.gov.au/icons/ecblank.gif">
          <a:extLst>
            <a:ext uri="{FF2B5EF4-FFF2-40B4-BE49-F238E27FC236}">
              <a16:creationId xmlns:a16="http://schemas.microsoft.com/office/drawing/2014/main" id="{00000000-0008-0000-0B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11" name="Picture 210" descr="http://www.abs.gov.au/icons/ecblank.gif">
          <a:extLst>
            <a:ext uri="{FF2B5EF4-FFF2-40B4-BE49-F238E27FC236}">
              <a16:creationId xmlns:a16="http://schemas.microsoft.com/office/drawing/2014/main" id="{00000000-0008-0000-0B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12" name="Picture 211" descr="http://www.abs.gov.au/icons/ecblank.gif">
          <a:extLst>
            <a:ext uri="{FF2B5EF4-FFF2-40B4-BE49-F238E27FC236}">
              <a16:creationId xmlns:a16="http://schemas.microsoft.com/office/drawing/2014/main" id="{00000000-0008-0000-0B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13" name="Picture 212" descr="http://www.abs.gov.au/icons/ecblank.gif">
          <a:extLst>
            <a:ext uri="{FF2B5EF4-FFF2-40B4-BE49-F238E27FC236}">
              <a16:creationId xmlns:a16="http://schemas.microsoft.com/office/drawing/2014/main" id="{00000000-0008-0000-0B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14" name="Picture 213" descr="http://www.abs.gov.au/icons/ecblank.gif">
          <a:extLst>
            <a:ext uri="{FF2B5EF4-FFF2-40B4-BE49-F238E27FC236}">
              <a16:creationId xmlns:a16="http://schemas.microsoft.com/office/drawing/2014/main" id="{00000000-0008-0000-0B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15" name="Picture 214" descr="http://www.abs.gov.au/icons/ecblank.gif">
          <a:extLst>
            <a:ext uri="{FF2B5EF4-FFF2-40B4-BE49-F238E27FC236}">
              <a16:creationId xmlns:a16="http://schemas.microsoft.com/office/drawing/2014/main" id="{00000000-0008-0000-0B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16" name="Picture 215" descr="http://www.abs.gov.au/icons/ecblank.gif">
          <a:extLst>
            <a:ext uri="{FF2B5EF4-FFF2-40B4-BE49-F238E27FC236}">
              <a16:creationId xmlns:a16="http://schemas.microsoft.com/office/drawing/2014/main" id="{00000000-0008-0000-0B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217" name="Picture 216" descr="http://www.abs.gov.au/icons/ecblank.gif">
          <a:extLst>
            <a:ext uri="{FF2B5EF4-FFF2-40B4-BE49-F238E27FC236}">
              <a16:creationId xmlns:a16="http://schemas.microsoft.com/office/drawing/2014/main" id="{00000000-0008-0000-0B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218" name="Picture 217" descr="http://www.abs.gov.au/icons/ecblank.gif">
          <a:extLst>
            <a:ext uri="{FF2B5EF4-FFF2-40B4-BE49-F238E27FC236}">
              <a16:creationId xmlns:a16="http://schemas.microsoft.com/office/drawing/2014/main" id="{00000000-0008-0000-0B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19" name="Picture 218" descr="http://www.abs.gov.au/icons/ecblank.gif">
          <a:extLst>
            <a:ext uri="{FF2B5EF4-FFF2-40B4-BE49-F238E27FC236}">
              <a16:creationId xmlns:a16="http://schemas.microsoft.com/office/drawing/2014/main" id="{00000000-0008-0000-0B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20" name="Picture 219" descr="http://www.abs.gov.au/icons/ecblank.gif">
          <a:extLst>
            <a:ext uri="{FF2B5EF4-FFF2-40B4-BE49-F238E27FC236}">
              <a16:creationId xmlns:a16="http://schemas.microsoft.com/office/drawing/2014/main" id="{00000000-0008-0000-0B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21" name="Picture 220" descr="http://www.abs.gov.au/icons/ecblank.gif">
          <a:extLst>
            <a:ext uri="{FF2B5EF4-FFF2-40B4-BE49-F238E27FC236}">
              <a16:creationId xmlns:a16="http://schemas.microsoft.com/office/drawing/2014/main" id="{00000000-0008-0000-0B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22" name="Picture 221" descr="http://www.abs.gov.au/icons/ecblank.gif">
          <a:extLst>
            <a:ext uri="{FF2B5EF4-FFF2-40B4-BE49-F238E27FC236}">
              <a16:creationId xmlns:a16="http://schemas.microsoft.com/office/drawing/2014/main" id="{00000000-0008-0000-0B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23" name="Picture 222" descr="http://www.abs.gov.au/icons/ecblank.gif">
          <a:extLst>
            <a:ext uri="{FF2B5EF4-FFF2-40B4-BE49-F238E27FC236}">
              <a16:creationId xmlns:a16="http://schemas.microsoft.com/office/drawing/2014/main" id="{00000000-0008-0000-0B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24" name="Picture 223" descr="http://www.abs.gov.au/icons/ecblank.gif">
          <a:extLst>
            <a:ext uri="{FF2B5EF4-FFF2-40B4-BE49-F238E27FC236}">
              <a16:creationId xmlns:a16="http://schemas.microsoft.com/office/drawing/2014/main" id="{00000000-0008-0000-0B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25" name="Picture 224" descr="http://www.abs.gov.au/icons/ecblank.gif">
          <a:extLst>
            <a:ext uri="{FF2B5EF4-FFF2-40B4-BE49-F238E27FC236}">
              <a16:creationId xmlns:a16="http://schemas.microsoft.com/office/drawing/2014/main" id="{00000000-0008-0000-0B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226" name="Picture 225" descr="http://www.abs.gov.au/icons/ecblank.gif">
          <a:extLst>
            <a:ext uri="{FF2B5EF4-FFF2-40B4-BE49-F238E27FC236}">
              <a16:creationId xmlns:a16="http://schemas.microsoft.com/office/drawing/2014/main" id="{00000000-0008-0000-0B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227" name="Picture 226" descr="http://www.abs.gov.au/icons/ecblank.gif">
          <a:extLst>
            <a:ext uri="{FF2B5EF4-FFF2-40B4-BE49-F238E27FC236}">
              <a16:creationId xmlns:a16="http://schemas.microsoft.com/office/drawing/2014/main" id="{00000000-0008-0000-0B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28" name="Picture 227" descr="http://www.abs.gov.au/icons/ecblank.gif">
          <a:extLst>
            <a:ext uri="{FF2B5EF4-FFF2-40B4-BE49-F238E27FC236}">
              <a16:creationId xmlns:a16="http://schemas.microsoft.com/office/drawing/2014/main" id="{00000000-0008-0000-0B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29" name="Picture 228" descr="http://www.abs.gov.au/icons/ecblank.gif">
          <a:extLst>
            <a:ext uri="{FF2B5EF4-FFF2-40B4-BE49-F238E27FC236}">
              <a16:creationId xmlns:a16="http://schemas.microsoft.com/office/drawing/2014/main" id="{00000000-0008-0000-0B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30" name="Picture 229" descr="http://www.abs.gov.au/icons/ecblank.gif">
          <a:extLst>
            <a:ext uri="{FF2B5EF4-FFF2-40B4-BE49-F238E27FC236}">
              <a16:creationId xmlns:a16="http://schemas.microsoft.com/office/drawing/2014/main" id="{00000000-0008-0000-0B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31" name="Picture 230" descr="http://www.abs.gov.au/icons/ecblank.gif">
          <a:extLst>
            <a:ext uri="{FF2B5EF4-FFF2-40B4-BE49-F238E27FC236}">
              <a16:creationId xmlns:a16="http://schemas.microsoft.com/office/drawing/2014/main" id="{00000000-0008-0000-0B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32" name="Picture 231" descr="http://www.abs.gov.au/icons/ecblank.gif">
          <a:extLst>
            <a:ext uri="{FF2B5EF4-FFF2-40B4-BE49-F238E27FC236}">
              <a16:creationId xmlns:a16="http://schemas.microsoft.com/office/drawing/2014/main" id="{00000000-0008-0000-0B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33" name="Picture 232" descr="http://www.abs.gov.au/icons/ecblank.gif">
          <a:extLst>
            <a:ext uri="{FF2B5EF4-FFF2-40B4-BE49-F238E27FC236}">
              <a16:creationId xmlns:a16="http://schemas.microsoft.com/office/drawing/2014/main" id="{00000000-0008-0000-0B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234" name="Picture 233" descr="http://www.abs.gov.au/icons/ecblank.gif">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235" name="Picture 234" descr="http://www.abs.gov.au/icons/ecblank.gif">
          <a:extLst>
            <a:ext uri="{FF2B5EF4-FFF2-40B4-BE49-F238E27FC236}">
              <a16:creationId xmlns:a16="http://schemas.microsoft.com/office/drawing/2014/main" id="{00000000-0008-0000-0B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36" name="Picture 235" descr="http://www.abs.gov.au/icons/ecblank.gif">
          <a:extLst>
            <a:ext uri="{FF2B5EF4-FFF2-40B4-BE49-F238E27FC236}">
              <a16:creationId xmlns:a16="http://schemas.microsoft.com/office/drawing/2014/main" id="{00000000-0008-0000-0B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37" name="Picture 236" descr="http://www.abs.gov.au/icons/ecblank.gif">
          <a:extLst>
            <a:ext uri="{FF2B5EF4-FFF2-40B4-BE49-F238E27FC236}">
              <a16:creationId xmlns:a16="http://schemas.microsoft.com/office/drawing/2014/main" id="{00000000-0008-0000-0B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38" name="Picture 237" descr="http://www.abs.gov.au/icons/ecblank.gif">
          <a:extLst>
            <a:ext uri="{FF2B5EF4-FFF2-40B4-BE49-F238E27FC236}">
              <a16:creationId xmlns:a16="http://schemas.microsoft.com/office/drawing/2014/main" id="{00000000-0008-0000-0B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39" name="Picture 238" descr="http://www.abs.gov.au/icons/ecblank.gif">
          <a:extLst>
            <a:ext uri="{FF2B5EF4-FFF2-40B4-BE49-F238E27FC236}">
              <a16:creationId xmlns:a16="http://schemas.microsoft.com/office/drawing/2014/main" id="{00000000-0008-0000-0B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40" name="Picture 239" descr="http://www.abs.gov.au/icons/ecblank.gif">
          <a:extLst>
            <a:ext uri="{FF2B5EF4-FFF2-40B4-BE49-F238E27FC236}">
              <a16:creationId xmlns:a16="http://schemas.microsoft.com/office/drawing/2014/main" id="{00000000-0008-0000-0B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241" name="Picture 240" descr="http://www.abs.gov.au/icons/ecblank.gif">
          <a:extLst>
            <a:ext uri="{FF2B5EF4-FFF2-40B4-BE49-F238E27FC236}">
              <a16:creationId xmlns:a16="http://schemas.microsoft.com/office/drawing/2014/main" id="{00000000-0008-0000-0B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242" name="Picture 241" descr="http://www.abs.gov.au/icons/ecblank.gif">
          <a:extLst>
            <a:ext uri="{FF2B5EF4-FFF2-40B4-BE49-F238E27FC236}">
              <a16:creationId xmlns:a16="http://schemas.microsoft.com/office/drawing/2014/main" id="{00000000-0008-0000-0B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43" name="Picture 242" descr="http://www.abs.gov.au/icons/ecblank.gif">
          <a:extLst>
            <a:ext uri="{FF2B5EF4-FFF2-40B4-BE49-F238E27FC236}">
              <a16:creationId xmlns:a16="http://schemas.microsoft.com/office/drawing/2014/main" id="{00000000-0008-0000-0B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44" name="Picture 243" descr="http://www.abs.gov.au/icons/ecblank.gif">
          <a:extLst>
            <a:ext uri="{FF2B5EF4-FFF2-40B4-BE49-F238E27FC236}">
              <a16:creationId xmlns:a16="http://schemas.microsoft.com/office/drawing/2014/main" id="{00000000-0008-0000-0B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45" name="Picture 244" descr="http://www.abs.gov.au/icons/ecblank.gif">
          <a:extLst>
            <a:ext uri="{FF2B5EF4-FFF2-40B4-BE49-F238E27FC236}">
              <a16:creationId xmlns:a16="http://schemas.microsoft.com/office/drawing/2014/main" id="{00000000-0008-0000-0B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46" name="Picture 245" descr="http://www.abs.gov.au/icons/ecblank.gif">
          <a:extLst>
            <a:ext uri="{FF2B5EF4-FFF2-40B4-BE49-F238E27FC236}">
              <a16:creationId xmlns:a16="http://schemas.microsoft.com/office/drawing/2014/main" id="{00000000-0008-0000-0B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47" name="Picture 246" descr="http://www.abs.gov.au/icons/ecblank.gif">
          <a:extLst>
            <a:ext uri="{FF2B5EF4-FFF2-40B4-BE49-F238E27FC236}">
              <a16:creationId xmlns:a16="http://schemas.microsoft.com/office/drawing/2014/main" id="{00000000-0008-0000-0B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48" name="Picture 247" descr="http://www.abs.gov.au/icons/ecblank.gif">
          <a:extLst>
            <a:ext uri="{FF2B5EF4-FFF2-40B4-BE49-F238E27FC236}">
              <a16:creationId xmlns:a16="http://schemas.microsoft.com/office/drawing/2014/main" id="{00000000-0008-0000-0B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49" name="Picture 248" descr="http://www.abs.gov.au/icons/ecblank.gif">
          <a:extLst>
            <a:ext uri="{FF2B5EF4-FFF2-40B4-BE49-F238E27FC236}">
              <a16:creationId xmlns:a16="http://schemas.microsoft.com/office/drawing/2014/main" id="{00000000-0008-0000-0B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50" name="Picture 249" descr="http://www.abs.gov.au/icons/ecblank.gif">
          <a:extLst>
            <a:ext uri="{FF2B5EF4-FFF2-40B4-BE49-F238E27FC236}">
              <a16:creationId xmlns:a16="http://schemas.microsoft.com/office/drawing/2014/main" id="{00000000-0008-0000-0B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251" name="Picture 250" descr="http://www.abs.gov.au/icons/ecblank.gif">
          <a:extLst>
            <a:ext uri="{FF2B5EF4-FFF2-40B4-BE49-F238E27FC236}">
              <a16:creationId xmlns:a16="http://schemas.microsoft.com/office/drawing/2014/main" id="{00000000-0008-0000-0B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252" name="Picture 251" descr="http://www.abs.gov.au/icons/ecblank.gif">
          <a:extLst>
            <a:ext uri="{FF2B5EF4-FFF2-40B4-BE49-F238E27FC236}">
              <a16:creationId xmlns:a16="http://schemas.microsoft.com/office/drawing/2014/main" id="{00000000-0008-0000-0B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53" name="Picture 252" descr="http://www.abs.gov.au/icons/ecblank.gif">
          <a:extLst>
            <a:ext uri="{FF2B5EF4-FFF2-40B4-BE49-F238E27FC236}">
              <a16:creationId xmlns:a16="http://schemas.microsoft.com/office/drawing/2014/main" id="{00000000-0008-0000-0B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54" name="Picture 253" descr="http://www.abs.gov.au/icons/ecblank.gif">
          <a:extLst>
            <a:ext uri="{FF2B5EF4-FFF2-40B4-BE49-F238E27FC236}">
              <a16:creationId xmlns:a16="http://schemas.microsoft.com/office/drawing/2014/main" id="{00000000-0008-0000-0B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55" name="Picture 254" descr="http://www.abs.gov.au/icons/ecblank.gif">
          <a:extLst>
            <a:ext uri="{FF2B5EF4-FFF2-40B4-BE49-F238E27FC236}">
              <a16:creationId xmlns:a16="http://schemas.microsoft.com/office/drawing/2014/main" id="{00000000-0008-0000-0B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56" name="Picture 255" descr="http://www.abs.gov.au/icons/ecblank.gif">
          <a:extLst>
            <a:ext uri="{FF2B5EF4-FFF2-40B4-BE49-F238E27FC236}">
              <a16:creationId xmlns:a16="http://schemas.microsoft.com/office/drawing/2014/main" id="{00000000-0008-0000-0B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57" name="Picture 256" descr="http://www.abs.gov.au/icons/ecblank.gif">
          <a:extLst>
            <a:ext uri="{FF2B5EF4-FFF2-40B4-BE49-F238E27FC236}">
              <a16:creationId xmlns:a16="http://schemas.microsoft.com/office/drawing/2014/main" id="{00000000-0008-0000-0B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58" name="Picture 257" descr="http://www.abs.gov.au/icons/ecblank.gif">
          <a:extLst>
            <a:ext uri="{FF2B5EF4-FFF2-40B4-BE49-F238E27FC236}">
              <a16:creationId xmlns:a16="http://schemas.microsoft.com/office/drawing/2014/main" id="{00000000-0008-0000-0B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59" name="Picture 258" descr="http://www.abs.gov.au/icons/ecblank.gif">
          <a:extLst>
            <a:ext uri="{FF2B5EF4-FFF2-40B4-BE49-F238E27FC236}">
              <a16:creationId xmlns:a16="http://schemas.microsoft.com/office/drawing/2014/main" id="{00000000-0008-0000-0B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60" name="Picture 259" descr="http://www.abs.gov.au/icons/ecblank.gif">
          <a:extLst>
            <a:ext uri="{FF2B5EF4-FFF2-40B4-BE49-F238E27FC236}">
              <a16:creationId xmlns:a16="http://schemas.microsoft.com/office/drawing/2014/main" id="{00000000-0008-0000-0B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261" name="Picture 260" descr="http://www.abs.gov.au/icons/ecblank.gif">
          <a:extLst>
            <a:ext uri="{FF2B5EF4-FFF2-40B4-BE49-F238E27FC236}">
              <a16:creationId xmlns:a16="http://schemas.microsoft.com/office/drawing/2014/main" id="{00000000-0008-0000-0B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262" name="Picture 261" descr="http://www.abs.gov.au/icons/ecblank.gif">
          <a:extLst>
            <a:ext uri="{FF2B5EF4-FFF2-40B4-BE49-F238E27FC236}">
              <a16:creationId xmlns:a16="http://schemas.microsoft.com/office/drawing/2014/main" id="{00000000-0008-0000-0B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63" name="Picture 262" descr="http://www.abs.gov.au/icons/ecblank.gif">
          <a:extLst>
            <a:ext uri="{FF2B5EF4-FFF2-40B4-BE49-F238E27FC236}">
              <a16:creationId xmlns:a16="http://schemas.microsoft.com/office/drawing/2014/main" id="{00000000-0008-0000-0B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64" name="Picture 263" descr="http://www.abs.gov.au/icons/ecblank.gif">
          <a:extLst>
            <a:ext uri="{FF2B5EF4-FFF2-40B4-BE49-F238E27FC236}">
              <a16:creationId xmlns:a16="http://schemas.microsoft.com/office/drawing/2014/main" id="{00000000-0008-0000-0B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65" name="Picture 264" descr="http://www.abs.gov.au/icons/ecblank.gif">
          <a:extLst>
            <a:ext uri="{FF2B5EF4-FFF2-40B4-BE49-F238E27FC236}">
              <a16:creationId xmlns:a16="http://schemas.microsoft.com/office/drawing/2014/main" id="{00000000-0008-0000-0B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66" name="Picture 265" descr="http://www.abs.gov.au/icons/ecblank.gif">
          <a:extLst>
            <a:ext uri="{FF2B5EF4-FFF2-40B4-BE49-F238E27FC236}">
              <a16:creationId xmlns:a16="http://schemas.microsoft.com/office/drawing/2014/main" id="{00000000-0008-0000-0B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67" name="Picture 266" descr="http://www.abs.gov.au/icons/ecblank.gif">
          <a:extLst>
            <a:ext uri="{FF2B5EF4-FFF2-40B4-BE49-F238E27FC236}">
              <a16:creationId xmlns:a16="http://schemas.microsoft.com/office/drawing/2014/main" id="{00000000-0008-0000-0B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68" name="Picture 267" descr="http://www.abs.gov.au/icons/ecblank.gif">
          <a:extLst>
            <a:ext uri="{FF2B5EF4-FFF2-40B4-BE49-F238E27FC236}">
              <a16:creationId xmlns:a16="http://schemas.microsoft.com/office/drawing/2014/main" id="{00000000-0008-0000-0B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69" name="Picture 268" descr="http://www.abs.gov.au/icons/ecblank.gif">
          <a:extLst>
            <a:ext uri="{FF2B5EF4-FFF2-40B4-BE49-F238E27FC236}">
              <a16:creationId xmlns:a16="http://schemas.microsoft.com/office/drawing/2014/main" id="{00000000-0008-0000-0B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270" name="Picture 269" descr="http://www.abs.gov.au/icons/ecblank.gif">
          <a:extLst>
            <a:ext uri="{FF2B5EF4-FFF2-40B4-BE49-F238E27FC236}">
              <a16:creationId xmlns:a16="http://schemas.microsoft.com/office/drawing/2014/main" id="{00000000-0008-0000-0B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271" name="Picture 270" descr="http://www.abs.gov.au/icons/ecblank.gif">
          <a:extLst>
            <a:ext uri="{FF2B5EF4-FFF2-40B4-BE49-F238E27FC236}">
              <a16:creationId xmlns:a16="http://schemas.microsoft.com/office/drawing/2014/main" id="{00000000-0008-0000-0B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72" name="Picture 271" descr="http://www.abs.gov.au/icons/ecblank.gif">
          <a:extLst>
            <a:ext uri="{FF2B5EF4-FFF2-40B4-BE49-F238E27FC236}">
              <a16:creationId xmlns:a16="http://schemas.microsoft.com/office/drawing/2014/main" id="{00000000-0008-0000-0B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73" name="Picture 272" descr="http://www.abs.gov.au/icons/ecblank.gif">
          <a:extLst>
            <a:ext uri="{FF2B5EF4-FFF2-40B4-BE49-F238E27FC236}">
              <a16:creationId xmlns:a16="http://schemas.microsoft.com/office/drawing/2014/main" id="{00000000-0008-0000-0B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74" name="Picture 273" descr="http://www.abs.gov.au/icons/ecblank.gif">
          <a:extLst>
            <a:ext uri="{FF2B5EF4-FFF2-40B4-BE49-F238E27FC236}">
              <a16:creationId xmlns:a16="http://schemas.microsoft.com/office/drawing/2014/main" id="{00000000-0008-0000-0B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75" name="Picture 274" descr="http://www.abs.gov.au/icons/ecblank.gif">
          <a:extLst>
            <a:ext uri="{FF2B5EF4-FFF2-40B4-BE49-F238E27FC236}">
              <a16:creationId xmlns:a16="http://schemas.microsoft.com/office/drawing/2014/main" id="{00000000-0008-0000-0B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76" name="Picture 275" descr="http://www.abs.gov.au/icons/ecblank.gif">
          <a:extLst>
            <a:ext uri="{FF2B5EF4-FFF2-40B4-BE49-F238E27FC236}">
              <a16:creationId xmlns:a16="http://schemas.microsoft.com/office/drawing/2014/main" id="{00000000-0008-0000-0B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77" name="Picture 276" descr="http://www.abs.gov.au/icons/ecblank.gif">
          <a:extLst>
            <a:ext uri="{FF2B5EF4-FFF2-40B4-BE49-F238E27FC236}">
              <a16:creationId xmlns:a16="http://schemas.microsoft.com/office/drawing/2014/main" id="{00000000-0008-0000-0B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78" name="Picture 277" descr="http://www.abs.gov.au/icons/ecblank.gif">
          <a:extLst>
            <a:ext uri="{FF2B5EF4-FFF2-40B4-BE49-F238E27FC236}">
              <a16:creationId xmlns:a16="http://schemas.microsoft.com/office/drawing/2014/main" id="{00000000-0008-0000-0B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79" name="Picture 278" descr="http://www.abs.gov.au/icons/ecblank.gif">
          <a:extLst>
            <a:ext uri="{FF2B5EF4-FFF2-40B4-BE49-F238E27FC236}">
              <a16:creationId xmlns:a16="http://schemas.microsoft.com/office/drawing/2014/main" id="{00000000-0008-0000-0B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280" name="Picture 279" descr="http://www.abs.gov.au/icons/ecblank.gif">
          <a:extLst>
            <a:ext uri="{FF2B5EF4-FFF2-40B4-BE49-F238E27FC236}">
              <a16:creationId xmlns:a16="http://schemas.microsoft.com/office/drawing/2014/main" id="{00000000-0008-0000-0B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281" name="Picture 280" descr="http://www.abs.gov.au/icons/ecblank.gif">
          <a:extLst>
            <a:ext uri="{FF2B5EF4-FFF2-40B4-BE49-F238E27FC236}">
              <a16:creationId xmlns:a16="http://schemas.microsoft.com/office/drawing/2014/main" id="{00000000-0008-0000-0B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82" name="Picture 281" descr="http://www.abs.gov.au/icons/ecblank.gif">
          <a:extLst>
            <a:ext uri="{FF2B5EF4-FFF2-40B4-BE49-F238E27FC236}">
              <a16:creationId xmlns:a16="http://schemas.microsoft.com/office/drawing/2014/main" id="{00000000-0008-0000-0B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83" name="Picture 282" descr="http://www.abs.gov.au/icons/ecblank.gif">
          <a:extLst>
            <a:ext uri="{FF2B5EF4-FFF2-40B4-BE49-F238E27FC236}">
              <a16:creationId xmlns:a16="http://schemas.microsoft.com/office/drawing/2014/main" id="{00000000-0008-0000-0B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84" name="Picture 283" descr="http://www.abs.gov.au/icons/ecblank.gif">
          <a:extLst>
            <a:ext uri="{FF2B5EF4-FFF2-40B4-BE49-F238E27FC236}">
              <a16:creationId xmlns:a16="http://schemas.microsoft.com/office/drawing/2014/main" id="{00000000-0008-0000-0B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85" name="Picture 284" descr="http://www.abs.gov.au/icons/ecblank.gif">
          <a:extLst>
            <a:ext uri="{FF2B5EF4-FFF2-40B4-BE49-F238E27FC236}">
              <a16:creationId xmlns:a16="http://schemas.microsoft.com/office/drawing/2014/main" id="{00000000-0008-0000-0B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86" name="Picture 285" descr="http://www.abs.gov.au/icons/ecblank.gif">
          <a:extLst>
            <a:ext uri="{FF2B5EF4-FFF2-40B4-BE49-F238E27FC236}">
              <a16:creationId xmlns:a16="http://schemas.microsoft.com/office/drawing/2014/main" id="{00000000-0008-0000-0B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87" name="Picture 286" descr="http://www.abs.gov.au/icons/ecblank.gif">
          <a:extLst>
            <a:ext uri="{FF2B5EF4-FFF2-40B4-BE49-F238E27FC236}">
              <a16:creationId xmlns:a16="http://schemas.microsoft.com/office/drawing/2014/main" id="{00000000-0008-0000-0B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88" name="Picture 287" descr="http://www.abs.gov.au/icons/ecblank.gif">
          <a:extLst>
            <a:ext uri="{FF2B5EF4-FFF2-40B4-BE49-F238E27FC236}">
              <a16:creationId xmlns:a16="http://schemas.microsoft.com/office/drawing/2014/main" id="{00000000-0008-0000-0B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89" name="Picture 288" descr="http://www.abs.gov.au/icons/ecblank.gif">
          <a:extLst>
            <a:ext uri="{FF2B5EF4-FFF2-40B4-BE49-F238E27FC236}">
              <a16:creationId xmlns:a16="http://schemas.microsoft.com/office/drawing/2014/main" id="{00000000-0008-0000-0B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290" name="Picture 289" descr="http://www.abs.gov.au/icons/ecblank.gif">
          <a:extLst>
            <a:ext uri="{FF2B5EF4-FFF2-40B4-BE49-F238E27FC236}">
              <a16:creationId xmlns:a16="http://schemas.microsoft.com/office/drawing/2014/main" id="{00000000-0008-0000-0B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291" name="Picture 290" descr="http://www.abs.gov.au/icons/ecblank.gif">
          <a:extLst>
            <a:ext uri="{FF2B5EF4-FFF2-40B4-BE49-F238E27FC236}">
              <a16:creationId xmlns:a16="http://schemas.microsoft.com/office/drawing/2014/main" id="{00000000-0008-0000-0B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92" name="Picture 291" descr="http://www.abs.gov.au/icons/ecblank.gif">
          <a:extLst>
            <a:ext uri="{FF2B5EF4-FFF2-40B4-BE49-F238E27FC236}">
              <a16:creationId xmlns:a16="http://schemas.microsoft.com/office/drawing/2014/main" id="{00000000-0008-0000-0B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293" name="Picture 292" descr="http://www.abs.gov.au/icons/ecblank.gif">
          <a:extLst>
            <a:ext uri="{FF2B5EF4-FFF2-40B4-BE49-F238E27FC236}">
              <a16:creationId xmlns:a16="http://schemas.microsoft.com/office/drawing/2014/main" id="{00000000-0008-0000-0B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94" name="Picture 293" descr="http://www.abs.gov.au/icons/ecblank.gif">
          <a:extLst>
            <a:ext uri="{FF2B5EF4-FFF2-40B4-BE49-F238E27FC236}">
              <a16:creationId xmlns:a16="http://schemas.microsoft.com/office/drawing/2014/main" id="{00000000-0008-0000-0B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95" name="Picture 294" descr="http://www.abs.gov.au/icons/ecblank.gif">
          <a:extLst>
            <a:ext uri="{FF2B5EF4-FFF2-40B4-BE49-F238E27FC236}">
              <a16:creationId xmlns:a16="http://schemas.microsoft.com/office/drawing/2014/main" id="{00000000-0008-0000-0B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96" name="Picture 295" descr="http://www.abs.gov.au/icons/ecblank.gif">
          <a:extLst>
            <a:ext uri="{FF2B5EF4-FFF2-40B4-BE49-F238E27FC236}">
              <a16:creationId xmlns:a16="http://schemas.microsoft.com/office/drawing/2014/main" id="{00000000-0008-0000-0B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97" name="Picture 296" descr="http://www.abs.gov.au/icons/ecblank.gif">
          <a:extLst>
            <a:ext uri="{FF2B5EF4-FFF2-40B4-BE49-F238E27FC236}">
              <a16:creationId xmlns:a16="http://schemas.microsoft.com/office/drawing/2014/main" id="{00000000-0008-0000-0B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98" name="Picture 297" descr="http://www.abs.gov.au/icons/ecblank.gif">
          <a:extLst>
            <a:ext uri="{FF2B5EF4-FFF2-40B4-BE49-F238E27FC236}">
              <a16:creationId xmlns:a16="http://schemas.microsoft.com/office/drawing/2014/main" id="{00000000-0008-0000-0B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299" name="Picture 298" descr="http://www.abs.gov.au/icons/ecblank.gif">
          <a:extLst>
            <a:ext uri="{FF2B5EF4-FFF2-40B4-BE49-F238E27FC236}">
              <a16:creationId xmlns:a16="http://schemas.microsoft.com/office/drawing/2014/main" id="{00000000-0008-0000-0B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300" name="Picture 299" descr="http://www.abs.gov.au/icons/ecblank.gif">
          <a:extLst>
            <a:ext uri="{FF2B5EF4-FFF2-40B4-BE49-F238E27FC236}">
              <a16:creationId xmlns:a16="http://schemas.microsoft.com/office/drawing/2014/main" id="{00000000-0008-0000-0B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301" name="Picture 300" descr="http://www.abs.gov.au/icons/ecblank.gif">
          <a:extLst>
            <a:ext uri="{FF2B5EF4-FFF2-40B4-BE49-F238E27FC236}">
              <a16:creationId xmlns:a16="http://schemas.microsoft.com/office/drawing/2014/main" id="{00000000-0008-0000-0B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302" name="Picture 301" descr="http://www.abs.gov.au/icons/ecblank.gif">
          <a:extLst>
            <a:ext uri="{FF2B5EF4-FFF2-40B4-BE49-F238E27FC236}">
              <a16:creationId xmlns:a16="http://schemas.microsoft.com/office/drawing/2014/main" id="{00000000-0008-0000-0B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303" name="Picture 302" descr="http://www.abs.gov.au/icons/ecblank.gif">
          <a:extLst>
            <a:ext uri="{FF2B5EF4-FFF2-40B4-BE49-F238E27FC236}">
              <a16:creationId xmlns:a16="http://schemas.microsoft.com/office/drawing/2014/main" id="{00000000-0008-0000-0B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04" name="Picture 303" descr="http://www.abs.gov.au/icons/ecblank.gif">
          <a:extLst>
            <a:ext uri="{FF2B5EF4-FFF2-40B4-BE49-F238E27FC236}">
              <a16:creationId xmlns:a16="http://schemas.microsoft.com/office/drawing/2014/main" id="{00000000-0008-0000-0B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05" name="Picture 304" descr="http://www.abs.gov.au/icons/ecblank.gif">
          <a:extLst>
            <a:ext uri="{FF2B5EF4-FFF2-40B4-BE49-F238E27FC236}">
              <a16:creationId xmlns:a16="http://schemas.microsoft.com/office/drawing/2014/main" id="{00000000-0008-0000-0B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06" name="Picture 305" descr="http://www.abs.gov.au/icons/ecblank.gif">
          <a:extLst>
            <a:ext uri="{FF2B5EF4-FFF2-40B4-BE49-F238E27FC236}">
              <a16:creationId xmlns:a16="http://schemas.microsoft.com/office/drawing/2014/main" id="{00000000-0008-0000-0B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07" name="Picture 306" descr="http://www.abs.gov.au/icons/ecblank.gif">
          <a:extLst>
            <a:ext uri="{FF2B5EF4-FFF2-40B4-BE49-F238E27FC236}">
              <a16:creationId xmlns:a16="http://schemas.microsoft.com/office/drawing/2014/main" id="{00000000-0008-0000-0B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08" name="Picture 307" descr="http://www.abs.gov.au/icons/ecblank.gif">
          <a:extLst>
            <a:ext uri="{FF2B5EF4-FFF2-40B4-BE49-F238E27FC236}">
              <a16:creationId xmlns:a16="http://schemas.microsoft.com/office/drawing/2014/main" id="{00000000-0008-0000-0B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309" name="Picture 308" descr="http://www.abs.gov.au/icons/ecblank.gif">
          <a:extLst>
            <a:ext uri="{FF2B5EF4-FFF2-40B4-BE49-F238E27FC236}">
              <a16:creationId xmlns:a16="http://schemas.microsoft.com/office/drawing/2014/main" id="{00000000-0008-0000-0B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310" name="Picture 309" descr="http://www.abs.gov.au/icons/ecblank.gif">
          <a:extLst>
            <a:ext uri="{FF2B5EF4-FFF2-40B4-BE49-F238E27FC236}">
              <a16:creationId xmlns:a16="http://schemas.microsoft.com/office/drawing/2014/main" id="{00000000-0008-0000-0B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311" name="Picture 310" descr="http://www.abs.gov.au/icons/ecblank.gif">
          <a:extLst>
            <a:ext uri="{FF2B5EF4-FFF2-40B4-BE49-F238E27FC236}">
              <a16:creationId xmlns:a16="http://schemas.microsoft.com/office/drawing/2014/main" id="{00000000-0008-0000-0B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312" name="Picture 311" descr="http://www.abs.gov.au/icons/ecblank.gif">
          <a:extLst>
            <a:ext uri="{FF2B5EF4-FFF2-40B4-BE49-F238E27FC236}">
              <a16:creationId xmlns:a16="http://schemas.microsoft.com/office/drawing/2014/main" id="{00000000-0008-0000-0B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13" name="Picture 312" descr="http://www.abs.gov.au/icons/ecblank.gif">
          <a:extLst>
            <a:ext uri="{FF2B5EF4-FFF2-40B4-BE49-F238E27FC236}">
              <a16:creationId xmlns:a16="http://schemas.microsoft.com/office/drawing/2014/main" id="{00000000-0008-0000-0B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14" name="Picture 313" descr="http://www.abs.gov.au/icons/ecblank.gif">
          <a:extLst>
            <a:ext uri="{FF2B5EF4-FFF2-40B4-BE49-F238E27FC236}">
              <a16:creationId xmlns:a16="http://schemas.microsoft.com/office/drawing/2014/main" id="{00000000-0008-0000-0B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15" name="Picture 314" descr="http://www.abs.gov.au/icons/ecblank.gif">
          <a:extLst>
            <a:ext uri="{FF2B5EF4-FFF2-40B4-BE49-F238E27FC236}">
              <a16:creationId xmlns:a16="http://schemas.microsoft.com/office/drawing/2014/main" id="{00000000-0008-0000-0B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16" name="Picture 315" descr="http://www.abs.gov.au/icons/ecblank.gif">
          <a:extLst>
            <a:ext uri="{FF2B5EF4-FFF2-40B4-BE49-F238E27FC236}">
              <a16:creationId xmlns:a16="http://schemas.microsoft.com/office/drawing/2014/main" id="{00000000-0008-0000-0B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317" name="Picture 316" descr="http://www.abs.gov.au/icons/ecblank.gif">
          <a:extLst>
            <a:ext uri="{FF2B5EF4-FFF2-40B4-BE49-F238E27FC236}">
              <a16:creationId xmlns:a16="http://schemas.microsoft.com/office/drawing/2014/main" id="{00000000-0008-0000-0B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318" name="Picture 317" descr="http://www.abs.gov.au/icons/ecblank.gif">
          <a:extLst>
            <a:ext uri="{FF2B5EF4-FFF2-40B4-BE49-F238E27FC236}">
              <a16:creationId xmlns:a16="http://schemas.microsoft.com/office/drawing/2014/main" id="{00000000-0008-0000-0B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319" name="Picture 318" descr="http://www.abs.gov.au/icons/ecblank.gif">
          <a:extLst>
            <a:ext uri="{FF2B5EF4-FFF2-40B4-BE49-F238E27FC236}">
              <a16:creationId xmlns:a16="http://schemas.microsoft.com/office/drawing/2014/main" id="{00000000-0008-0000-0B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320" name="Picture 319" descr="http://www.abs.gov.au/icons/ecblank.gif">
          <a:extLst>
            <a:ext uri="{FF2B5EF4-FFF2-40B4-BE49-F238E27FC236}">
              <a16:creationId xmlns:a16="http://schemas.microsoft.com/office/drawing/2014/main" id="{00000000-0008-0000-0B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21" name="Picture 320" descr="http://www.abs.gov.au/icons/ecblank.gif">
          <a:extLst>
            <a:ext uri="{FF2B5EF4-FFF2-40B4-BE49-F238E27FC236}">
              <a16:creationId xmlns:a16="http://schemas.microsoft.com/office/drawing/2014/main" id="{00000000-0008-0000-0B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22" name="Picture 321" descr="http://www.abs.gov.au/icons/ecblank.gif">
          <a:extLst>
            <a:ext uri="{FF2B5EF4-FFF2-40B4-BE49-F238E27FC236}">
              <a16:creationId xmlns:a16="http://schemas.microsoft.com/office/drawing/2014/main" id="{00000000-0008-0000-0B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23" name="Picture 322" descr="http://www.abs.gov.au/icons/ecblank.gif">
          <a:extLst>
            <a:ext uri="{FF2B5EF4-FFF2-40B4-BE49-F238E27FC236}">
              <a16:creationId xmlns:a16="http://schemas.microsoft.com/office/drawing/2014/main" id="{00000000-0008-0000-0B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473</xdr:row>
      <xdr:rowOff>0</xdr:rowOff>
    </xdr:from>
    <xdr:ext cx="9525" cy="9525"/>
    <xdr:pic>
      <xdr:nvPicPr>
        <xdr:cNvPr id="324" name="Picture 323" descr="http://www.abs.gov.au/icons/ecblank.gif">
          <a:extLst>
            <a:ext uri="{FF2B5EF4-FFF2-40B4-BE49-F238E27FC236}">
              <a16:creationId xmlns:a16="http://schemas.microsoft.com/office/drawing/2014/main" id="{00000000-0008-0000-0B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473</xdr:row>
      <xdr:rowOff>0</xdr:rowOff>
    </xdr:from>
    <xdr:ext cx="9525" cy="9525"/>
    <xdr:pic>
      <xdr:nvPicPr>
        <xdr:cNvPr id="325" name="Picture 324" descr="http://www.abs.gov.au/icons/ecblank.gif">
          <a:extLst>
            <a:ext uri="{FF2B5EF4-FFF2-40B4-BE49-F238E27FC236}">
              <a16:creationId xmlns:a16="http://schemas.microsoft.com/office/drawing/2014/main" id="{00000000-0008-0000-0B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326" name="Picture 325" descr="http://www.abs.gov.au/icons/ecblank.gif">
          <a:extLst>
            <a:ext uri="{FF2B5EF4-FFF2-40B4-BE49-F238E27FC236}">
              <a16:creationId xmlns:a16="http://schemas.microsoft.com/office/drawing/2014/main" id="{00000000-0008-0000-0B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473</xdr:row>
      <xdr:rowOff>0</xdr:rowOff>
    </xdr:from>
    <xdr:ext cx="9525" cy="9525"/>
    <xdr:pic>
      <xdr:nvPicPr>
        <xdr:cNvPr id="327" name="Picture 326" descr="http://www.abs.gov.au/icons/ecblank.gif">
          <a:extLst>
            <a:ext uri="{FF2B5EF4-FFF2-40B4-BE49-F238E27FC236}">
              <a16:creationId xmlns:a16="http://schemas.microsoft.com/office/drawing/2014/main" id="{00000000-0008-0000-0B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28" name="Picture 327" descr="http://www.abs.gov.au/icons/ecblank.gif">
          <a:extLst>
            <a:ext uri="{FF2B5EF4-FFF2-40B4-BE49-F238E27FC236}">
              <a16:creationId xmlns:a16="http://schemas.microsoft.com/office/drawing/2014/main" id="{00000000-0008-0000-0B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29" name="Picture 328" descr="http://www.abs.gov.au/icons/ecblank.gif">
          <a:extLst>
            <a:ext uri="{FF2B5EF4-FFF2-40B4-BE49-F238E27FC236}">
              <a16:creationId xmlns:a16="http://schemas.microsoft.com/office/drawing/2014/main" id="{00000000-0008-0000-0B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30" name="Picture 329" descr="http://www.abs.gov.au/icons/ecblank.gif">
          <a:extLst>
            <a:ext uri="{FF2B5EF4-FFF2-40B4-BE49-F238E27FC236}">
              <a16:creationId xmlns:a16="http://schemas.microsoft.com/office/drawing/2014/main" id="{00000000-0008-0000-0B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31" name="Picture 330" descr="http://www.abs.gov.au/icons/ecblank.gif">
          <a:extLst>
            <a:ext uri="{FF2B5EF4-FFF2-40B4-BE49-F238E27FC236}">
              <a16:creationId xmlns:a16="http://schemas.microsoft.com/office/drawing/2014/main" id="{00000000-0008-0000-0B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32" name="Picture 331" descr="http://www.abs.gov.au/icons/ecblank.gif">
          <a:extLst>
            <a:ext uri="{FF2B5EF4-FFF2-40B4-BE49-F238E27FC236}">
              <a16:creationId xmlns:a16="http://schemas.microsoft.com/office/drawing/2014/main" id="{00000000-0008-0000-0B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473</xdr:row>
      <xdr:rowOff>0</xdr:rowOff>
    </xdr:from>
    <xdr:ext cx="9525" cy="9525"/>
    <xdr:pic>
      <xdr:nvPicPr>
        <xdr:cNvPr id="333" name="Picture 332" descr="http://www.abs.gov.au/icons/ecblank.gif">
          <a:extLst>
            <a:ext uri="{FF2B5EF4-FFF2-40B4-BE49-F238E27FC236}">
              <a16:creationId xmlns:a16="http://schemas.microsoft.com/office/drawing/2014/main" id="{00000000-0008-0000-0B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1812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35" name="Picture 334" descr="http://www.abs.gov.au/icons/ecblank.gif">
          <a:extLst>
            <a:ext uri="{FF2B5EF4-FFF2-40B4-BE49-F238E27FC236}">
              <a16:creationId xmlns:a16="http://schemas.microsoft.com/office/drawing/2014/main" id="{00000000-0008-0000-0B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36" name="Picture 335" descr="http://www.abs.gov.au/icons/ecblank.gif">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37" name="Picture 336" descr="http://www.abs.gov.au/icons/ecblank.gif">
          <a:extLst>
            <a:ext uri="{FF2B5EF4-FFF2-40B4-BE49-F238E27FC236}">
              <a16:creationId xmlns:a16="http://schemas.microsoft.com/office/drawing/2014/main" id="{00000000-0008-0000-0B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38" name="Picture 337" descr="http://www.abs.gov.au/icons/ecblank.gif">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39" name="Picture 338" descr="http://www.abs.gov.au/icons/ecblank.gif">
          <a:extLst>
            <a:ext uri="{FF2B5EF4-FFF2-40B4-BE49-F238E27FC236}">
              <a16:creationId xmlns:a16="http://schemas.microsoft.com/office/drawing/2014/main" id="{00000000-0008-0000-0B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40" name="Picture 339" descr="http://www.abs.gov.au/icons/ecblank.gif">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41" name="Picture 340" descr="http://www.abs.gov.au/icons/ecblank.gif">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42" name="Picture 341" descr="http://www.abs.gov.au/icons/ecblank.gif">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43" name="Picture 342" descr="http://www.abs.gov.au/icons/ecblank.gif">
          <a:extLst>
            <a:ext uri="{FF2B5EF4-FFF2-40B4-BE49-F238E27FC236}">
              <a16:creationId xmlns:a16="http://schemas.microsoft.com/office/drawing/2014/main" id="{00000000-0008-0000-0B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44" name="Picture 343" descr="http://www.abs.gov.au/icons/ecblank.gif">
          <a:extLst>
            <a:ext uri="{FF2B5EF4-FFF2-40B4-BE49-F238E27FC236}">
              <a16:creationId xmlns:a16="http://schemas.microsoft.com/office/drawing/2014/main" id="{00000000-0008-0000-0B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45" name="Picture 344" descr="http://www.abs.gov.au/icons/ecblank.gif">
          <a:extLst>
            <a:ext uri="{FF2B5EF4-FFF2-40B4-BE49-F238E27FC236}">
              <a16:creationId xmlns:a16="http://schemas.microsoft.com/office/drawing/2014/main" id="{00000000-0008-0000-0B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46" name="Picture 345" descr="http://www.abs.gov.au/icons/ecblank.gif">
          <a:extLst>
            <a:ext uri="{FF2B5EF4-FFF2-40B4-BE49-F238E27FC236}">
              <a16:creationId xmlns:a16="http://schemas.microsoft.com/office/drawing/2014/main" id="{00000000-0008-0000-0B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47" name="Picture 346" descr="http://www.abs.gov.au/icons/ecblank.gif">
          <a:extLst>
            <a:ext uri="{FF2B5EF4-FFF2-40B4-BE49-F238E27FC236}">
              <a16:creationId xmlns:a16="http://schemas.microsoft.com/office/drawing/2014/main" id="{00000000-0008-0000-0B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48" name="Picture 347" descr="http://www.abs.gov.au/icons/ecblank.gif">
          <a:extLst>
            <a:ext uri="{FF2B5EF4-FFF2-40B4-BE49-F238E27FC236}">
              <a16:creationId xmlns:a16="http://schemas.microsoft.com/office/drawing/2014/main" id="{00000000-0008-0000-0B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49" name="Picture 348" descr="http://www.abs.gov.au/icons/ecblank.gif">
          <a:extLst>
            <a:ext uri="{FF2B5EF4-FFF2-40B4-BE49-F238E27FC236}">
              <a16:creationId xmlns:a16="http://schemas.microsoft.com/office/drawing/2014/main" id="{00000000-0008-0000-0B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50" name="Picture 349" descr="http://www.abs.gov.au/icons/ecblank.gif">
          <a:extLst>
            <a:ext uri="{FF2B5EF4-FFF2-40B4-BE49-F238E27FC236}">
              <a16:creationId xmlns:a16="http://schemas.microsoft.com/office/drawing/2014/main" id="{00000000-0008-0000-0B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51" name="Picture 350" descr="http://www.abs.gov.au/icons/ecblank.gif">
          <a:extLst>
            <a:ext uri="{FF2B5EF4-FFF2-40B4-BE49-F238E27FC236}">
              <a16:creationId xmlns:a16="http://schemas.microsoft.com/office/drawing/2014/main" id="{00000000-0008-0000-0B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52" name="Picture 351" descr="http://www.abs.gov.au/icons/ecblank.gif">
          <a:extLst>
            <a:ext uri="{FF2B5EF4-FFF2-40B4-BE49-F238E27FC236}">
              <a16:creationId xmlns:a16="http://schemas.microsoft.com/office/drawing/2014/main" id="{00000000-0008-0000-0B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53" name="Picture 352" descr="http://www.abs.gov.au/icons/ecblank.gif">
          <a:extLst>
            <a:ext uri="{FF2B5EF4-FFF2-40B4-BE49-F238E27FC236}">
              <a16:creationId xmlns:a16="http://schemas.microsoft.com/office/drawing/2014/main" id="{00000000-0008-0000-0B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54" name="Picture 353" descr="http://www.abs.gov.au/icons/ecblank.gif">
          <a:extLst>
            <a:ext uri="{FF2B5EF4-FFF2-40B4-BE49-F238E27FC236}">
              <a16:creationId xmlns:a16="http://schemas.microsoft.com/office/drawing/2014/main" id="{00000000-0008-0000-0B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55" name="Picture 354" descr="http://www.abs.gov.au/icons/ecblank.gif">
          <a:extLst>
            <a:ext uri="{FF2B5EF4-FFF2-40B4-BE49-F238E27FC236}">
              <a16:creationId xmlns:a16="http://schemas.microsoft.com/office/drawing/2014/main" id="{00000000-0008-0000-0B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56" name="Picture 355" descr="http://www.abs.gov.au/icons/ecblank.gif">
          <a:extLst>
            <a:ext uri="{FF2B5EF4-FFF2-40B4-BE49-F238E27FC236}">
              <a16:creationId xmlns:a16="http://schemas.microsoft.com/office/drawing/2014/main" id="{00000000-0008-0000-0B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57" name="Picture 356" descr="http://www.abs.gov.au/icons/ecblank.gif">
          <a:extLst>
            <a:ext uri="{FF2B5EF4-FFF2-40B4-BE49-F238E27FC236}">
              <a16:creationId xmlns:a16="http://schemas.microsoft.com/office/drawing/2014/main" id="{00000000-0008-0000-0B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58" name="Picture 357" descr="http://www.abs.gov.au/icons/ecblank.gif">
          <a:extLst>
            <a:ext uri="{FF2B5EF4-FFF2-40B4-BE49-F238E27FC236}">
              <a16:creationId xmlns:a16="http://schemas.microsoft.com/office/drawing/2014/main" id="{00000000-0008-0000-0B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59" name="Picture 358" descr="http://www.abs.gov.au/icons/ecblank.gif">
          <a:extLst>
            <a:ext uri="{FF2B5EF4-FFF2-40B4-BE49-F238E27FC236}">
              <a16:creationId xmlns:a16="http://schemas.microsoft.com/office/drawing/2014/main" id="{00000000-0008-0000-0B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60" name="Picture 359" descr="http://www.abs.gov.au/icons/ecblank.gif">
          <a:extLst>
            <a:ext uri="{FF2B5EF4-FFF2-40B4-BE49-F238E27FC236}">
              <a16:creationId xmlns:a16="http://schemas.microsoft.com/office/drawing/2014/main" id="{00000000-0008-0000-0B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61" name="Picture 360" descr="http://www.abs.gov.au/icons/ecblank.gif">
          <a:extLst>
            <a:ext uri="{FF2B5EF4-FFF2-40B4-BE49-F238E27FC236}">
              <a16:creationId xmlns:a16="http://schemas.microsoft.com/office/drawing/2014/main" id="{00000000-0008-0000-0B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62" name="Picture 361" descr="http://www.abs.gov.au/icons/ecblank.gif">
          <a:extLst>
            <a:ext uri="{FF2B5EF4-FFF2-40B4-BE49-F238E27FC236}">
              <a16:creationId xmlns:a16="http://schemas.microsoft.com/office/drawing/2014/main" id="{00000000-0008-0000-0B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63" name="Picture 362" descr="http://www.abs.gov.au/icons/ecblank.gif">
          <a:extLst>
            <a:ext uri="{FF2B5EF4-FFF2-40B4-BE49-F238E27FC236}">
              <a16:creationId xmlns:a16="http://schemas.microsoft.com/office/drawing/2014/main" id="{00000000-0008-0000-0B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64" name="Picture 363" descr="http://www.abs.gov.au/icons/ecblank.gif">
          <a:extLst>
            <a:ext uri="{FF2B5EF4-FFF2-40B4-BE49-F238E27FC236}">
              <a16:creationId xmlns:a16="http://schemas.microsoft.com/office/drawing/2014/main" id="{00000000-0008-0000-0B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65" name="Picture 364" descr="http://www.abs.gov.au/icons/ecblank.gif">
          <a:extLst>
            <a:ext uri="{FF2B5EF4-FFF2-40B4-BE49-F238E27FC236}">
              <a16:creationId xmlns:a16="http://schemas.microsoft.com/office/drawing/2014/main" id="{00000000-0008-0000-0B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66" name="Picture 365" descr="http://www.abs.gov.au/icons/ecblank.gif">
          <a:extLst>
            <a:ext uri="{FF2B5EF4-FFF2-40B4-BE49-F238E27FC236}">
              <a16:creationId xmlns:a16="http://schemas.microsoft.com/office/drawing/2014/main" id="{00000000-0008-0000-0B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67" name="Picture 366" descr="http://www.abs.gov.au/icons/ecblank.gif">
          <a:extLst>
            <a:ext uri="{FF2B5EF4-FFF2-40B4-BE49-F238E27FC236}">
              <a16:creationId xmlns:a16="http://schemas.microsoft.com/office/drawing/2014/main" id="{00000000-0008-0000-0B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68" name="Picture 367" descr="http://www.abs.gov.au/icons/ecblank.gif">
          <a:extLst>
            <a:ext uri="{FF2B5EF4-FFF2-40B4-BE49-F238E27FC236}">
              <a16:creationId xmlns:a16="http://schemas.microsoft.com/office/drawing/2014/main" id="{00000000-0008-0000-0B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69" name="Picture 368" descr="http://www.abs.gov.au/icons/ecblank.gif">
          <a:extLst>
            <a:ext uri="{FF2B5EF4-FFF2-40B4-BE49-F238E27FC236}">
              <a16:creationId xmlns:a16="http://schemas.microsoft.com/office/drawing/2014/main" id="{00000000-0008-0000-0B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70" name="Picture 369" descr="http://www.abs.gov.au/icons/ecblank.gif">
          <a:extLst>
            <a:ext uri="{FF2B5EF4-FFF2-40B4-BE49-F238E27FC236}">
              <a16:creationId xmlns:a16="http://schemas.microsoft.com/office/drawing/2014/main" id="{00000000-0008-0000-0B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71" name="Picture 370" descr="http://www.abs.gov.au/icons/ecblank.gif">
          <a:extLst>
            <a:ext uri="{FF2B5EF4-FFF2-40B4-BE49-F238E27FC236}">
              <a16:creationId xmlns:a16="http://schemas.microsoft.com/office/drawing/2014/main" id="{00000000-0008-0000-0B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72" name="Picture 371" descr="http://www.abs.gov.au/icons/ecblank.gif">
          <a:extLst>
            <a:ext uri="{FF2B5EF4-FFF2-40B4-BE49-F238E27FC236}">
              <a16:creationId xmlns:a16="http://schemas.microsoft.com/office/drawing/2014/main" id="{00000000-0008-0000-0B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73" name="Picture 372" descr="http://www.abs.gov.au/icons/ecblank.gif">
          <a:extLst>
            <a:ext uri="{FF2B5EF4-FFF2-40B4-BE49-F238E27FC236}">
              <a16:creationId xmlns:a16="http://schemas.microsoft.com/office/drawing/2014/main" id="{00000000-0008-0000-0B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74" name="Picture 373" descr="http://www.abs.gov.au/icons/ecblank.gif">
          <a:extLst>
            <a:ext uri="{FF2B5EF4-FFF2-40B4-BE49-F238E27FC236}">
              <a16:creationId xmlns:a16="http://schemas.microsoft.com/office/drawing/2014/main" id="{00000000-0008-0000-0B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75" name="Picture 374" descr="http://www.abs.gov.au/icons/ecblank.gif">
          <a:extLst>
            <a:ext uri="{FF2B5EF4-FFF2-40B4-BE49-F238E27FC236}">
              <a16:creationId xmlns:a16="http://schemas.microsoft.com/office/drawing/2014/main" id="{00000000-0008-0000-0B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76" name="Picture 375" descr="http://www.abs.gov.au/icons/ecblank.gif">
          <a:extLst>
            <a:ext uri="{FF2B5EF4-FFF2-40B4-BE49-F238E27FC236}">
              <a16:creationId xmlns:a16="http://schemas.microsoft.com/office/drawing/2014/main" id="{00000000-0008-0000-0B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77" name="Picture 376" descr="http://www.abs.gov.au/icons/ecblank.gif">
          <a:extLst>
            <a:ext uri="{FF2B5EF4-FFF2-40B4-BE49-F238E27FC236}">
              <a16:creationId xmlns:a16="http://schemas.microsoft.com/office/drawing/2014/main" id="{00000000-0008-0000-0B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78" name="Picture 377" descr="http://www.abs.gov.au/icons/ecblank.gif">
          <a:extLst>
            <a:ext uri="{FF2B5EF4-FFF2-40B4-BE49-F238E27FC236}">
              <a16:creationId xmlns:a16="http://schemas.microsoft.com/office/drawing/2014/main" id="{00000000-0008-0000-0B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79" name="Picture 378" descr="http://www.abs.gov.au/icons/ecblank.gif">
          <a:extLst>
            <a:ext uri="{FF2B5EF4-FFF2-40B4-BE49-F238E27FC236}">
              <a16:creationId xmlns:a16="http://schemas.microsoft.com/office/drawing/2014/main" id="{00000000-0008-0000-0B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80" name="Picture 379" descr="http://www.abs.gov.au/icons/ecblank.gif">
          <a:extLst>
            <a:ext uri="{FF2B5EF4-FFF2-40B4-BE49-F238E27FC236}">
              <a16:creationId xmlns:a16="http://schemas.microsoft.com/office/drawing/2014/main" id="{00000000-0008-0000-0B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81" name="Picture 380" descr="http://www.abs.gov.au/icons/ecblank.gif">
          <a:extLst>
            <a:ext uri="{FF2B5EF4-FFF2-40B4-BE49-F238E27FC236}">
              <a16:creationId xmlns:a16="http://schemas.microsoft.com/office/drawing/2014/main" id="{00000000-0008-0000-0B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82" name="Picture 381" descr="http://www.abs.gov.au/icons/ecblank.gif">
          <a:extLst>
            <a:ext uri="{FF2B5EF4-FFF2-40B4-BE49-F238E27FC236}">
              <a16:creationId xmlns:a16="http://schemas.microsoft.com/office/drawing/2014/main" id="{00000000-0008-0000-0B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83" name="Picture 382" descr="http://www.abs.gov.au/icons/ecblank.gif">
          <a:extLst>
            <a:ext uri="{FF2B5EF4-FFF2-40B4-BE49-F238E27FC236}">
              <a16:creationId xmlns:a16="http://schemas.microsoft.com/office/drawing/2014/main" id="{00000000-0008-0000-0B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84" name="Picture 383" descr="http://www.abs.gov.au/icons/ecblank.gif">
          <a:extLst>
            <a:ext uri="{FF2B5EF4-FFF2-40B4-BE49-F238E27FC236}">
              <a16:creationId xmlns:a16="http://schemas.microsoft.com/office/drawing/2014/main" id="{00000000-0008-0000-0B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85" name="Picture 384" descr="http://www.abs.gov.au/icons/ecblank.gif">
          <a:extLst>
            <a:ext uri="{FF2B5EF4-FFF2-40B4-BE49-F238E27FC236}">
              <a16:creationId xmlns:a16="http://schemas.microsoft.com/office/drawing/2014/main" id="{00000000-0008-0000-0B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86" name="Picture 385" descr="http://www.abs.gov.au/icons/ecblank.gif">
          <a:extLst>
            <a:ext uri="{FF2B5EF4-FFF2-40B4-BE49-F238E27FC236}">
              <a16:creationId xmlns:a16="http://schemas.microsoft.com/office/drawing/2014/main" id="{00000000-0008-0000-0B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87" name="Picture 386" descr="http://www.abs.gov.au/icons/ecblank.gif">
          <a:extLst>
            <a:ext uri="{FF2B5EF4-FFF2-40B4-BE49-F238E27FC236}">
              <a16:creationId xmlns:a16="http://schemas.microsoft.com/office/drawing/2014/main" id="{00000000-0008-0000-0B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88" name="Picture 387" descr="http://www.abs.gov.au/icons/ecblank.gif">
          <a:extLst>
            <a:ext uri="{FF2B5EF4-FFF2-40B4-BE49-F238E27FC236}">
              <a16:creationId xmlns:a16="http://schemas.microsoft.com/office/drawing/2014/main" id="{00000000-0008-0000-0B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89" name="Picture 388" descr="http://www.abs.gov.au/icons/ecblank.gif">
          <a:extLst>
            <a:ext uri="{FF2B5EF4-FFF2-40B4-BE49-F238E27FC236}">
              <a16:creationId xmlns:a16="http://schemas.microsoft.com/office/drawing/2014/main" id="{00000000-0008-0000-0B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90" name="Picture 389" descr="http://www.abs.gov.au/icons/ecblank.gif">
          <a:extLst>
            <a:ext uri="{FF2B5EF4-FFF2-40B4-BE49-F238E27FC236}">
              <a16:creationId xmlns:a16="http://schemas.microsoft.com/office/drawing/2014/main" id="{00000000-0008-0000-0B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91" name="Picture 390" descr="http://www.abs.gov.au/icons/ecblank.gif">
          <a:extLst>
            <a:ext uri="{FF2B5EF4-FFF2-40B4-BE49-F238E27FC236}">
              <a16:creationId xmlns:a16="http://schemas.microsoft.com/office/drawing/2014/main" id="{00000000-0008-0000-0B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92" name="Picture 391" descr="http://www.abs.gov.au/icons/ecblank.gif">
          <a:extLst>
            <a:ext uri="{FF2B5EF4-FFF2-40B4-BE49-F238E27FC236}">
              <a16:creationId xmlns:a16="http://schemas.microsoft.com/office/drawing/2014/main" id="{00000000-0008-0000-0B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93" name="Picture 392" descr="http://www.abs.gov.au/icons/ecblank.gif">
          <a:extLst>
            <a:ext uri="{FF2B5EF4-FFF2-40B4-BE49-F238E27FC236}">
              <a16:creationId xmlns:a16="http://schemas.microsoft.com/office/drawing/2014/main" id="{00000000-0008-0000-0B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94" name="Picture 393" descr="http://www.abs.gov.au/icons/ecblank.gif">
          <a:extLst>
            <a:ext uri="{FF2B5EF4-FFF2-40B4-BE49-F238E27FC236}">
              <a16:creationId xmlns:a16="http://schemas.microsoft.com/office/drawing/2014/main" id="{00000000-0008-0000-0B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95" name="Picture 394" descr="http://www.abs.gov.au/icons/ecblank.gif">
          <a:extLst>
            <a:ext uri="{FF2B5EF4-FFF2-40B4-BE49-F238E27FC236}">
              <a16:creationId xmlns:a16="http://schemas.microsoft.com/office/drawing/2014/main" id="{00000000-0008-0000-0B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96" name="Picture 395" descr="http://www.abs.gov.au/icons/ecblank.gif">
          <a:extLst>
            <a:ext uri="{FF2B5EF4-FFF2-40B4-BE49-F238E27FC236}">
              <a16:creationId xmlns:a16="http://schemas.microsoft.com/office/drawing/2014/main" id="{00000000-0008-0000-0B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97" name="Picture 396" descr="http://www.abs.gov.au/icons/ecblank.gif">
          <a:extLst>
            <a:ext uri="{FF2B5EF4-FFF2-40B4-BE49-F238E27FC236}">
              <a16:creationId xmlns:a16="http://schemas.microsoft.com/office/drawing/2014/main" id="{00000000-0008-0000-0B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398" name="Picture 397" descr="http://www.abs.gov.au/icons/ecblank.gif">
          <a:extLst>
            <a:ext uri="{FF2B5EF4-FFF2-40B4-BE49-F238E27FC236}">
              <a16:creationId xmlns:a16="http://schemas.microsoft.com/office/drawing/2014/main" id="{00000000-0008-0000-0B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399" name="Picture 398" descr="http://www.abs.gov.au/icons/ecblank.gif">
          <a:extLst>
            <a:ext uri="{FF2B5EF4-FFF2-40B4-BE49-F238E27FC236}">
              <a16:creationId xmlns:a16="http://schemas.microsoft.com/office/drawing/2014/main" id="{00000000-0008-0000-0B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00" name="Picture 399" descr="http://www.abs.gov.au/icons/ecblank.gif">
          <a:extLst>
            <a:ext uri="{FF2B5EF4-FFF2-40B4-BE49-F238E27FC236}">
              <a16:creationId xmlns:a16="http://schemas.microsoft.com/office/drawing/2014/main" id="{00000000-0008-0000-0B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01" name="Picture 400" descr="http://www.abs.gov.au/icons/ecblank.gif">
          <a:extLst>
            <a:ext uri="{FF2B5EF4-FFF2-40B4-BE49-F238E27FC236}">
              <a16:creationId xmlns:a16="http://schemas.microsoft.com/office/drawing/2014/main" id="{00000000-0008-0000-0B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02" name="Picture 401" descr="http://www.abs.gov.au/icons/ecblank.gif">
          <a:extLst>
            <a:ext uri="{FF2B5EF4-FFF2-40B4-BE49-F238E27FC236}">
              <a16:creationId xmlns:a16="http://schemas.microsoft.com/office/drawing/2014/main" id="{00000000-0008-0000-0B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03" name="Picture 402" descr="http://www.abs.gov.au/icons/ecblank.gif">
          <a:extLst>
            <a:ext uri="{FF2B5EF4-FFF2-40B4-BE49-F238E27FC236}">
              <a16:creationId xmlns:a16="http://schemas.microsoft.com/office/drawing/2014/main" id="{00000000-0008-0000-0B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04" name="Picture 403" descr="http://www.abs.gov.au/icons/ecblank.gif">
          <a:extLst>
            <a:ext uri="{FF2B5EF4-FFF2-40B4-BE49-F238E27FC236}">
              <a16:creationId xmlns:a16="http://schemas.microsoft.com/office/drawing/2014/main" id="{00000000-0008-0000-0B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05" name="Picture 404" descr="http://www.abs.gov.au/icons/ecblank.gif">
          <a:extLst>
            <a:ext uri="{FF2B5EF4-FFF2-40B4-BE49-F238E27FC236}">
              <a16:creationId xmlns:a16="http://schemas.microsoft.com/office/drawing/2014/main" id="{00000000-0008-0000-0B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06" name="Picture 405" descr="http://www.abs.gov.au/icons/ecblank.gif">
          <a:extLst>
            <a:ext uri="{FF2B5EF4-FFF2-40B4-BE49-F238E27FC236}">
              <a16:creationId xmlns:a16="http://schemas.microsoft.com/office/drawing/2014/main" id="{00000000-0008-0000-0B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07" name="Picture 406" descr="http://www.abs.gov.au/icons/ecblank.gif">
          <a:extLst>
            <a:ext uri="{FF2B5EF4-FFF2-40B4-BE49-F238E27FC236}">
              <a16:creationId xmlns:a16="http://schemas.microsoft.com/office/drawing/2014/main" id="{00000000-0008-0000-0B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08" name="Picture 407" descr="http://www.abs.gov.au/icons/ecblank.gif">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09" name="Picture 408" descr="http://www.abs.gov.au/icons/ecblank.gif">
          <a:extLst>
            <a:ext uri="{FF2B5EF4-FFF2-40B4-BE49-F238E27FC236}">
              <a16:creationId xmlns:a16="http://schemas.microsoft.com/office/drawing/2014/main" id="{00000000-0008-0000-0B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10" name="Picture 409" descr="http://www.abs.gov.au/icons/ecblank.gif">
          <a:extLst>
            <a:ext uri="{FF2B5EF4-FFF2-40B4-BE49-F238E27FC236}">
              <a16:creationId xmlns:a16="http://schemas.microsoft.com/office/drawing/2014/main" id="{00000000-0008-0000-0B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11" name="Picture 410" descr="http://www.abs.gov.au/icons/ecblank.gif">
          <a:extLst>
            <a:ext uri="{FF2B5EF4-FFF2-40B4-BE49-F238E27FC236}">
              <a16:creationId xmlns:a16="http://schemas.microsoft.com/office/drawing/2014/main" id="{00000000-0008-0000-0B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12" name="Picture 411" descr="http://www.abs.gov.au/icons/ecblank.gif">
          <a:extLst>
            <a:ext uri="{FF2B5EF4-FFF2-40B4-BE49-F238E27FC236}">
              <a16:creationId xmlns:a16="http://schemas.microsoft.com/office/drawing/2014/main" id="{00000000-0008-0000-0B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13" name="Picture 412" descr="http://www.abs.gov.au/icons/ecblank.gif">
          <a:extLst>
            <a:ext uri="{FF2B5EF4-FFF2-40B4-BE49-F238E27FC236}">
              <a16:creationId xmlns:a16="http://schemas.microsoft.com/office/drawing/2014/main" id="{00000000-0008-0000-0B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14" name="Picture 413" descr="http://www.abs.gov.au/icons/ecblank.gif">
          <a:extLst>
            <a:ext uri="{FF2B5EF4-FFF2-40B4-BE49-F238E27FC236}">
              <a16:creationId xmlns:a16="http://schemas.microsoft.com/office/drawing/2014/main" id="{00000000-0008-0000-0B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15" name="Picture 414" descr="http://www.abs.gov.au/icons/ecblank.gif">
          <a:extLst>
            <a:ext uri="{FF2B5EF4-FFF2-40B4-BE49-F238E27FC236}">
              <a16:creationId xmlns:a16="http://schemas.microsoft.com/office/drawing/2014/main" id="{00000000-0008-0000-0B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16" name="Picture 415" descr="http://www.abs.gov.au/icons/ecblank.gif">
          <a:extLst>
            <a:ext uri="{FF2B5EF4-FFF2-40B4-BE49-F238E27FC236}">
              <a16:creationId xmlns:a16="http://schemas.microsoft.com/office/drawing/2014/main" id="{00000000-0008-0000-0B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17" name="Picture 416" descr="http://www.abs.gov.au/icons/ecblank.gif">
          <a:extLst>
            <a:ext uri="{FF2B5EF4-FFF2-40B4-BE49-F238E27FC236}">
              <a16:creationId xmlns:a16="http://schemas.microsoft.com/office/drawing/2014/main" id="{00000000-0008-0000-0B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18" name="Picture 417" descr="http://www.abs.gov.au/icons/ecblank.gif">
          <a:extLst>
            <a:ext uri="{FF2B5EF4-FFF2-40B4-BE49-F238E27FC236}">
              <a16:creationId xmlns:a16="http://schemas.microsoft.com/office/drawing/2014/main" id="{00000000-0008-0000-0B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19" name="Picture 418" descr="http://www.abs.gov.au/icons/ecblank.gif">
          <a:extLst>
            <a:ext uri="{FF2B5EF4-FFF2-40B4-BE49-F238E27FC236}">
              <a16:creationId xmlns:a16="http://schemas.microsoft.com/office/drawing/2014/main" id="{00000000-0008-0000-0B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20" name="Picture 419" descr="http://www.abs.gov.au/icons/ecblank.gif">
          <a:extLst>
            <a:ext uri="{FF2B5EF4-FFF2-40B4-BE49-F238E27FC236}">
              <a16:creationId xmlns:a16="http://schemas.microsoft.com/office/drawing/2014/main" id="{00000000-0008-0000-0B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21" name="Picture 420" descr="http://www.abs.gov.au/icons/ecblank.gif">
          <a:extLst>
            <a:ext uri="{FF2B5EF4-FFF2-40B4-BE49-F238E27FC236}">
              <a16:creationId xmlns:a16="http://schemas.microsoft.com/office/drawing/2014/main" id="{00000000-0008-0000-0B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22" name="Picture 421" descr="http://www.abs.gov.au/icons/ecblank.gif">
          <a:extLst>
            <a:ext uri="{FF2B5EF4-FFF2-40B4-BE49-F238E27FC236}">
              <a16:creationId xmlns:a16="http://schemas.microsoft.com/office/drawing/2014/main" id="{00000000-0008-0000-0B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23" name="Picture 422" descr="http://www.abs.gov.au/icons/ecblank.gif">
          <a:extLst>
            <a:ext uri="{FF2B5EF4-FFF2-40B4-BE49-F238E27FC236}">
              <a16:creationId xmlns:a16="http://schemas.microsoft.com/office/drawing/2014/main" id="{00000000-0008-0000-0B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24" name="Picture 423" descr="http://www.abs.gov.au/icons/ecblank.gif">
          <a:extLst>
            <a:ext uri="{FF2B5EF4-FFF2-40B4-BE49-F238E27FC236}">
              <a16:creationId xmlns:a16="http://schemas.microsoft.com/office/drawing/2014/main" id="{00000000-0008-0000-0B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25" name="Picture 424" descr="http://www.abs.gov.au/icons/ecblank.gif">
          <a:extLst>
            <a:ext uri="{FF2B5EF4-FFF2-40B4-BE49-F238E27FC236}">
              <a16:creationId xmlns:a16="http://schemas.microsoft.com/office/drawing/2014/main" id="{00000000-0008-0000-0B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26" name="Picture 425" descr="http://www.abs.gov.au/icons/ecblank.gif">
          <a:extLst>
            <a:ext uri="{FF2B5EF4-FFF2-40B4-BE49-F238E27FC236}">
              <a16:creationId xmlns:a16="http://schemas.microsoft.com/office/drawing/2014/main" id="{00000000-0008-0000-0B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27" name="Picture 426" descr="http://www.abs.gov.au/icons/ecblank.gif">
          <a:extLst>
            <a:ext uri="{FF2B5EF4-FFF2-40B4-BE49-F238E27FC236}">
              <a16:creationId xmlns:a16="http://schemas.microsoft.com/office/drawing/2014/main" id="{00000000-0008-0000-0B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28" name="Picture 427" descr="http://www.abs.gov.au/icons/ecblank.gif">
          <a:extLst>
            <a:ext uri="{FF2B5EF4-FFF2-40B4-BE49-F238E27FC236}">
              <a16:creationId xmlns:a16="http://schemas.microsoft.com/office/drawing/2014/main" id="{00000000-0008-0000-0B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29" name="Picture 428" descr="http://www.abs.gov.au/icons/ecblank.gif">
          <a:extLst>
            <a:ext uri="{FF2B5EF4-FFF2-40B4-BE49-F238E27FC236}">
              <a16:creationId xmlns:a16="http://schemas.microsoft.com/office/drawing/2014/main" id="{00000000-0008-0000-0B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30" name="Picture 429" descr="http://www.abs.gov.au/icons/ecblank.gif">
          <a:extLst>
            <a:ext uri="{FF2B5EF4-FFF2-40B4-BE49-F238E27FC236}">
              <a16:creationId xmlns:a16="http://schemas.microsoft.com/office/drawing/2014/main" id="{00000000-0008-0000-0B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31" name="Picture 430" descr="http://www.abs.gov.au/icons/ecblank.gif">
          <a:extLst>
            <a:ext uri="{FF2B5EF4-FFF2-40B4-BE49-F238E27FC236}">
              <a16:creationId xmlns:a16="http://schemas.microsoft.com/office/drawing/2014/main" id="{00000000-0008-0000-0B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32" name="Picture 431" descr="http://www.abs.gov.au/icons/ecblank.gif">
          <a:extLst>
            <a:ext uri="{FF2B5EF4-FFF2-40B4-BE49-F238E27FC236}">
              <a16:creationId xmlns:a16="http://schemas.microsoft.com/office/drawing/2014/main" id="{00000000-0008-0000-0B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33" name="Picture 432" descr="http://www.abs.gov.au/icons/ecblank.gif">
          <a:extLst>
            <a:ext uri="{FF2B5EF4-FFF2-40B4-BE49-F238E27FC236}">
              <a16:creationId xmlns:a16="http://schemas.microsoft.com/office/drawing/2014/main" id="{00000000-0008-0000-0B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34" name="Picture 433" descr="http://www.abs.gov.au/icons/ecblank.gif">
          <a:extLst>
            <a:ext uri="{FF2B5EF4-FFF2-40B4-BE49-F238E27FC236}">
              <a16:creationId xmlns:a16="http://schemas.microsoft.com/office/drawing/2014/main" id="{00000000-0008-0000-0B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35" name="Picture 434" descr="http://www.abs.gov.au/icons/ecblank.gif">
          <a:extLst>
            <a:ext uri="{FF2B5EF4-FFF2-40B4-BE49-F238E27FC236}">
              <a16:creationId xmlns:a16="http://schemas.microsoft.com/office/drawing/2014/main" id="{00000000-0008-0000-0B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36" name="Picture 435" descr="http://www.abs.gov.au/icons/ecblank.gif">
          <a:extLst>
            <a:ext uri="{FF2B5EF4-FFF2-40B4-BE49-F238E27FC236}">
              <a16:creationId xmlns:a16="http://schemas.microsoft.com/office/drawing/2014/main" id="{00000000-0008-0000-0B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37" name="Picture 436" descr="http://www.abs.gov.au/icons/ecblank.gif">
          <a:extLst>
            <a:ext uri="{FF2B5EF4-FFF2-40B4-BE49-F238E27FC236}">
              <a16:creationId xmlns:a16="http://schemas.microsoft.com/office/drawing/2014/main" id="{00000000-0008-0000-0B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38" name="Picture 437" descr="http://www.abs.gov.au/icons/ecblank.gif">
          <a:extLst>
            <a:ext uri="{FF2B5EF4-FFF2-40B4-BE49-F238E27FC236}">
              <a16:creationId xmlns:a16="http://schemas.microsoft.com/office/drawing/2014/main" id="{00000000-0008-0000-0B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39" name="Picture 438" descr="http://www.abs.gov.au/icons/ecblank.gif">
          <a:extLst>
            <a:ext uri="{FF2B5EF4-FFF2-40B4-BE49-F238E27FC236}">
              <a16:creationId xmlns:a16="http://schemas.microsoft.com/office/drawing/2014/main" id="{00000000-0008-0000-0B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40" name="Picture 439" descr="http://www.abs.gov.au/icons/ecblank.gif">
          <a:extLst>
            <a:ext uri="{FF2B5EF4-FFF2-40B4-BE49-F238E27FC236}">
              <a16:creationId xmlns:a16="http://schemas.microsoft.com/office/drawing/2014/main" id="{00000000-0008-0000-0B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41" name="Picture 440" descr="http://www.abs.gov.au/icons/ecblank.gif">
          <a:extLst>
            <a:ext uri="{FF2B5EF4-FFF2-40B4-BE49-F238E27FC236}">
              <a16:creationId xmlns:a16="http://schemas.microsoft.com/office/drawing/2014/main" id="{00000000-0008-0000-0B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42" name="Picture 441" descr="http://www.abs.gov.au/icons/ecblank.gif">
          <a:extLst>
            <a:ext uri="{FF2B5EF4-FFF2-40B4-BE49-F238E27FC236}">
              <a16:creationId xmlns:a16="http://schemas.microsoft.com/office/drawing/2014/main" id="{00000000-0008-0000-0B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43" name="Picture 442" descr="http://www.abs.gov.au/icons/ecblank.gif">
          <a:extLst>
            <a:ext uri="{FF2B5EF4-FFF2-40B4-BE49-F238E27FC236}">
              <a16:creationId xmlns:a16="http://schemas.microsoft.com/office/drawing/2014/main" id="{00000000-0008-0000-0B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44" name="Picture 443" descr="http://www.abs.gov.au/icons/ecblank.gif">
          <a:extLst>
            <a:ext uri="{FF2B5EF4-FFF2-40B4-BE49-F238E27FC236}">
              <a16:creationId xmlns:a16="http://schemas.microsoft.com/office/drawing/2014/main" id="{00000000-0008-0000-0B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45" name="Picture 444" descr="http://www.abs.gov.au/icons/ecblank.gif">
          <a:extLst>
            <a:ext uri="{FF2B5EF4-FFF2-40B4-BE49-F238E27FC236}">
              <a16:creationId xmlns:a16="http://schemas.microsoft.com/office/drawing/2014/main" id="{00000000-0008-0000-0B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46" name="Picture 445" descr="http://www.abs.gov.au/icons/ecblank.gif">
          <a:extLst>
            <a:ext uri="{FF2B5EF4-FFF2-40B4-BE49-F238E27FC236}">
              <a16:creationId xmlns:a16="http://schemas.microsoft.com/office/drawing/2014/main" id="{00000000-0008-0000-0B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47" name="Picture 446" descr="http://www.abs.gov.au/icons/ecblank.gif">
          <a:extLst>
            <a:ext uri="{FF2B5EF4-FFF2-40B4-BE49-F238E27FC236}">
              <a16:creationId xmlns:a16="http://schemas.microsoft.com/office/drawing/2014/main" id="{00000000-0008-0000-0B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48" name="Picture 447" descr="http://www.abs.gov.au/icons/ecblank.gif">
          <a:extLst>
            <a:ext uri="{FF2B5EF4-FFF2-40B4-BE49-F238E27FC236}">
              <a16:creationId xmlns:a16="http://schemas.microsoft.com/office/drawing/2014/main" id="{00000000-0008-0000-0B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49" name="Picture 448" descr="http://www.abs.gov.au/icons/ecblank.gif">
          <a:extLst>
            <a:ext uri="{FF2B5EF4-FFF2-40B4-BE49-F238E27FC236}">
              <a16:creationId xmlns:a16="http://schemas.microsoft.com/office/drawing/2014/main" id="{00000000-0008-0000-0B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50" name="Picture 449" descr="http://www.abs.gov.au/icons/ecblank.gif">
          <a:extLst>
            <a:ext uri="{FF2B5EF4-FFF2-40B4-BE49-F238E27FC236}">
              <a16:creationId xmlns:a16="http://schemas.microsoft.com/office/drawing/2014/main" id="{00000000-0008-0000-0B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51" name="Picture 450" descr="http://www.abs.gov.au/icons/ecblank.gif">
          <a:extLst>
            <a:ext uri="{FF2B5EF4-FFF2-40B4-BE49-F238E27FC236}">
              <a16:creationId xmlns:a16="http://schemas.microsoft.com/office/drawing/2014/main" id="{00000000-0008-0000-0B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52" name="Picture 451" descr="http://www.abs.gov.au/icons/ecblank.gif">
          <a:extLst>
            <a:ext uri="{FF2B5EF4-FFF2-40B4-BE49-F238E27FC236}">
              <a16:creationId xmlns:a16="http://schemas.microsoft.com/office/drawing/2014/main" id="{00000000-0008-0000-0B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53" name="Picture 452" descr="http://www.abs.gov.au/icons/ecblank.gif">
          <a:extLst>
            <a:ext uri="{FF2B5EF4-FFF2-40B4-BE49-F238E27FC236}">
              <a16:creationId xmlns:a16="http://schemas.microsoft.com/office/drawing/2014/main" id="{00000000-0008-0000-0B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54" name="Picture 453" descr="http://www.abs.gov.au/icons/ecblank.gif">
          <a:extLst>
            <a:ext uri="{FF2B5EF4-FFF2-40B4-BE49-F238E27FC236}">
              <a16:creationId xmlns:a16="http://schemas.microsoft.com/office/drawing/2014/main" id="{00000000-0008-0000-0B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55" name="Picture 454" descr="http://www.abs.gov.au/icons/ecblank.gif">
          <a:extLst>
            <a:ext uri="{FF2B5EF4-FFF2-40B4-BE49-F238E27FC236}">
              <a16:creationId xmlns:a16="http://schemas.microsoft.com/office/drawing/2014/main" id="{00000000-0008-0000-0B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56" name="Picture 455" descr="http://www.abs.gov.au/icons/ecblank.gif">
          <a:extLst>
            <a:ext uri="{FF2B5EF4-FFF2-40B4-BE49-F238E27FC236}">
              <a16:creationId xmlns:a16="http://schemas.microsoft.com/office/drawing/2014/main" id="{00000000-0008-0000-0B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57" name="Picture 456" descr="http://www.abs.gov.au/icons/ecblank.gif">
          <a:extLst>
            <a:ext uri="{FF2B5EF4-FFF2-40B4-BE49-F238E27FC236}">
              <a16:creationId xmlns:a16="http://schemas.microsoft.com/office/drawing/2014/main" id="{00000000-0008-0000-0B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58" name="Picture 457" descr="http://www.abs.gov.au/icons/ecblank.gif">
          <a:extLst>
            <a:ext uri="{FF2B5EF4-FFF2-40B4-BE49-F238E27FC236}">
              <a16:creationId xmlns:a16="http://schemas.microsoft.com/office/drawing/2014/main" id="{00000000-0008-0000-0B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59" name="Picture 458" descr="http://www.abs.gov.au/icons/ecblank.gif">
          <a:extLst>
            <a:ext uri="{FF2B5EF4-FFF2-40B4-BE49-F238E27FC236}">
              <a16:creationId xmlns:a16="http://schemas.microsoft.com/office/drawing/2014/main" id="{00000000-0008-0000-0B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60" name="Picture 459" descr="http://www.abs.gov.au/icons/ecblank.gif">
          <a:extLst>
            <a:ext uri="{FF2B5EF4-FFF2-40B4-BE49-F238E27FC236}">
              <a16:creationId xmlns:a16="http://schemas.microsoft.com/office/drawing/2014/main" id="{00000000-0008-0000-0B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61" name="Picture 460" descr="http://www.abs.gov.au/icons/ecblank.gif">
          <a:extLst>
            <a:ext uri="{FF2B5EF4-FFF2-40B4-BE49-F238E27FC236}">
              <a16:creationId xmlns:a16="http://schemas.microsoft.com/office/drawing/2014/main" id="{00000000-0008-0000-0B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62" name="Picture 461" descr="http://www.abs.gov.au/icons/ecblank.gif">
          <a:extLst>
            <a:ext uri="{FF2B5EF4-FFF2-40B4-BE49-F238E27FC236}">
              <a16:creationId xmlns:a16="http://schemas.microsoft.com/office/drawing/2014/main" id="{00000000-0008-0000-0B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63" name="Picture 462" descr="http://www.abs.gov.au/icons/ecblank.gif">
          <a:extLst>
            <a:ext uri="{FF2B5EF4-FFF2-40B4-BE49-F238E27FC236}">
              <a16:creationId xmlns:a16="http://schemas.microsoft.com/office/drawing/2014/main" id="{00000000-0008-0000-0B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64" name="Picture 463" descr="http://www.abs.gov.au/icons/ecblank.gif">
          <a:extLst>
            <a:ext uri="{FF2B5EF4-FFF2-40B4-BE49-F238E27FC236}">
              <a16:creationId xmlns:a16="http://schemas.microsoft.com/office/drawing/2014/main" id="{00000000-0008-0000-0B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65" name="Picture 464" descr="http://www.abs.gov.au/icons/ecblank.gif">
          <a:extLst>
            <a:ext uri="{FF2B5EF4-FFF2-40B4-BE49-F238E27FC236}">
              <a16:creationId xmlns:a16="http://schemas.microsoft.com/office/drawing/2014/main" id="{00000000-0008-0000-0B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66" name="Picture 465" descr="http://www.abs.gov.au/icons/ecblank.gif">
          <a:extLst>
            <a:ext uri="{FF2B5EF4-FFF2-40B4-BE49-F238E27FC236}">
              <a16:creationId xmlns:a16="http://schemas.microsoft.com/office/drawing/2014/main" id="{00000000-0008-0000-0B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67" name="Picture 466" descr="http://www.abs.gov.au/icons/ecblank.gif">
          <a:extLst>
            <a:ext uri="{FF2B5EF4-FFF2-40B4-BE49-F238E27FC236}">
              <a16:creationId xmlns:a16="http://schemas.microsoft.com/office/drawing/2014/main" id="{00000000-0008-0000-0B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68" name="Picture 467" descr="http://www.abs.gov.au/icons/ecblank.gif">
          <a:extLst>
            <a:ext uri="{FF2B5EF4-FFF2-40B4-BE49-F238E27FC236}">
              <a16:creationId xmlns:a16="http://schemas.microsoft.com/office/drawing/2014/main" id="{00000000-0008-0000-0B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69" name="Picture 468" descr="http://www.abs.gov.au/icons/ecblank.gif">
          <a:extLst>
            <a:ext uri="{FF2B5EF4-FFF2-40B4-BE49-F238E27FC236}">
              <a16:creationId xmlns:a16="http://schemas.microsoft.com/office/drawing/2014/main" id="{00000000-0008-0000-0B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70" name="Picture 469" descr="http://www.abs.gov.au/icons/ecblank.gif">
          <a:extLst>
            <a:ext uri="{FF2B5EF4-FFF2-40B4-BE49-F238E27FC236}">
              <a16:creationId xmlns:a16="http://schemas.microsoft.com/office/drawing/2014/main" id="{00000000-0008-0000-0B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71" name="Picture 470" descr="http://www.abs.gov.au/icons/ecblank.gif">
          <a:extLst>
            <a:ext uri="{FF2B5EF4-FFF2-40B4-BE49-F238E27FC236}">
              <a16:creationId xmlns:a16="http://schemas.microsoft.com/office/drawing/2014/main" id="{00000000-0008-0000-0B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72" name="Picture 471" descr="http://www.abs.gov.au/icons/ecblank.gif">
          <a:extLst>
            <a:ext uri="{FF2B5EF4-FFF2-40B4-BE49-F238E27FC236}">
              <a16:creationId xmlns:a16="http://schemas.microsoft.com/office/drawing/2014/main" id="{00000000-0008-0000-0B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73" name="Picture 472" descr="http://www.abs.gov.au/icons/ecblank.gif">
          <a:extLst>
            <a:ext uri="{FF2B5EF4-FFF2-40B4-BE49-F238E27FC236}">
              <a16:creationId xmlns:a16="http://schemas.microsoft.com/office/drawing/2014/main" id="{00000000-0008-0000-0B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74" name="Picture 473" descr="http://www.abs.gov.au/icons/ecblank.gif">
          <a:extLst>
            <a:ext uri="{FF2B5EF4-FFF2-40B4-BE49-F238E27FC236}">
              <a16:creationId xmlns:a16="http://schemas.microsoft.com/office/drawing/2014/main" id="{00000000-0008-0000-0B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474</xdr:row>
      <xdr:rowOff>0</xdr:rowOff>
    </xdr:from>
    <xdr:ext cx="9525" cy="9525"/>
    <xdr:pic>
      <xdr:nvPicPr>
        <xdr:cNvPr id="475" name="Picture 474" descr="http://www.abs.gov.au/icons/ecblank.gif">
          <a:extLst>
            <a:ext uri="{FF2B5EF4-FFF2-40B4-BE49-F238E27FC236}">
              <a16:creationId xmlns:a16="http://schemas.microsoft.com/office/drawing/2014/main" id="{00000000-0008-0000-0B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76" name="Picture 475" descr="http://www.abs.gov.au/icons/ecblank.gif">
          <a:extLst>
            <a:ext uri="{FF2B5EF4-FFF2-40B4-BE49-F238E27FC236}">
              <a16:creationId xmlns:a16="http://schemas.microsoft.com/office/drawing/2014/main" id="{00000000-0008-0000-0B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77" name="Picture 476" descr="http://www.abs.gov.au/icons/ecblank.gif">
          <a:extLst>
            <a:ext uri="{FF2B5EF4-FFF2-40B4-BE49-F238E27FC236}">
              <a16:creationId xmlns:a16="http://schemas.microsoft.com/office/drawing/2014/main" id="{00000000-0008-0000-0B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474</xdr:row>
      <xdr:rowOff>0</xdr:rowOff>
    </xdr:from>
    <xdr:ext cx="9525" cy="9525"/>
    <xdr:pic>
      <xdr:nvPicPr>
        <xdr:cNvPr id="478" name="Picture 477" descr="http://www.abs.gov.au/icons/ecblank.gif">
          <a:extLst>
            <a:ext uri="{FF2B5EF4-FFF2-40B4-BE49-F238E27FC236}">
              <a16:creationId xmlns:a16="http://schemas.microsoft.com/office/drawing/2014/main" id="{00000000-0008-0000-0B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479" name="Picture 478" descr="http://www.abs.gov.au/icons/ecblank.gif">
          <a:extLst>
            <a:ext uri="{FF2B5EF4-FFF2-40B4-BE49-F238E27FC236}">
              <a16:creationId xmlns:a16="http://schemas.microsoft.com/office/drawing/2014/main" id="{00000000-0008-0000-0B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80" name="Picture 479" descr="http://www.abs.gov.au/icons/ecblank.gif">
          <a:extLst>
            <a:ext uri="{FF2B5EF4-FFF2-40B4-BE49-F238E27FC236}">
              <a16:creationId xmlns:a16="http://schemas.microsoft.com/office/drawing/2014/main" id="{00000000-0008-0000-0B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81" name="Picture 480" descr="http://www.abs.gov.au/icons/ecblank.gif">
          <a:extLst>
            <a:ext uri="{FF2B5EF4-FFF2-40B4-BE49-F238E27FC236}">
              <a16:creationId xmlns:a16="http://schemas.microsoft.com/office/drawing/2014/main" id="{00000000-0008-0000-0B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82" name="Picture 481" descr="http://www.abs.gov.au/icons/ecblank.gif">
          <a:extLst>
            <a:ext uri="{FF2B5EF4-FFF2-40B4-BE49-F238E27FC236}">
              <a16:creationId xmlns:a16="http://schemas.microsoft.com/office/drawing/2014/main" id="{00000000-0008-0000-0B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483" name="Picture 482" descr="http://www.abs.gov.au/icons/ecblank.gif">
          <a:extLst>
            <a:ext uri="{FF2B5EF4-FFF2-40B4-BE49-F238E27FC236}">
              <a16:creationId xmlns:a16="http://schemas.microsoft.com/office/drawing/2014/main" id="{00000000-0008-0000-0B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84" name="Picture 483" descr="http://www.abs.gov.au/icons/ecblank.gif">
          <a:extLst>
            <a:ext uri="{FF2B5EF4-FFF2-40B4-BE49-F238E27FC236}">
              <a16:creationId xmlns:a16="http://schemas.microsoft.com/office/drawing/2014/main" id="{00000000-0008-0000-0B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85" name="Picture 484" descr="http://www.abs.gov.au/icons/ecblank.gif">
          <a:extLst>
            <a:ext uri="{FF2B5EF4-FFF2-40B4-BE49-F238E27FC236}">
              <a16:creationId xmlns:a16="http://schemas.microsoft.com/office/drawing/2014/main" id="{00000000-0008-0000-0B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86" name="Picture 485" descr="http://www.abs.gov.au/icons/ecblank.gif">
          <a:extLst>
            <a:ext uri="{FF2B5EF4-FFF2-40B4-BE49-F238E27FC236}">
              <a16:creationId xmlns:a16="http://schemas.microsoft.com/office/drawing/2014/main" id="{00000000-0008-0000-0B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487" name="Picture 486" descr="http://www.abs.gov.au/icons/ecblank.gif">
          <a:extLst>
            <a:ext uri="{FF2B5EF4-FFF2-40B4-BE49-F238E27FC236}">
              <a16:creationId xmlns:a16="http://schemas.microsoft.com/office/drawing/2014/main" id="{00000000-0008-0000-0B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88" name="Picture 487" descr="http://www.abs.gov.au/icons/ecblank.gif">
          <a:extLst>
            <a:ext uri="{FF2B5EF4-FFF2-40B4-BE49-F238E27FC236}">
              <a16:creationId xmlns:a16="http://schemas.microsoft.com/office/drawing/2014/main" id="{00000000-0008-0000-0B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89" name="Picture 488" descr="http://www.abs.gov.au/icons/ecblank.gif">
          <a:extLst>
            <a:ext uri="{FF2B5EF4-FFF2-40B4-BE49-F238E27FC236}">
              <a16:creationId xmlns:a16="http://schemas.microsoft.com/office/drawing/2014/main" id="{00000000-0008-0000-0B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90" name="Picture 489" descr="http://www.abs.gov.au/icons/ecblank.gif">
          <a:extLst>
            <a:ext uri="{FF2B5EF4-FFF2-40B4-BE49-F238E27FC236}">
              <a16:creationId xmlns:a16="http://schemas.microsoft.com/office/drawing/2014/main" id="{00000000-0008-0000-0B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491" name="Picture 490" descr="http://www.abs.gov.au/icons/ecblank.gif">
          <a:extLst>
            <a:ext uri="{FF2B5EF4-FFF2-40B4-BE49-F238E27FC236}">
              <a16:creationId xmlns:a16="http://schemas.microsoft.com/office/drawing/2014/main" id="{00000000-0008-0000-0B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92" name="Picture 491" descr="http://www.abs.gov.au/icons/ecblank.gif">
          <a:extLst>
            <a:ext uri="{FF2B5EF4-FFF2-40B4-BE49-F238E27FC236}">
              <a16:creationId xmlns:a16="http://schemas.microsoft.com/office/drawing/2014/main" id="{00000000-0008-0000-0B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93" name="Picture 492" descr="http://www.abs.gov.au/icons/ecblank.gif">
          <a:extLst>
            <a:ext uri="{FF2B5EF4-FFF2-40B4-BE49-F238E27FC236}">
              <a16:creationId xmlns:a16="http://schemas.microsoft.com/office/drawing/2014/main" id="{00000000-0008-0000-0B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94" name="Picture 493" descr="http://www.abs.gov.au/icons/ecblank.gif">
          <a:extLst>
            <a:ext uri="{FF2B5EF4-FFF2-40B4-BE49-F238E27FC236}">
              <a16:creationId xmlns:a16="http://schemas.microsoft.com/office/drawing/2014/main" id="{00000000-0008-0000-0B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495" name="Picture 494" descr="http://www.abs.gov.au/icons/ecblank.gif">
          <a:extLst>
            <a:ext uri="{FF2B5EF4-FFF2-40B4-BE49-F238E27FC236}">
              <a16:creationId xmlns:a16="http://schemas.microsoft.com/office/drawing/2014/main" id="{00000000-0008-0000-0B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96" name="Picture 495" descr="http://www.abs.gov.au/icons/ecblank.gif">
          <a:extLst>
            <a:ext uri="{FF2B5EF4-FFF2-40B4-BE49-F238E27FC236}">
              <a16:creationId xmlns:a16="http://schemas.microsoft.com/office/drawing/2014/main" id="{00000000-0008-0000-0B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97" name="Picture 496" descr="http://www.abs.gov.au/icons/ecblank.gif">
          <a:extLst>
            <a:ext uri="{FF2B5EF4-FFF2-40B4-BE49-F238E27FC236}">
              <a16:creationId xmlns:a16="http://schemas.microsoft.com/office/drawing/2014/main" id="{00000000-0008-0000-0B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498" name="Picture 497" descr="http://www.abs.gov.au/icons/ecblank.gif">
          <a:extLst>
            <a:ext uri="{FF2B5EF4-FFF2-40B4-BE49-F238E27FC236}">
              <a16:creationId xmlns:a16="http://schemas.microsoft.com/office/drawing/2014/main" id="{00000000-0008-0000-0B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499" name="Picture 498" descr="http://www.abs.gov.au/icons/ecblank.gif">
          <a:extLst>
            <a:ext uri="{FF2B5EF4-FFF2-40B4-BE49-F238E27FC236}">
              <a16:creationId xmlns:a16="http://schemas.microsoft.com/office/drawing/2014/main" id="{00000000-0008-0000-0B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00" name="Picture 499" descr="http://www.abs.gov.au/icons/ecblank.gif">
          <a:extLst>
            <a:ext uri="{FF2B5EF4-FFF2-40B4-BE49-F238E27FC236}">
              <a16:creationId xmlns:a16="http://schemas.microsoft.com/office/drawing/2014/main" id="{00000000-0008-0000-0B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01" name="Picture 500" descr="http://www.abs.gov.au/icons/ecblank.gif">
          <a:extLst>
            <a:ext uri="{FF2B5EF4-FFF2-40B4-BE49-F238E27FC236}">
              <a16:creationId xmlns:a16="http://schemas.microsoft.com/office/drawing/2014/main" id="{00000000-0008-0000-0B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02" name="Picture 501" descr="http://www.abs.gov.au/icons/ecblank.gif">
          <a:extLst>
            <a:ext uri="{FF2B5EF4-FFF2-40B4-BE49-F238E27FC236}">
              <a16:creationId xmlns:a16="http://schemas.microsoft.com/office/drawing/2014/main" id="{00000000-0008-0000-0B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03" name="Picture 502" descr="http://www.abs.gov.au/icons/ecblank.gif">
          <a:extLst>
            <a:ext uri="{FF2B5EF4-FFF2-40B4-BE49-F238E27FC236}">
              <a16:creationId xmlns:a16="http://schemas.microsoft.com/office/drawing/2014/main" id="{00000000-0008-0000-0B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04" name="Picture 503" descr="http://www.abs.gov.au/icons/ecblank.gif">
          <a:extLst>
            <a:ext uri="{FF2B5EF4-FFF2-40B4-BE49-F238E27FC236}">
              <a16:creationId xmlns:a16="http://schemas.microsoft.com/office/drawing/2014/main" id="{00000000-0008-0000-0B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05" name="Picture 504" descr="http://www.abs.gov.au/icons/ecblank.gif">
          <a:extLst>
            <a:ext uri="{FF2B5EF4-FFF2-40B4-BE49-F238E27FC236}">
              <a16:creationId xmlns:a16="http://schemas.microsoft.com/office/drawing/2014/main" id="{00000000-0008-0000-0B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06" name="Picture 505" descr="http://www.abs.gov.au/icons/ecblank.gif">
          <a:extLst>
            <a:ext uri="{FF2B5EF4-FFF2-40B4-BE49-F238E27FC236}">
              <a16:creationId xmlns:a16="http://schemas.microsoft.com/office/drawing/2014/main" id="{00000000-0008-0000-0B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07" name="Picture 506" descr="http://www.abs.gov.au/icons/ecblank.gif">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08" name="Picture 507" descr="http://www.abs.gov.au/icons/ecblank.gif">
          <a:extLst>
            <a:ext uri="{FF2B5EF4-FFF2-40B4-BE49-F238E27FC236}">
              <a16:creationId xmlns:a16="http://schemas.microsoft.com/office/drawing/2014/main" id="{00000000-0008-0000-0B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09" name="Picture 508" descr="http://www.abs.gov.au/icons/ecblank.gif">
          <a:extLst>
            <a:ext uri="{FF2B5EF4-FFF2-40B4-BE49-F238E27FC236}">
              <a16:creationId xmlns:a16="http://schemas.microsoft.com/office/drawing/2014/main" id="{00000000-0008-0000-0B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10" name="Picture 509" descr="http://www.abs.gov.au/icons/ecblank.gif">
          <a:extLst>
            <a:ext uri="{FF2B5EF4-FFF2-40B4-BE49-F238E27FC236}">
              <a16:creationId xmlns:a16="http://schemas.microsoft.com/office/drawing/2014/main" id="{00000000-0008-0000-0B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11" name="Picture 510" descr="http://www.abs.gov.au/icons/ecblank.gif">
          <a:extLst>
            <a:ext uri="{FF2B5EF4-FFF2-40B4-BE49-F238E27FC236}">
              <a16:creationId xmlns:a16="http://schemas.microsoft.com/office/drawing/2014/main" id="{00000000-0008-0000-0B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12" name="Picture 511" descr="http://www.abs.gov.au/icons/ecblank.gif">
          <a:extLst>
            <a:ext uri="{FF2B5EF4-FFF2-40B4-BE49-F238E27FC236}">
              <a16:creationId xmlns:a16="http://schemas.microsoft.com/office/drawing/2014/main" id="{00000000-0008-0000-0B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13" name="Picture 512" descr="http://www.abs.gov.au/icons/ecblank.gif">
          <a:extLst>
            <a:ext uri="{FF2B5EF4-FFF2-40B4-BE49-F238E27FC236}">
              <a16:creationId xmlns:a16="http://schemas.microsoft.com/office/drawing/2014/main" id="{00000000-0008-0000-0B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14" name="Picture 513" descr="http://www.abs.gov.au/icons/ecblank.gif">
          <a:extLst>
            <a:ext uri="{FF2B5EF4-FFF2-40B4-BE49-F238E27FC236}">
              <a16:creationId xmlns:a16="http://schemas.microsoft.com/office/drawing/2014/main" id="{00000000-0008-0000-0B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15" name="Picture 514" descr="http://www.abs.gov.au/icons/ecblank.gif">
          <a:extLst>
            <a:ext uri="{FF2B5EF4-FFF2-40B4-BE49-F238E27FC236}">
              <a16:creationId xmlns:a16="http://schemas.microsoft.com/office/drawing/2014/main" id="{00000000-0008-0000-0B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16" name="Picture 515" descr="http://www.abs.gov.au/icons/ecblank.gif">
          <a:extLst>
            <a:ext uri="{FF2B5EF4-FFF2-40B4-BE49-F238E27FC236}">
              <a16:creationId xmlns:a16="http://schemas.microsoft.com/office/drawing/2014/main" id="{00000000-0008-0000-0B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17" name="Picture 516" descr="http://www.abs.gov.au/icons/ecblank.gif">
          <a:extLst>
            <a:ext uri="{FF2B5EF4-FFF2-40B4-BE49-F238E27FC236}">
              <a16:creationId xmlns:a16="http://schemas.microsoft.com/office/drawing/2014/main" id="{00000000-0008-0000-0B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18" name="Picture 517" descr="http://www.abs.gov.au/icons/ecblank.gif">
          <a:extLst>
            <a:ext uri="{FF2B5EF4-FFF2-40B4-BE49-F238E27FC236}">
              <a16:creationId xmlns:a16="http://schemas.microsoft.com/office/drawing/2014/main" id="{00000000-0008-0000-0B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19" name="Picture 518" descr="http://www.abs.gov.au/icons/ecblank.gif">
          <a:extLst>
            <a:ext uri="{FF2B5EF4-FFF2-40B4-BE49-F238E27FC236}">
              <a16:creationId xmlns:a16="http://schemas.microsoft.com/office/drawing/2014/main" id="{00000000-0008-0000-0B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20" name="Picture 519" descr="http://www.abs.gov.au/icons/ecblank.gif">
          <a:extLst>
            <a:ext uri="{FF2B5EF4-FFF2-40B4-BE49-F238E27FC236}">
              <a16:creationId xmlns:a16="http://schemas.microsoft.com/office/drawing/2014/main" id="{00000000-0008-0000-0B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21" name="Picture 520" descr="http://www.abs.gov.au/icons/ecblank.gif">
          <a:extLst>
            <a:ext uri="{FF2B5EF4-FFF2-40B4-BE49-F238E27FC236}">
              <a16:creationId xmlns:a16="http://schemas.microsoft.com/office/drawing/2014/main" id="{00000000-0008-0000-0B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22" name="Picture 521" descr="http://www.abs.gov.au/icons/ecblank.gif">
          <a:extLst>
            <a:ext uri="{FF2B5EF4-FFF2-40B4-BE49-F238E27FC236}">
              <a16:creationId xmlns:a16="http://schemas.microsoft.com/office/drawing/2014/main" id="{00000000-0008-0000-0B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23" name="Picture 522" descr="http://www.abs.gov.au/icons/ecblank.gif">
          <a:extLst>
            <a:ext uri="{FF2B5EF4-FFF2-40B4-BE49-F238E27FC236}">
              <a16:creationId xmlns:a16="http://schemas.microsoft.com/office/drawing/2014/main" id="{00000000-0008-0000-0B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24" name="Picture 523" descr="http://www.abs.gov.au/icons/ecblank.gif">
          <a:extLst>
            <a:ext uri="{FF2B5EF4-FFF2-40B4-BE49-F238E27FC236}">
              <a16:creationId xmlns:a16="http://schemas.microsoft.com/office/drawing/2014/main" id="{00000000-0008-0000-0B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25" name="Picture 524" descr="http://www.abs.gov.au/icons/ecblank.gif">
          <a:extLst>
            <a:ext uri="{FF2B5EF4-FFF2-40B4-BE49-F238E27FC236}">
              <a16:creationId xmlns:a16="http://schemas.microsoft.com/office/drawing/2014/main" id="{00000000-0008-0000-0B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26" name="Picture 525" descr="http://www.abs.gov.au/icons/ecblank.gif">
          <a:extLst>
            <a:ext uri="{FF2B5EF4-FFF2-40B4-BE49-F238E27FC236}">
              <a16:creationId xmlns:a16="http://schemas.microsoft.com/office/drawing/2014/main" id="{00000000-0008-0000-0B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27" name="Picture 526" descr="http://www.abs.gov.au/icons/ecblank.gif">
          <a:extLst>
            <a:ext uri="{FF2B5EF4-FFF2-40B4-BE49-F238E27FC236}">
              <a16:creationId xmlns:a16="http://schemas.microsoft.com/office/drawing/2014/main" id="{00000000-0008-0000-0B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28" name="Picture 527" descr="http://www.abs.gov.au/icons/ecblank.gif">
          <a:extLst>
            <a:ext uri="{FF2B5EF4-FFF2-40B4-BE49-F238E27FC236}">
              <a16:creationId xmlns:a16="http://schemas.microsoft.com/office/drawing/2014/main" id="{00000000-0008-0000-0B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29" name="Picture 528" descr="http://www.abs.gov.au/icons/ecblank.gif">
          <a:extLst>
            <a:ext uri="{FF2B5EF4-FFF2-40B4-BE49-F238E27FC236}">
              <a16:creationId xmlns:a16="http://schemas.microsoft.com/office/drawing/2014/main" id="{00000000-0008-0000-0B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30" name="Picture 529" descr="http://www.abs.gov.au/icons/ecblank.gif">
          <a:extLst>
            <a:ext uri="{FF2B5EF4-FFF2-40B4-BE49-F238E27FC236}">
              <a16:creationId xmlns:a16="http://schemas.microsoft.com/office/drawing/2014/main" id="{00000000-0008-0000-0B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31" name="Picture 530" descr="http://www.abs.gov.au/icons/ecblank.gif">
          <a:extLst>
            <a:ext uri="{FF2B5EF4-FFF2-40B4-BE49-F238E27FC236}">
              <a16:creationId xmlns:a16="http://schemas.microsoft.com/office/drawing/2014/main" id="{00000000-0008-0000-0B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32" name="Picture 531" descr="http://www.abs.gov.au/icons/ecblank.gif">
          <a:extLst>
            <a:ext uri="{FF2B5EF4-FFF2-40B4-BE49-F238E27FC236}">
              <a16:creationId xmlns:a16="http://schemas.microsoft.com/office/drawing/2014/main" id="{00000000-0008-0000-0B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33" name="Picture 532" descr="http://www.abs.gov.au/icons/ecblank.gif">
          <a:extLst>
            <a:ext uri="{FF2B5EF4-FFF2-40B4-BE49-F238E27FC236}">
              <a16:creationId xmlns:a16="http://schemas.microsoft.com/office/drawing/2014/main" id="{00000000-0008-0000-0B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34" name="Picture 533" descr="http://www.abs.gov.au/icons/ecblank.gif">
          <a:extLst>
            <a:ext uri="{FF2B5EF4-FFF2-40B4-BE49-F238E27FC236}">
              <a16:creationId xmlns:a16="http://schemas.microsoft.com/office/drawing/2014/main" id="{00000000-0008-0000-0B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35" name="Picture 534" descr="http://www.abs.gov.au/icons/ecblank.gif">
          <a:extLst>
            <a:ext uri="{FF2B5EF4-FFF2-40B4-BE49-F238E27FC236}">
              <a16:creationId xmlns:a16="http://schemas.microsoft.com/office/drawing/2014/main" id="{00000000-0008-0000-0B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36" name="Picture 535" descr="http://www.abs.gov.au/icons/ecblank.gif">
          <a:extLst>
            <a:ext uri="{FF2B5EF4-FFF2-40B4-BE49-F238E27FC236}">
              <a16:creationId xmlns:a16="http://schemas.microsoft.com/office/drawing/2014/main" id="{00000000-0008-0000-0B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37" name="Picture 536" descr="http://www.abs.gov.au/icons/ecblank.gif">
          <a:extLst>
            <a:ext uri="{FF2B5EF4-FFF2-40B4-BE49-F238E27FC236}">
              <a16:creationId xmlns:a16="http://schemas.microsoft.com/office/drawing/2014/main" id="{00000000-0008-0000-0B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38" name="Picture 537" descr="http://www.abs.gov.au/icons/ecblank.gif">
          <a:extLst>
            <a:ext uri="{FF2B5EF4-FFF2-40B4-BE49-F238E27FC236}">
              <a16:creationId xmlns:a16="http://schemas.microsoft.com/office/drawing/2014/main" id="{00000000-0008-0000-0B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39" name="Picture 538" descr="http://www.abs.gov.au/icons/ecblank.gif">
          <a:extLst>
            <a:ext uri="{FF2B5EF4-FFF2-40B4-BE49-F238E27FC236}">
              <a16:creationId xmlns:a16="http://schemas.microsoft.com/office/drawing/2014/main" id="{00000000-0008-0000-0B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40" name="Picture 539" descr="http://www.abs.gov.au/icons/ecblank.gif">
          <a:extLst>
            <a:ext uri="{FF2B5EF4-FFF2-40B4-BE49-F238E27FC236}">
              <a16:creationId xmlns:a16="http://schemas.microsoft.com/office/drawing/2014/main" id="{00000000-0008-0000-0B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41" name="Picture 540" descr="http://www.abs.gov.au/icons/ecblank.gif">
          <a:extLst>
            <a:ext uri="{FF2B5EF4-FFF2-40B4-BE49-F238E27FC236}">
              <a16:creationId xmlns:a16="http://schemas.microsoft.com/office/drawing/2014/main" id="{00000000-0008-0000-0B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42" name="Picture 541" descr="http://www.abs.gov.au/icons/ecblank.gif">
          <a:extLst>
            <a:ext uri="{FF2B5EF4-FFF2-40B4-BE49-F238E27FC236}">
              <a16:creationId xmlns:a16="http://schemas.microsoft.com/office/drawing/2014/main" id="{00000000-0008-0000-0B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43" name="Picture 542" descr="http://www.abs.gov.au/icons/ecblank.gif">
          <a:extLst>
            <a:ext uri="{FF2B5EF4-FFF2-40B4-BE49-F238E27FC236}">
              <a16:creationId xmlns:a16="http://schemas.microsoft.com/office/drawing/2014/main" id="{00000000-0008-0000-0B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44" name="Picture 543" descr="http://www.abs.gov.au/icons/ecblank.gif">
          <a:extLst>
            <a:ext uri="{FF2B5EF4-FFF2-40B4-BE49-F238E27FC236}">
              <a16:creationId xmlns:a16="http://schemas.microsoft.com/office/drawing/2014/main" id="{00000000-0008-0000-0B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45" name="Picture 544" descr="http://www.abs.gov.au/icons/ecblank.gif">
          <a:extLst>
            <a:ext uri="{FF2B5EF4-FFF2-40B4-BE49-F238E27FC236}">
              <a16:creationId xmlns:a16="http://schemas.microsoft.com/office/drawing/2014/main" id="{00000000-0008-0000-0B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46" name="Picture 545" descr="http://www.abs.gov.au/icons/ecblank.gif">
          <a:extLst>
            <a:ext uri="{FF2B5EF4-FFF2-40B4-BE49-F238E27FC236}">
              <a16:creationId xmlns:a16="http://schemas.microsoft.com/office/drawing/2014/main" id="{00000000-0008-0000-0B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47" name="Picture 546" descr="http://www.abs.gov.au/icons/ecblank.gif">
          <a:extLst>
            <a:ext uri="{FF2B5EF4-FFF2-40B4-BE49-F238E27FC236}">
              <a16:creationId xmlns:a16="http://schemas.microsoft.com/office/drawing/2014/main" id="{00000000-0008-0000-0B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48" name="Picture 547" descr="http://www.abs.gov.au/icons/ecblank.gif">
          <a:extLst>
            <a:ext uri="{FF2B5EF4-FFF2-40B4-BE49-F238E27FC236}">
              <a16:creationId xmlns:a16="http://schemas.microsoft.com/office/drawing/2014/main" id="{00000000-0008-0000-0B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49" name="Picture 548" descr="http://www.abs.gov.au/icons/ecblank.gif">
          <a:extLst>
            <a:ext uri="{FF2B5EF4-FFF2-40B4-BE49-F238E27FC236}">
              <a16:creationId xmlns:a16="http://schemas.microsoft.com/office/drawing/2014/main" id="{00000000-0008-0000-0B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50" name="Picture 549" descr="http://www.abs.gov.au/icons/ecblank.gif">
          <a:extLst>
            <a:ext uri="{FF2B5EF4-FFF2-40B4-BE49-F238E27FC236}">
              <a16:creationId xmlns:a16="http://schemas.microsoft.com/office/drawing/2014/main" id="{00000000-0008-0000-0B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51" name="Picture 550" descr="http://www.abs.gov.au/icons/ecblank.gif">
          <a:extLst>
            <a:ext uri="{FF2B5EF4-FFF2-40B4-BE49-F238E27FC236}">
              <a16:creationId xmlns:a16="http://schemas.microsoft.com/office/drawing/2014/main" id="{00000000-0008-0000-0B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52" name="Picture 551" descr="http://www.abs.gov.au/icons/ecblank.gif">
          <a:extLst>
            <a:ext uri="{FF2B5EF4-FFF2-40B4-BE49-F238E27FC236}">
              <a16:creationId xmlns:a16="http://schemas.microsoft.com/office/drawing/2014/main" id="{00000000-0008-0000-0B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53" name="Picture 552" descr="http://www.abs.gov.au/icons/ecblank.gif">
          <a:extLst>
            <a:ext uri="{FF2B5EF4-FFF2-40B4-BE49-F238E27FC236}">
              <a16:creationId xmlns:a16="http://schemas.microsoft.com/office/drawing/2014/main" id="{00000000-0008-0000-0B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54" name="Picture 553" descr="http://www.abs.gov.au/icons/ecblank.gif">
          <a:extLst>
            <a:ext uri="{FF2B5EF4-FFF2-40B4-BE49-F238E27FC236}">
              <a16:creationId xmlns:a16="http://schemas.microsoft.com/office/drawing/2014/main" id="{00000000-0008-0000-0B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55" name="Picture 554" descr="http://www.abs.gov.au/icons/ecblank.gif">
          <a:extLst>
            <a:ext uri="{FF2B5EF4-FFF2-40B4-BE49-F238E27FC236}">
              <a16:creationId xmlns:a16="http://schemas.microsoft.com/office/drawing/2014/main" id="{00000000-0008-0000-0B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56" name="Picture 555" descr="http://www.abs.gov.au/icons/ecblank.gif">
          <a:extLst>
            <a:ext uri="{FF2B5EF4-FFF2-40B4-BE49-F238E27FC236}">
              <a16:creationId xmlns:a16="http://schemas.microsoft.com/office/drawing/2014/main" id="{00000000-0008-0000-0B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57" name="Picture 556" descr="http://www.abs.gov.au/icons/ecblank.gif">
          <a:extLst>
            <a:ext uri="{FF2B5EF4-FFF2-40B4-BE49-F238E27FC236}">
              <a16:creationId xmlns:a16="http://schemas.microsoft.com/office/drawing/2014/main" id="{00000000-0008-0000-0B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58" name="Picture 557" descr="http://www.abs.gov.au/icons/ecblank.gif">
          <a:extLst>
            <a:ext uri="{FF2B5EF4-FFF2-40B4-BE49-F238E27FC236}">
              <a16:creationId xmlns:a16="http://schemas.microsoft.com/office/drawing/2014/main" id="{00000000-0008-0000-0B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59" name="Picture 558" descr="http://www.abs.gov.au/icons/ecblank.gif">
          <a:extLst>
            <a:ext uri="{FF2B5EF4-FFF2-40B4-BE49-F238E27FC236}">
              <a16:creationId xmlns:a16="http://schemas.microsoft.com/office/drawing/2014/main" id="{00000000-0008-0000-0B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60" name="Picture 559" descr="http://www.abs.gov.au/icons/ecblank.gif">
          <a:extLst>
            <a:ext uri="{FF2B5EF4-FFF2-40B4-BE49-F238E27FC236}">
              <a16:creationId xmlns:a16="http://schemas.microsoft.com/office/drawing/2014/main" id="{00000000-0008-0000-0B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61" name="Picture 560" descr="http://www.abs.gov.au/icons/ecblank.gif">
          <a:extLst>
            <a:ext uri="{FF2B5EF4-FFF2-40B4-BE49-F238E27FC236}">
              <a16:creationId xmlns:a16="http://schemas.microsoft.com/office/drawing/2014/main" id="{00000000-0008-0000-0B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62" name="Picture 561" descr="http://www.abs.gov.au/icons/ecblank.gif">
          <a:extLst>
            <a:ext uri="{FF2B5EF4-FFF2-40B4-BE49-F238E27FC236}">
              <a16:creationId xmlns:a16="http://schemas.microsoft.com/office/drawing/2014/main" id="{00000000-0008-0000-0B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63" name="Picture 562" descr="http://www.abs.gov.au/icons/ecblank.gif">
          <a:extLst>
            <a:ext uri="{FF2B5EF4-FFF2-40B4-BE49-F238E27FC236}">
              <a16:creationId xmlns:a16="http://schemas.microsoft.com/office/drawing/2014/main" id="{00000000-0008-0000-0B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64" name="Picture 563" descr="http://www.abs.gov.au/icons/ecblank.gif">
          <a:extLst>
            <a:ext uri="{FF2B5EF4-FFF2-40B4-BE49-F238E27FC236}">
              <a16:creationId xmlns:a16="http://schemas.microsoft.com/office/drawing/2014/main" id="{00000000-0008-0000-0B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65" name="Picture 564" descr="http://www.abs.gov.au/icons/ecblank.gif">
          <a:extLst>
            <a:ext uri="{FF2B5EF4-FFF2-40B4-BE49-F238E27FC236}">
              <a16:creationId xmlns:a16="http://schemas.microsoft.com/office/drawing/2014/main" id="{00000000-0008-0000-0B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66" name="Picture 565" descr="http://www.abs.gov.au/icons/ecblank.gif">
          <a:extLst>
            <a:ext uri="{FF2B5EF4-FFF2-40B4-BE49-F238E27FC236}">
              <a16:creationId xmlns:a16="http://schemas.microsoft.com/office/drawing/2014/main" id="{00000000-0008-0000-0B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67" name="Picture 566" descr="http://www.abs.gov.au/icons/ecblank.gif">
          <a:extLst>
            <a:ext uri="{FF2B5EF4-FFF2-40B4-BE49-F238E27FC236}">
              <a16:creationId xmlns:a16="http://schemas.microsoft.com/office/drawing/2014/main" id="{00000000-0008-0000-0B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68" name="Picture 567" descr="http://www.abs.gov.au/icons/ecblank.gif">
          <a:extLst>
            <a:ext uri="{FF2B5EF4-FFF2-40B4-BE49-F238E27FC236}">
              <a16:creationId xmlns:a16="http://schemas.microsoft.com/office/drawing/2014/main" id="{00000000-0008-0000-0B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69" name="Picture 568" descr="http://www.abs.gov.au/icons/ecblank.gif">
          <a:extLst>
            <a:ext uri="{FF2B5EF4-FFF2-40B4-BE49-F238E27FC236}">
              <a16:creationId xmlns:a16="http://schemas.microsoft.com/office/drawing/2014/main" id="{00000000-0008-0000-0B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70" name="Picture 569" descr="http://www.abs.gov.au/icons/ecblank.gif">
          <a:extLst>
            <a:ext uri="{FF2B5EF4-FFF2-40B4-BE49-F238E27FC236}">
              <a16:creationId xmlns:a16="http://schemas.microsoft.com/office/drawing/2014/main" id="{00000000-0008-0000-0B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71" name="Picture 570" descr="http://www.abs.gov.au/icons/ecblank.gif">
          <a:extLst>
            <a:ext uri="{FF2B5EF4-FFF2-40B4-BE49-F238E27FC236}">
              <a16:creationId xmlns:a16="http://schemas.microsoft.com/office/drawing/2014/main" id="{00000000-0008-0000-0B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72" name="Picture 571" descr="http://www.abs.gov.au/icons/ecblank.gif">
          <a:extLst>
            <a:ext uri="{FF2B5EF4-FFF2-40B4-BE49-F238E27FC236}">
              <a16:creationId xmlns:a16="http://schemas.microsoft.com/office/drawing/2014/main" id="{00000000-0008-0000-0B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73" name="Picture 572" descr="http://www.abs.gov.au/icons/ecblank.gif">
          <a:extLst>
            <a:ext uri="{FF2B5EF4-FFF2-40B4-BE49-F238E27FC236}">
              <a16:creationId xmlns:a16="http://schemas.microsoft.com/office/drawing/2014/main" id="{00000000-0008-0000-0B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74" name="Picture 573" descr="http://www.abs.gov.au/icons/ecblank.gif">
          <a:extLst>
            <a:ext uri="{FF2B5EF4-FFF2-40B4-BE49-F238E27FC236}">
              <a16:creationId xmlns:a16="http://schemas.microsoft.com/office/drawing/2014/main" id="{00000000-0008-0000-0B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75" name="Picture 574" descr="http://www.abs.gov.au/icons/ecblank.gif">
          <a:extLst>
            <a:ext uri="{FF2B5EF4-FFF2-40B4-BE49-F238E27FC236}">
              <a16:creationId xmlns:a16="http://schemas.microsoft.com/office/drawing/2014/main" id="{00000000-0008-0000-0B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76" name="Picture 575" descr="http://www.abs.gov.au/icons/ecblank.gif">
          <a:extLst>
            <a:ext uri="{FF2B5EF4-FFF2-40B4-BE49-F238E27FC236}">
              <a16:creationId xmlns:a16="http://schemas.microsoft.com/office/drawing/2014/main" id="{00000000-0008-0000-0B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77" name="Picture 576" descr="http://www.abs.gov.au/icons/ecblank.gif">
          <a:extLst>
            <a:ext uri="{FF2B5EF4-FFF2-40B4-BE49-F238E27FC236}">
              <a16:creationId xmlns:a16="http://schemas.microsoft.com/office/drawing/2014/main" id="{00000000-0008-0000-0B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78" name="Picture 577" descr="http://www.abs.gov.au/icons/ecblank.gif">
          <a:extLst>
            <a:ext uri="{FF2B5EF4-FFF2-40B4-BE49-F238E27FC236}">
              <a16:creationId xmlns:a16="http://schemas.microsoft.com/office/drawing/2014/main" id="{00000000-0008-0000-0B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79" name="Picture 578" descr="http://www.abs.gov.au/icons/ecblank.gif">
          <a:extLst>
            <a:ext uri="{FF2B5EF4-FFF2-40B4-BE49-F238E27FC236}">
              <a16:creationId xmlns:a16="http://schemas.microsoft.com/office/drawing/2014/main" id="{00000000-0008-0000-0B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80" name="Picture 579" descr="http://www.abs.gov.au/icons/ecblank.gif">
          <a:extLst>
            <a:ext uri="{FF2B5EF4-FFF2-40B4-BE49-F238E27FC236}">
              <a16:creationId xmlns:a16="http://schemas.microsoft.com/office/drawing/2014/main" id="{00000000-0008-0000-0B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81" name="Picture 580" descr="http://www.abs.gov.au/icons/ecblank.gif">
          <a:extLst>
            <a:ext uri="{FF2B5EF4-FFF2-40B4-BE49-F238E27FC236}">
              <a16:creationId xmlns:a16="http://schemas.microsoft.com/office/drawing/2014/main" id="{00000000-0008-0000-0B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82" name="Picture 581" descr="http://www.abs.gov.au/icons/ecblank.gif">
          <a:extLst>
            <a:ext uri="{FF2B5EF4-FFF2-40B4-BE49-F238E27FC236}">
              <a16:creationId xmlns:a16="http://schemas.microsoft.com/office/drawing/2014/main" id="{00000000-0008-0000-0B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83" name="Picture 582" descr="http://www.abs.gov.au/icons/ecblank.gif">
          <a:extLst>
            <a:ext uri="{FF2B5EF4-FFF2-40B4-BE49-F238E27FC236}">
              <a16:creationId xmlns:a16="http://schemas.microsoft.com/office/drawing/2014/main" id="{00000000-0008-0000-0B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84" name="Picture 583" descr="http://www.abs.gov.au/icons/ecblank.gif">
          <a:extLst>
            <a:ext uri="{FF2B5EF4-FFF2-40B4-BE49-F238E27FC236}">
              <a16:creationId xmlns:a16="http://schemas.microsoft.com/office/drawing/2014/main" id="{00000000-0008-0000-0B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85" name="Picture 584" descr="http://www.abs.gov.au/icons/ecblank.gif">
          <a:extLst>
            <a:ext uri="{FF2B5EF4-FFF2-40B4-BE49-F238E27FC236}">
              <a16:creationId xmlns:a16="http://schemas.microsoft.com/office/drawing/2014/main" id="{00000000-0008-0000-0B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86" name="Picture 585" descr="http://www.abs.gov.au/icons/ecblank.gif">
          <a:extLst>
            <a:ext uri="{FF2B5EF4-FFF2-40B4-BE49-F238E27FC236}">
              <a16:creationId xmlns:a16="http://schemas.microsoft.com/office/drawing/2014/main" id="{00000000-0008-0000-0B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87" name="Picture 586" descr="http://www.abs.gov.au/icons/ecblank.gif">
          <a:extLst>
            <a:ext uri="{FF2B5EF4-FFF2-40B4-BE49-F238E27FC236}">
              <a16:creationId xmlns:a16="http://schemas.microsoft.com/office/drawing/2014/main" id="{00000000-0008-0000-0B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88" name="Picture 587" descr="http://www.abs.gov.au/icons/ecblank.gif">
          <a:extLst>
            <a:ext uri="{FF2B5EF4-FFF2-40B4-BE49-F238E27FC236}">
              <a16:creationId xmlns:a16="http://schemas.microsoft.com/office/drawing/2014/main" id="{00000000-0008-0000-0B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89" name="Picture 588" descr="http://www.abs.gov.au/icons/ecblank.gif">
          <a:extLst>
            <a:ext uri="{FF2B5EF4-FFF2-40B4-BE49-F238E27FC236}">
              <a16:creationId xmlns:a16="http://schemas.microsoft.com/office/drawing/2014/main" id="{00000000-0008-0000-0B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90" name="Picture 589" descr="http://www.abs.gov.au/icons/ecblank.gif">
          <a:extLst>
            <a:ext uri="{FF2B5EF4-FFF2-40B4-BE49-F238E27FC236}">
              <a16:creationId xmlns:a16="http://schemas.microsoft.com/office/drawing/2014/main" id="{00000000-0008-0000-0B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91" name="Picture 590" descr="http://www.abs.gov.au/icons/ecblank.gif">
          <a:extLst>
            <a:ext uri="{FF2B5EF4-FFF2-40B4-BE49-F238E27FC236}">
              <a16:creationId xmlns:a16="http://schemas.microsoft.com/office/drawing/2014/main" id="{00000000-0008-0000-0B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92" name="Picture 591" descr="http://www.abs.gov.au/icons/ecblank.gif">
          <a:extLst>
            <a:ext uri="{FF2B5EF4-FFF2-40B4-BE49-F238E27FC236}">
              <a16:creationId xmlns:a16="http://schemas.microsoft.com/office/drawing/2014/main" id="{00000000-0008-0000-0B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93" name="Picture 592" descr="http://www.abs.gov.au/icons/ecblank.gif">
          <a:extLst>
            <a:ext uri="{FF2B5EF4-FFF2-40B4-BE49-F238E27FC236}">
              <a16:creationId xmlns:a16="http://schemas.microsoft.com/office/drawing/2014/main" id="{00000000-0008-0000-0B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94" name="Picture 593" descr="http://www.abs.gov.au/icons/ecblank.gif">
          <a:extLst>
            <a:ext uri="{FF2B5EF4-FFF2-40B4-BE49-F238E27FC236}">
              <a16:creationId xmlns:a16="http://schemas.microsoft.com/office/drawing/2014/main" id="{00000000-0008-0000-0B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95" name="Picture 594" descr="http://www.abs.gov.au/icons/ecblank.gif">
          <a:extLst>
            <a:ext uri="{FF2B5EF4-FFF2-40B4-BE49-F238E27FC236}">
              <a16:creationId xmlns:a16="http://schemas.microsoft.com/office/drawing/2014/main" id="{00000000-0008-0000-0B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96" name="Picture 595" descr="http://www.abs.gov.au/icons/ecblank.gif">
          <a:extLst>
            <a:ext uri="{FF2B5EF4-FFF2-40B4-BE49-F238E27FC236}">
              <a16:creationId xmlns:a16="http://schemas.microsoft.com/office/drawing/2014/main" id="{00000000-0008-0000-0B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97" name="Picture 596" descr="http://www.abs.gov.au/icons/ecblank.gif">
          <a:extLst>
            <a:ext uri="{FF2B5EF4-FFF2-40B4-BE49-F238E27FC236}">
              <a16:creationId xmlns:a16="http://schemas.microsoft.com/office/drawing/2014/main" id="{00000000-0008-0000-0B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598" name="Picture 597" descr="http://www.abs.gov.au/icons/ecblank.gif">
          <a:extLst>
            <a:ext uri="{FF2B5EF4-FFF2-40B4-BE49-F238E27FC236}">
              <a16:creationId xmlns:a16="http://schemas.microsoft.com/office/drawing/2014/main" id="{00000000-0008-0000-0B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599" name="Picture 598" descr="http://www.abs.gov.au/icons/ecblank.gif">
          <a:extLst>
            <a:ext uri="{FF2B5EF4-FFF2-40B4-BE49-F238E27FC236}">
              <a16:creationId xmlns:a16="http://schemas.microsoft.com/office/drawing/2014/main" id="{00000000-0008-0000-0B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00" name="Picture 599" descr="http://www.abs.gov.au/icons/ecblank.gif">
          <a:extLst>
            <a:ext uri="{FF2B5EF4-FFF2-40B4-BE49-F238E27FC236}">
              <a16:creationId xmlns:a16="http://schemas.microsoft.com/office/drawing/2014/main" id="{00000000-0008-0000-0B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01" name="Picture 600" descr="http://www.abs.gov.au/icons/ecblank.gif">
          <a:extLst>
            <a:ext uri="{FF2B5EF4-FFF2-40B4-BE49-F238E27FC236}">
              <a16:creationId xmlns:a16="http://schemas.microsoft.com/office/drawing/2014/main" id="{00000000-0008-0000-0B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02" name="Picture 601" descr="http://www.abs.gov.au/icons/ecblank.gif">
          <a:extLst>
            <a:ext uri="{FF2B5EF4-FFF2-40B4-BE49-F238E27FC236}">
              <a16:creationId xmlns:a16="http://schemas.microsoft.com/office/drawing/2014/main" id="{00000000-0008-0000-0B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603" name="Picture 602" descr="http://www.abs.gov.au/icons/ecblank.gif">
          <a:extLst>
            <a:ext uri="{FF2B5EF4-FFF2-40B4-BE49-F238E27FC236}">
              <a16:creationId xmlns:a16="http://schemas.microsoft.com/office/drawing/2014/main" id="{00000000-0008-0000-0B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04" name="Picture 603" descr="http://www.abs.gov.au/icons/ecblank.gif">
          <a:extLst>
            <a:ext uri="{FF2B5EF4-FFF2-40B4-BE49-F238E27FC236}">
              <a16:creationId xmlns:a16="http://schemas.microsoft.com/office/drawing/2014/main" id="{00000000-0008-0000-0B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05" name="Picture 604" descr="http://www.abs.gov.au/icons/ecblank.gif">
          <a:extLst>
            <a:ext uri="{FF2B5EF4-FFF2-40B4-BE49-F238E27FC236}">
              <a16:creationId xmlns:a16="http://schemas.microsoft.com/office/drawing/2014/main" id="{00000000-0008-0000-0B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06" name="Picture 605" descr="http://www.abs.gov.au/icons/ecblank.gif">
          <a:extLst>
            <a:ext uri="{FF2B5EF4-FFF2-40B4-BE49-F238E27FC236}">
              <a16:creationId xmlns:a16="http://schemas.microsoft.com/office/drawing/2014/main" id="{00000000-0008-0000-0B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607" name="Picture 606" descr="http://www.abs.gov.au/icons/ecblank.gif">
          <a:extLst>
            <a:ext uri="{FF2B5EF4-FFF2-40B4-BE49-F238E27FC236}">
              <a16:creationId xmlns:a16="http://schemas.microsoft.com/office/drawing/2014/main" id="{00000000-0008-0000-0B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08" name="Picture 607" descr="http://www.abs.gov.au/icons/ecblank.gif">
          <a:extLst>
            <a:ext uri="{FF2B5EF4-FFF2-40B4-BE49-F238E27FC236}">
              <a16:creationId xmlns:a16="http://schemas.microsoft.com/office/drawing/2014/main" id="{00000000-0008-0000-0B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09" name="Picture 608" descr="http://www.abs.gov.au/icons/ecblank.gif">
          <a:extLst>
            <a:ext uri="{FF2B5EF4-FFF2-40B4-BE49-F238E27FC236}">
              <a16:creationId xmlns:a16="http://schemas.microsoft.com/office/drawing/2014/main" id="{00000000-0008-0000-0B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10" name="Picture 609" descr="http://www.abs.gov.au/icons/ecblank.gif">
          <a:extLst>
            <a:ext uri="{FF2B5EF4-FFF2-40B4-BE49-F238E27FC236}">
              <a16:creationId xmlns:a16="http://schemas.microsoft.com/office/drawing/2014/main" id="{00000000-0008-0000-0B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611" name="Picture 610" descr="http://www.abs.gov.au/icons/ecblank.gif">
          <a:extLst>
            <a:ext uri="{FF2B5EF4-FFF2-40B4-BE49-F238E27FC236}">
              <a16:creationId xmlns:a16="http://schemas.microsoft.com/office/drawing/2014/main" id="{00000000-0008-0000-0B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12" name="Picture 611" descr="http://www.abs.gov.au/icons/ecblank.gif">
          <a:extLst>
            <a:ext uri="{FF2B5EF4-FFF2-40B4-BE49-F238E27FC236}">
              <a16:creationId xmlns:a16="http://schemas.microsoft.com/office/drawing/2014/main" id="{00000000-0008-0000-0B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13" name="Picture 612" descr="http://www.abs.gov.au/icons/ecblank.gif">
          <a:extLst>
            <a:ext uri="{FF2B5EF4-FFF2-40B4-BE49-F238E27FC236}">
              <a16:creationId xmlns:a16="http://schemas.microsoft.com/office/drawing/2014/main" id="{00000000-0008-0000-0B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14" name="Picture 613" descr="http://www.abs.gov.au/icons/ecblank.gif">
          <a:extLst>
            <a:ext uri="{FF2B5EF4-FFF2-40B4-BE49-F238E27FC236}">
              <a16:creationId xmlns:a16="http://schemas.microsoft.com/office/drawing/2014/main" id="{00000000-0008-0000-0B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615" name="Picture 614" descr="http://www.abs.gov.au/icons/ecblank.gif">
          <a:extLst>
            <a:ext uri="{FF2B5EF4-FFF2-40B4-BE49-F238E27FC236}">
              <a16:creationId xmlns:a16="http://schemas.microsoft.com/office/drawing/2014/main" id="{00000000-0008-0000-0B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16" name="Picture 615" descr="http://www.abs.gov.au/icons/ecblank.gif">
          <a:extLst>
            <a:ext uri="{FF2B5EF4-FFF2-40B4-BE49-F238E27FC236}">
              <a16:creationId xmlns:a16="http://schemas.microsoft.com/office/drawing/2014/main" id="{00000000-0008-0000-0B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17" name="Picture 616" descr="http://www.abs.gov.au/icons/ecblank.gif">
          <a:extLst>
            <a:ext uri="{FF2B5EF4-FFF2-40B4-BE49-F238E27FC236}">
              <a16:creationId xmlns:a16="http://schemas.microsoft.com/office/drawing/2014/main" id="{00000000-0008-0000-0B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18" name="Picture 617" descr="http://www.abs.gov.au/icons/ecblank.gif">
          <a:extLst>
            <a:ext uri="{FF2B5EF4-FFF2-40B4-BE49-F238E27FC236}">
              <a16:creationId xmlns:a16="http://schemas.microsoft.com/office/drawing/2014/main" id="{00000000-0008-0000-0B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475</xdr:row>
      <xdr:rowOff>0</xdr:rowOff>
    </xdr:from>
    <xdr:ext cx="9525" cy="9525"/>
    <xdr:pic>
      <xdr:nvPicPr>
        <xdr:cNvPr id="619" name="Picture 618" descr="http://www.abs.gov.au/icons/ecblank.gif">
          <a:extLst>
            <a:ext uri="{FF2B5EF4-FFF2-40B4-BE49-F238E27FC236}">
              <a16:creationId xmlns:a16="http://schemas.microsoft.com/office/drawing/2014/main" id="{00000000-0008-0000-0B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20" name="Picture 619" descr="http://www.abs.gov.au/icons/ecblank.gif">
          <a:extLst>
            <a:ext uri="{FF2B5EF4-FFF2-40B4-BE49-F238E27FC236}">
              <a16:creationId xmlns:a16="http://schemas.microsoft.com/office/drawing/2014/main" id="{00000000-0008-0000-0B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5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21" name="Picture 620" descr="http://www.abs.gov.au/icons/ecblank.gif">
          <a:extLst>
            <a:ext uri="{FF2B5EF4-FFF2-40B4-BE49-F238E27FC236}">
              <a16:creationId xmlns:a16="http://schemas.microsoft.com/office/drawing/2014/main" id="{00000000-0008-0000-0B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475</xdr:row>
      <xdr:rowOff>0</xdr:rowOff>
    </xdr:from>
    <xdr:ext cx="9525" cy="9525"/>
    <xdr:pic>
      <xdr:nvPicPr>
        <xdr:cNvPr id="622" name="Picture 621" descr="http://www.abs.gov.au/icons/ecblank.gif">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0833" y="81639833"/>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592668</xdr:colOff>
      <xdr:row>409</xdr:row>
      <xdr:rowOff>95251</xdr:rowOff>
    </xdr:from>
    <xdr:to>
      <xdr:col>2</xdr:col>
      <xdr:colOff>3164418</xdr:colOff>
      <xdr:row>415</xdr:row>
      <xdr:rowOff>42334</xdr:rowOff>
    </xdr:to>
    <xdr:sp macro="" textlink="">
      <xdr:nvSpPr>
        <xdr:cNvPr id="334" name="TextBox 333">
          <a:extLst>
            <a:ext uri="{FF2B5EF4-FFF2-40B4-BE49-F238E27FC236}">
              <a16:creationId xmlns:a16="http://schemas.microsoft.com/office/drawing/2014/main" id="{C04B796C-56E6-487A-969B-67A69266EF1A}"/>
            </a:ext>
          </a:extLst>
        </xdr:cNvPr>
        <xdr:cNvSpPr txBox="1"/>
      </xdr:nvSpPr>
      <xdr:spPr>
        <a:xfrm>
          <a:off x="2434168" y="66495084"/>
          <a:ext cx="2571750" cy="899583"/>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b="1">
              <a:solidFill>
                <a:schemeClr val="bg1"/>
              </a:solidFill>
            </a:rPr>
            <a:t>The</a:t>
          </a:r>
          <a:r>
            <a:rPr lang="en-AU" sz="1000" b="1" baseline="0">
              <a:solidFill>
                <a:schemeClr val="bg1"/>
              </a:solidFill>
            </a:rPr>
            <a:t> data in this section is directly applied only in the analysis of organic materials. For the state and territory data sets, biosolids data is taken from the Basel data set (which draws on this same information).</a:t>
          </a:r>
          <a:endParaRPr lang="en-AU" sz="10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56029</xdr:colOff>
      <xdr:row>65</xdr:row>
      <xdr:rowOff>145677</xdr:rowOff>
    </xdr:from>
    <xdr:to>
      <xdr:col>22</xdr:col>
      <xdr:colOff>371488</xdr:colOff>
      <xdr:row>85</xdr:row>
      <xdr:rowOff>58236</xdr:rowOff>
    </xdr:to>
    <xdr:graphicFrame macro="">
      <xdr:nvGraphicFramePr>
        <xdr:cNvPr id="27" name="Chart 26">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266007</xdr:colOff>
      <xdr:row>77</xdr:row>
      <xdr:rowOff>56372</xdr:rowOff>
    </xdr:from>
    <xdr:to>
      <xdr:col>21</xdr:col>
      <xdr:colOff>311437</xdr:colOff>
      <xdr:row>85</xdr:row>
      <xdr:rowOff>28178</xdr:rowOff>
    </xdr:to>
    <xdr:graphicFrame macro="">
      <xdr:nvGraphicFramePr>
        <xdr:cNvPr id="28" name="Chart 27">
          <a:extLst>
            <a:ext uri="{FF2B5EF4-FFF2-40B4-BE49-F238E27FC236}">
              <a16:creationId xmlns:a16="http://schemas.microsoft.com/office/drawing/2014/main" id="{00000000-0008-0000-0C00-00001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402016</xdr:colOff>
      <xdr:row>65</xdr:row>
      <xdr:rowOff>147279</xdr:rowOff>
    </xdr:from>
    <xdr:to>
      <xdr:col>31</xdr:col>
      <xdr:colOff>594210</xdr:colOff>
      <xdr:row>85</xdr:row>
      <xdr:rowOff>59838</xdr:rowOff>
    </xdr:to>
    <xdr:graphicFrame macro="">
      <xdr:nvGraphicFramePr>
        <xdr:cNvPr id="34" name="Chart 33">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559395</xdr:colOff>
      <xdr:row>73</xdr:row>
      <xdr:rowOff>129079</xdr:rowOff>
    </xdr:from>
    <xdr:to>
      <xdr:col>31</xdr:col>
      <xdr:colOff>22395</xdr:colOff>
      <xdr:row>85</xdr:row>
      <xdr:rowOff>1</xdr:rowOff>
    </xdr:to>
    <xdr:graphicFrame macro="">
      <xdr:nvGraphicFramePr>
        <xdr:cNvPr id="35" name="Chart 34">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22410</xdr:colOff>
      <xdr:row>85</xdr:row>
      <xdr:rowOff>90346</xdr:rowOff>
    </xdr:from>
    <xdr:to>
      <xdr:col>22</xdr:col>
      <xdr:colOff>337869</xdr:colOff>
      <xdr:row>107</xdr:row>
      <xdr:rowOff>58934</xdr:rowOff>
    </xdr:to>
    <xdr:graphicFrame macro="">
      <xdr:nvGraphicFramePr>
        <xdr:cNvPr id="37" name="Chart 36">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23736</xdr:colOff>
      <xdr:row>97</xdr:row>
      <xdr:rowOff>134470</xdr:rowOff>
    </xdr:from>
    <xdr:to>
      <xdr:col>22</xdr:col>
      <xdr:colOff>179295</xdr:colOff>
      <xdr:row>107</xdr:row>
      <xdr:rowOff>33617</xdr:rowOff>
    </xdr:to>
    <xdr:graphicFrame macro="">
      <xdr:nvGraphicFramePr>
        <xdr:cNvPr id="13" name="Chart 12">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44823</xdr:colOff>
      <xdr:row>84</xdr:row>
      <xdr:rowOff>123265</xdr:rowOff>
    </xdr:from>
    <xdr:to>
      <xdr:col>22</xdr:col>
      <xdr:colOff>360282</xdr:colOff>
      <xdr:row>106</xdr:row>
      <xdr:rowOff>91853</xdr:rowOff>
    </xdr:to>
    <xdr:graphicFrame macro="">
      <xdr:nvGraphicFramePr>
        <xdr:cNvPr id="10" name="Chart 9">
          <a:extLst>
            <a:ext uri="{FF2B5EF4-FFF2-40B4-BE49-F238E27FC236}">
              <a16:creationId xmlns:a16="http://schemas.microsoft.com/office/drawing/2014/main" id="{95AB6078-322C-4178-B650-9B090EB27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46149</xdr:colOff>
      <xdr:row>97</xdr:row>
      <xdr:rowOff>10506</xdr:rowOff>
    </xdr:from>
    <xdr:to>
      <xdr:col>22</xdr:col>
      <xdr:colOff>201708</xdr:colOff>
      <xdr:row>106</xdr:row>
      <xdr:rowOff>66536</xdr:rowOff>
    </xdr:to>
    <xdr:graphicFrame macro="">
      <xdr:nvGraphicFramePr>
        <xdr:cNvPr id="12" name="Chart 11">
          <a:extLst>
            <a:ext uri="{FF2B5EF4-FFF2-40B4-BE49-F238E27FC236}">
              <a16:creationId xmlns:a16="http://schemas.microsoft.com/office/drawing/2014/main" id="{7A578643-9D15-45F7-B102-21F292C7E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392206</xdr:colOff>
      <xdr:row>65</xdr:row>
      <xdr:rowOff>156881</xdr:rowOff>
    </xdr:from>
    <xdr:to>
      <xdr:col>31</xdr:col>
      <xdr:colOff>584400</xdr:colOff>
      <xdr:row>84</xdr:row>
      <xdr:rowOff>69440</xdr:rowOff>
    </xdr:to>
    <xdr:graphicFrame macro="">
      <xdr:nvGraphicFramePr>
        <xdr:cNvPr id="13" name="Chart 12">
          <a:extLst>
            <a:ext uri="{FF2B5EF4-FFF2-40B4-BE49-F238E27FC236}">
              <a16:creationId xmlns:a16="http://schemas.microsoft.com/office/drawing/2014/main" id="{AC528AE2-60E5-4BB4-ADE0-C2C79C1BD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504264</xdr:colOff>
      <xdr:row>72</xdr:row>
      <xdr:rowOff>116269</xdr:rowOff>
    </xdr:from>
    <xdr:to>
      <xdr:col>30</xdr:col>
      <xdr:colOff>582705</xdr:colOff>
      <xdr:row>83</xdr:row>
      <xdr:rowOff>144073</xdr:rowOff>
    </xdr:to>
    <xdr:graphicFrame macro="">
      <xdr:nvGraphicFramePr>
        <xdr:cNvPr id="14" name="Chart 13">
          <a:extLst>
            <a:ext uri="{FF2B5EF4-FFF2-40B4-BE49-F238E27FC236}">
              <a16:creationId xmlns:a16="http://schemas.microsoft.com/office/drawing/2014/main" id="{B947E247-119B-4454-8F0A-DCD7F605F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44823</xdr:colOff>
      <xdr:row>65</xdr:row>
      <xdr:rowOff>156880</xdr:rowOff>
    </xdr:from>
    <xdr:to>
      <xdr:col>22</xdr:col>
      <xdr:colOff>360282</xdr:colOff>
      <xdr:row>84</xdr:row>
      <xdr:rowOff>69439</xdr:rowOff>
    </xdr:to>
    <xdr:graphicFrame macro="">
      <xdr:nvGraphicFramePr>
        <xdr:cNvPr id="9" name="Chart 8">
          <a:extLst>
            <a:ext uri="{FF2B5EF4-FFF2-40B4-BE49-F238E27FC236}">
              <a16:creationId xmlns:a16="http://schemas.microsoft.com/office/drawing/2014/main" id="{8627CC85-2505-4F24-BD8D-B981C3459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232390</xdr:colOff>
      <xdr:row>76</xdr:row>
      <xdr:rowOff>78780</xdr:rowOff>
    </xdr:from>
    <xdr:to>
      <xdr:col>21</xdr:col>
      <xdr:colOff>459442</xdr:colOff>
      <xdr:row>84</xdr:row>
      <xdr:rowOff>50586</xdr:rowOff>
    </xdr:to>
    <xdr:graphicFrame macro="">
      <xdr:nvGraphicFramePr>
        <xdr:cNvPr id="11" name="Chart 10">
          <a:extLst>
            <a:ext uri="{FF2B5EF4-FFF2-40B4-BE49-F238E27FC236}">
              <a16:creationId xmlns:a16="http://schemas.microsoft.com/office/drawing/2014/main" id="{68F58C40-7FEA-4C11-828D-FC8EE88AF07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33618</xdr:colOff>
      <xdr:row>86</xdr:row>
      <xdr:rowOff>89646</xdr:rowOff>
    </xdr:from>
    <xdr:to>
      <xdr:col>22</xdr:col>
      <xdr:colOff>349077</xdr:colOff>
      <xdr:row>108</xdr:row>
      <xdr:rowOff>58234</xdr:rowOff>
    </xdr:to>
    <xdr:graphicFrame macro="">
      <xdr:nvGraphicFramePr>
        <xdr:cNvPr id="16" name="Chart 15">
          <a:extLst>
            <a:ext uri="{FF2B5EF4-FFF2-40B4-BE49-F238E27FC236}">
              <a16:creationId xmlns:a16="http://schemas.microsoft.com/office/drawing/2014/main" id="{A00357DD-EAEB-4FA6-83B0-87226629C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34944</xdr:colOff>
      <xdr:row>98</xdr:row>
      <xdr:rowOff>133770</xdr:rowOff>
    </xdr:from>
    <xdr:to>
      <xdr:col>22</xdr:col>
      <xdr:colOff>190503</xdr:colOff>
      <xdr:row>108</xdr:row>
      <xdr:rowOff>32917</xdr:rowOff>
    </xdr:to>
    <xdr:graphicFrame macro="">
      <xdr:nvGraphicFramePr>
        <xdr:cNvPr id="17" name="Chart 16">
          <a:extLst>
            <a:ext uri="{FF2B5EF4-FFF2-40B4-BE49-F238E27FC236}">
              <a16:creationId xmlns:a16="http://schemas.microsoft.com/office/drawing/2014/main" id="{322E9753-CA12-4ADA-8B57-DB6E3C3A3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22</xdr:col>
      <xdr:colOff>414617</xdr:colOff>
      <xdr:row>66</xdr:row>
      <xdr:rowOff>1</xdr:rowOff>
    </xdr:from>
    <xdr:to>
      <xdr:col>32</xdr:col>
      <xdr:colOff>1694</xdr:colOff>
      <xdr:row>86</xdr:row>
      <xdr:rowOff>47030</xdr:rowOff>
    </xdr:to>
    <xdr:graphicFrame macro="">
      <xdr:nvGraphicFramePr>
        <xdr:cNvPr id="18" name="Chart 17">
          <a:extLst>
            <a:ext uri="{FF2B5EF4-FFF2-40B4-BE49-F238E27FC236}">
              <a16:creationId xmlns:a16="http://schemas.microsoft.com/office/drawing/2014/main" id="{689E3FFB-6B14-42EA-A3F5-593DD4A3D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22</xdr:col>
      <xdr:colOff>571996</xdr:colOff>
      <xdr:row>74</xdr:row>
      <xdr:rowOff>116272</xdr:rowOff>
    </xdr:from>
    <xdr:to>
      <xdr:col>31</xdr:col>
      <xdr:colOff>34996</xdr:colOff>
      <xdr:row>85</xdr:row>
      <xdr:rowOff>144075</xdr:rowOff>
    </xdr:to>
    <xdr:graphicFrame macro="">
      <xdr:nvGraphicFramePr>
        <xdr:cNvPr id="19" name="Chart 18">
          <a:extLst>
            <a:ext uri="{FF2B5EF4-FFF2-40B4-BE49-F238E27FC236}">
              <a16:creationId xmlns:a16="http://schemas.microsoft.com/office/drawing/2014/main" id="{B11A219C-8748-4647-AC6A-1550B335F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22411</xdr:colOff>
      <xdr:row>66</xdr:row>
      <xdr:rowOff>0</xdr:rowOff>
    </xdr:from>
    <xdr:to>
      <xdr:col>22</xdr:col>
      <xdr:colOff>337870</xdr:colOff>
      <xdr:row>86</xdr:row>
      <xdr:rowOff>47029</xdr:rowOff>
    </xdr:to>
    <xdr:graphicFrame macro="">
      <xdr:nvGraphicFramePr>
        <xdr:cNvPr id="8" name="Chart 7">
          <a:extLst>
            <a:ext uri="{FF2B5EF4-FFF2-40B4-BE49-F238E27FC236}">
              <a16:creationId xmlns:a16="http://schemas.microsoft.com/office/drawing/2014/main" id="{C2BFE2A3-F522-4579-8739-5798FAB2D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243595</xdr:colOff>
      <xdr:row>77</xdr:row>
      <xdr:rowOff>190840</xdr:rowOff>
    </xdr:from>
    <xdr:to>
      <xdr:col>21</xdr:col>
      <xdr:colOff>289026</xdr:colOff>
      <xdr:row>86</xdr:row>
      <xdr:rowOff>5764</xdr:rowOff>
    </xdr:to>
    <xdr:graphicFrame macro="">
      <xdr:nvGraphicFramePr>
        <xdr:cNvPr id="9" name="Chart 8">
          <a:extLst>
            <a:ext uri="{FF2B5EF4-FFF2-40B4-BE49-F238E27FC236}">
              <a16:creationId xmlns:a16="http://schemas.microsoft.com/office/drawing/2014/main" id="{9F3ED96E-7E72-4D19-BB95-923CE914892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403414</xdr:colOff>
      <xdr:row>65</xdr:row>
      <xdr:rowOff>89646</xdr:rowOff>
    </xdr:from>
    <xdr:to>
      <xdr:col>31</xdr:col>
      <xdr:colOff>595608</xdr:colOff>
      <xdr:row>85</xdr:row>
      <xdr:rowOff>136675</xdr:rowOff>
    </xdr:to>
    <xdr:graphicFrame macro="">
      <xdr:nvGraphicFramePr>
        <xdr:cNvPr id="12" name="Chart 11">
          <a:extLst>
            <a:ext uri="{FF2B5EF4-FFF2-40B4-BE49-F238E27FC236}">
              <a16:creationId xmlns:a16="http://schemas.microsoft.com/office/drawing/2014/main" id="{2D94A199-A4C4-4267-890C-1F6B883D1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515472</xdr:colOff>
      <xdr:row>74</xdr:row>
      <xdr:rowOff>26623</xdr:rowOff>
    </xdr:from>
    <xdr:to>
      <xdr:col>30</xdr:col>
      <xdr:colOff>593913</xdr:colOff>
      <xdr:row>85</xdr:row>
      <xdr:rowOff>54426</xdr:rowOff>
    </xdr:to>
    <xdr:graphicFrame macro="">
      <xdr:nvGraphicFramePr>
        <xdr:cNvPr id="13" name="Chart 12">
          <a:extLst>
            <a:ext uri="{FF2B5EF4-FFF2-40B4-BE49-F238E27FC236}">
              <a16:creationId xmlns:a16="http://schemas.microsoft.com/office/drawing/2014/main" id="{80594962-AF9A-40AA-A268-08B00AA18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22410</xdr:colOff>
      <xdr:row>86</xdr:row>
      <xdr:rowOff>22411</xdr:rowOff>
    </xdr:from>
    <xdr:to>
      <xdr:col>22</xdr:col>
      <xdr:colOff>337869</xdr:colOff>
      <xdr:row>107</xdr:row>
      <xdr:rowOff>147882</xdr:rowOff>
    </xdr:to>
    <xdr:graphicFrame macro="">
      <xdr:nvGraphicFramePr>
        <xdr:cNvPr id="14" name="Chart 13">
          <a:extLst>
            <a:ext uri="{FF2B5EF4-FFF2-40B4-BE49-F238E27FC236}">
              <a16:creationId xmlns:a16="http://schemas.microsoft.com/office/drawing/2014/main" id="{90562334-03B6-4E35-B5E1-75A5F19CC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23736</xdr:colOff>
      <xdr:row>98</xdr:row>
      <xdr:rowOff>66535</xdr:rowOff>
    </xdr:from>
    <xdr:to>
      <xdr:col>22</xdr:col>
      <xdr:colOff>179295</xdr:colOff>
      <xdr:row>107</xdr:row>
      <xdr:rowOff>122565</xdr:rowOff>
    </xdr:to>
    <xdr:graphicFrame macro="">
      <xdr:nvGraphicFramePr>
        <xdr:cNvPr id="15" name="Chart 14">
          <a:extLst>
            <a:ext uri="{FF2B5EF4-FFF2-40B4-BE49-F238E27FC236}">
              <a16:creationId xmlns:a16="http://schemas.microsoft.com/office/drawing/2014/main" id="{238FEF18-5248-4317-9D8F-4B37DD1FA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22410</xdr:colOff>
      <xdr:row>65</xdr:row>
      <xdr:rowOff>89647</xdr:rowOff>
    </xdr:from>
    <xdr:to>
      <xdr:col>22</xdr:col>
      <xdr:colOff>337869</xdr:colOff>
      <xdr:row>85</xdr:row>
      <xdr:rowOff>136676</xdr:rowOff>
    </xdr:to>
    <xdr:graphicFrame macro="">
      <xdr:nvGraphicFramePr>
        <xdr:cNvPr id="9" name="Chart 8">
          <a:extLst>
            <a:ext uri="{FF2B5EF4-FFF2-40B4-BE49-F238E27FC236}">
              <a16:creationId xmlns:a16="http://schemas.microsoft.com/office/drawing/2014/main" id="{1AE0A410-8C4F-4B23-89D6-1CF69B5099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209977</xdr:colOff>
      <xdr:row>77</xdr:row>
      <xdr:rowOff>146017</xdr:rowOff>
    </xdr:from>
    <xdr:to>
      <xdr:col>21</xdr:col>
      <xdr:colOff>437029</xdr:colOff>
      <xdr:row>85</xdr:row>
      <xdr:rowOff>117823</xdr:rowOff>
    </xdr:to>
    <xdr:graphicFrame macro="">
      <xdr:nvGraphicFramePr>
        <xdr:cNvPr id="10" name="Chart 9">
          <a:extLst>
            <a:ext uri="{FF2B5EF4-FFF2-40B4-BE49-F238E27FC236}">
              <a16:creationId xmlns:a16="http://schemas.microsoft.com/office/drawing/2014/main" id="{AF2A78B6-C281-454A-9BF3-00EE142EB11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381000</xdr:colOff>
      <xdr:row>65</xdr:row>
      <xdr:rowOff>134470</xdr:rowOff>
    </xdr:from>
    <xdr:to>
      <xdr:col>31</xdr:col>
      <xdr:colOff>573194</xdr:colOff>
      <xdr:row>86</xdr:row>
      <xdr:rowOff>24617</xdr:rowOff>
    </xdr:to>
    <xdr:graphicFrame macro="">
      <xdr:nvGraphicFramePr>
        <xdr:cNvPr id="13" name="Chart 12">
          <a:extLst>
            <a:ext uri="{FF2B5EF4-FFF2-40B4-BE49-F238E27FC236}">
              <a16:creationId xmlns:a16="http://schemas.microsoft.com/office/drawing/2014/main" id="{96C152FA-E8D1-4576-A746-AD5B5FC37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493058</xdr:colOff>
      <xdr:row>74</xdr:row>
      <xdr:rowOff>71447</xdr:rowOff>
    </xdr:from>
    <xdr:to>
      <xdr:col>30</xdr:col>
      <xdr:colOff>571499</xdr:colOff>
      <xdr:row>85</xdr:row>
      <xdr:rowOff>99250</xdr:rowOff>
    </xdr:to>
    <xdr:graphicFrame macro="">
      <xdr:nvGraphicFramePr>
        <xdr:cNvPr id="14" name="Chart 13">
          <a:extLst>
            <a:ext uri="{FF2B5EF4-FFF2-40B4-BE49-F238E27FC236}">
              <a16:creationId xmlns:a16="http://schemas.microsoft.com/office/drawing/2014/main" id="{3924597C-94BD-4FE4-8DAA-4D35F79DB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11205</xdr:colOff>
      <xdr:row>86</xdr:row>
      <xdr:rowOff>67234</xdr:rowOff>
    </xdr:from>
    <xdr:to>
      <xdr:col>22</xdr:col>
      <xdr:colOff>326664</xdr:colOff>
      <xdr:row>108</xdr:row>
      <xdr:rowOff>35822</xdr:rowOff>
    </xdr:to>
    <xdr:graphicFrame macro="">
      <xdr:nvGraphicFramePr>
        <xdr:cNvPr id="15" name="Chart 14">
          <a:extLst>
            <a:ext uri="{FF2B5EF4-FFF2-40B4-BE49-F238E27FC236}">
              <a16:creationId xmlns:a16="http://schemas.microsoft.com/office/drawing/2014/main" id="{C54D6C50-1699-4DFB-BA36-C6B968F05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12531</xdr:colOff>
      <xdr:row>98</xdr:row>
      <xdr:rowOff>111358</xdr:rowOff>
    </xdr:from>
    <xdr:to>
      <xdr:col>22</xdr:col>
      <xdr:colOff>168090</xdr:colOff>
      <xdr:row>108</xdr:row>
      <xdr:rowOff>10505</xdr:rowOff>
    </xdr:to>
    <xdr:graphicFrame macro="">
      <xdr:nvGraphicFramePr>
        <xdr:cNvPr id="16" name="Chart 15">
          <a:extLst>
            <a:ext uri="{FF2B5EF4-FFF2-40B4-BE49-F238E27FC236}">
              <a16:creationId xmlns:a16="http://schemas.microsoft.com/office/drawing/2014/main" id="{312DB45A-27DE-48C6-8707-8BFECA354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22413</xdr:colOff>
      <xdr:row>65</xdr:row>
      <xdr:rowOff>134472</xdr:rowOff>
    </xdr:from>
    <xdr:to>
      <xdr:col>22</xdr:col>
      <xdr:colOff>337872</xdr:colOff>
      <xdr:row>86</xdr:row>
      <xdr:rowOff>24619</xdr:rowOff>
    </xdr:to>
    <xdr:graphicFrame macro="">
      <xdr:nvGraphicFramePr>
        <xdr:cNvPr id="9" name="Chart 8">
          <a:extLst>
            <a:ext uri="{FF2B5EF4-FFF2-40B4-BE49-F238E27FC236}">
              <a16:creationId xmlns:a16="http://schemas.microsoft.com/office/drawing/2014/main" id="{EE001177-0863-48D5-933A-222635DD3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209980</xdr:colOff>
      <xdr:row>77</xdr:row>
      <xdr:rowOff>190842</xdr:rowOff>
    </xdr:from>
    <xdr:to>
      <xdr:col>21</xdr:col>
      <xdr:colOff>437033</xdr:colOff>
      <xdr:row>86</xdr:row>
      <xdr:rowOff>5766</xdr:rowOff>
    </xdr:to>
    <xdr:graphicFrame macro="">
      <xdr:nvGraphicFramePr>
        <xdr:cNvPr id="10" name="Chart 9">
          <a:extLst>
            <a:ext uri="{FF2B5EF4-FFF2-40B4-BE49-F238E27FC236}">
              <a16:creationId xmlns:a16="http://schemas.microsoft.com/office/drawing/2014/main" id="{C58B1FA0-C6EE-476A-8A8D-CE8784EA5FF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425824</xdr:colOff>
      <xdr:row>65</xdr:row>
      <xdr:rowOff>33618</xdr:rowOff>
    </xdr:from>
    <xdr:to>
      <xdr:col>32</xdr:col>
      <xdr:colOff>12900</xdr:colOff>
      <xdr:row>85</xdr:row>
      <xdr:rowOff>80647</xdr:rowOff>
    </xdr:to>
    <xdr:graphicFrame macro="">
      <xdr:nvGraphicFramePr>
        <xdr:cNvPr id="16" name="Chart 15">
          <a:extLst>
            <a:ext uri="{FF2B5EF4-FFF2-40B4-BE49-F238E27FC236}">
              <a16:creationId xmlns:a16="http://schemas.microsoft.com/office/drawing/2014/main" id="{A5E671D1-C465-4C0E-BF06-B558C690E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583203</xdr:colOff>
      <xdr:row>73</xdr:row>
      <xdr:rowOff>149889</xdr:rowOff>
    </xdr:from>
    <xdr:to>
      <xdr:col>31</xdr:col>
      <xdr:colOff>46203</xdr:colOff>
      <xdr:row>85</xdr:row>
      <xdr:rowOff>20810</xdr:rowOff>
    </xdr:to>
    <xdr:graphicFrame macro="">
      <xdr:nvGraphicFramePr>
        <xdr:cNvPr id="17" name="Chart 16">
          <a:extLst>
            <a:ext uri="{FF2B5EF4-FFF2-40B4-BE49-F238E27FC236}">
              <a16:creationId xmlns:a16="http://schemas.microsoft.com/office/drawing/2014/main" id="{EB3FEF17-69CF-47AC-B822-239DD0189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33618</xdr:colOff>
      <xdr:row>85</xdr:row>
      <xdr:rowOff>134471</xdr:rowOff>
    </xdr:from>
    <xdr:to>
      <xdr:col>22</xdr:col>
      <xdr:colOff>349077</xdr:colOff>
      <xdr:row>107</xdr:row>
      <xdr:rowOff>103060</xdr:rowOff>
    </xdr:to>
    <xdr:graphicFrame macro="">
      <xdr:nvGraphicFramePr>
        <xdr:cNvPr id="18" name="Chart 17">
          <a:extLst>
            <a:ext uri="{FF2B5EF4-FFF2-40B4-BE49-F238E27FC236}">
              <a16:creationId xmlns:a16="http://schemas.microsoft.com/office/drawing/2014/main" id="{26BAA9B7-28C2-4EE6-968E-BDAFCD368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34944</xdr:colOff>
      <xdr:row>98</xdr:row>
      <xdr:rowOff>21713</xdr:rowOff>
    </xdr:from>
    <xdr:to>
      <xdr:col>22</xdr:col>
      <xdr:colOff>190503</xdr:colOff>
      <xdr:row>107</xdr:row>
      <xdr:rowOff>77743</xdr:rowOff>
    </xdr:to>
    <xdr:graphicFrame macro="">
      <xdr:nvGraphicFramePr>
        <xdr:cNvPr id="19" name="Chart 18">
          <a:extLst>
            <a:ext uri="{FF2B5EF4-FFF2-40B4-BE49-F238E27FC236}">
              <a16:creationId xmlns:a16="http://schemas.microsoft.com/office/drawing/2014/main" id="{15A8F3A4-7A75-44AB-AC37-044D496D5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44823</xdr:colOff>
      <xdr:row>65</xdr:row>
      <xdr:rowOff>44822</xdr:rowOff>
    </xdr:from>
    <xdr:to>
      <xdr:col>22</xdr:col>
      <xdr:colOff>360282</xdr:colOff>
      <xdr:row>85</xdr:row>
      <xdr:rowOff>91851</xdr:rowOff>
    </xdr:to>
    <xdr:graphicFrame macro="">
      <xdr:nvGraphicFramePr>
        <xdr:cNvPr id="10" name="Chart 9">
          <a:extLst>
            <a:ext uri="{FF2B5EF4-FFF2-40B4-BE49-F238E27FC236}">
              <a16:creationId xmlns:a16="http://schemas.microsoft.com/office/drawing/2014/main" id="{57666185-E723-482C-8A57-E59839CC0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266007</xdr:colOff>
      <xdr:row>77</xdr:row>
      <xdr:rowOff>56368</xdr:rowOff>
    </xdr:from>
    <xdr:to>
      <xdr:col>21</xdr:col>
      <xdr:colOff>311437</xdr:colOff>
      <xdr:row>85</xdr:row>
      <xdr:rowOff>28174</xdr:rowOff>
    </xdr:to>
    <xdr:graphicFrame macro="">
      <xdr:nvGraphicFramePr>
        <xdr:cNvPr id="11" name="Chart 10">
          <a:extLst>
            <a:ext uri="{FF2B5EF4-FFF2-40B4-BE49-F238E27FC236}">
              <a16:creationId xmlns:a16="http://schemas.microsoft.com/office/drawing/2014/main" id="{265BB8C0-EB0A-44C0-A2B0-B782D8D4FEB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22</xdr:col>
      <xdr:colOff>381002</xdr:colOff>
      <xdr:row>66</xdr:row>
      <xdr:rowOff>1</xdr:rowOff>
    </xdr:from>
    <xdr:to>
      <xdr:col>31</xdr:col>
      <xdr:colOff>573196</xdr:colOff>
      <xdr:row>86</xdr:row>
      <xdr:rowOff>47030</xdr:rowOff>
    </xdr:to>
    <xdr:graphicFrame macro="">
      <xdr:nvGraphicFramePr>
        <xdr:cNvPr id="13" name="Chart 12">
          <a:extLst>
            <a:ext uri="{FF2B5EF4-FFF2-40B4-BE49-F238E27FC236}">
              <a16:creationId xmlns:a16="http://schemas.microsoft.com/office/drawing/2014/main" id="{0936585A-0FBB-4BE8-8E07-CF23C0E1E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493060</xdr:colOff>
      <xdr:row>74</xdr:row>
      <xdr:rowOff>93860</xdr:rowOff>
    </xdr:from>
    <xdr:to>
      <xdr:col>30</xdr:col>
      <xdr:colOff>571501</xdr:colOff>
      <xdr:row>85</xdr:row>
      <xdr:rowOff>121663</xdr:rowOff>
    </xdr:to>
    <xdr:graphicFrame macro="">
      <xdr:nvGraphicFramePr>
        <xdr:cNvPr id="14" name="Chart 13">
          <a:extLst>
            <a:ext uri="{FF2B5EF4-FFF2-40B4-BE49-F238E27FC236}">
              <a16:creationId xmlns:a16="http://schemas.microsoft.com/office/drawing/2014/main" id="{9D7CC571-4F6D-4ABD-AD24-42395D7FAC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22411</xdr:colOff>
      <xdr:row>86</xdr:row>
      <xdr:rowOff>89646</xdr:rowOff>
    </xdr:from>
    <xdr:to>
      <xdr:col>22</xdr:col>
      <xdr:colOff>337870</xdr:colOff>
      <xdr:row>108</xdr:row>
      <xdr:rowOff>58234</xdr:rowOff>
    </xdr:to>
    <xdr:graphicFrame macro="">
      <xdr:nvGraphicFramePr>
        <xdr:cNvPr id="15" name="Chart 14">
          <a:extLst>
            <a:ext uri="{FF2B5EF4-FFF2-40B4-BE49-F238E27FC236}">
              <a16:creationId xmlns:a16="http://schemas.microsoft.com/office/drawing/2014/main" id="{CA2E3347-942C-456B-A16A-F0D9A3C44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23737</xdr:colOff>
      <xdr:row>98</xdr:row>
      <xdr:rowOff>133770</xdr:rowOff>
    </xdr:from>
    <xdr:to>
      <xdr:col>22</xdr:col>
      <xdr:colOff>179296</xdr:colOff>
      <xdr:row>108</xdr:row>
      <xdr:rowOff>32917</xdr:rowOff>
    </xdr:to>
    <xdr:graphicFrame macro="">
      <xdr:nvGraphicFramePr>
        <xdr:cNvPr id="16" name="Chart 15">
          <a:extLst>
            <a:ext uri="{FF2B5EF4-FFF2-40B4-BE49-F238E27FC236}">
              <a16:creationId xmlns:a16="http://schemas.microsoft.com/office/drawing/2014/main" id="{F0BD7C6B-D75C-45CF-88F5-08C65135C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11206</xdr:colOff>
      <xdr:row>66</xdr:row>
      <xdr:rowOff>2</xdr:rowOff>
    </xdr:from>
    <xdr:to>
      <xdr:col>22</xdr:col>
      <xdr:colOff>326665</xdr:colOff>
      <xdr:row>86</xdr:row>
      <xdr:rowOff>47031</xdr:rowOff>
    </xdr:to>
    <xdr:graphicFrame macro="">
      <xdr:nvGraphicFramePr>
        <xdr:cNvPr id="8" name="Chart 7">
          <a:extLst>
            <a:ext uri="{FF2B5EF4-FFF2-40B4-BE49-F238E27FC236}">
              <a16:creationId xmlns:a16="http://schemas.microsoft.com/office/drawing/2014/main" id="{93559333-E276-4CEA-9B93-AA338A617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198773</xdr:colOff>
      <xdr:row>77</xdr:row>
      <xdr:rowOff>213254</xdr:rowOff>
    </xdr:from>
    <xdr:to>
      <xdr:col>21</xdr:col>
      <xdr:colOff>425825</xdr:colOff>
      <xdr:row>86</xdr:row>
      <xdr:rowOff>28178</xdr:rowOff>
    </xdr:to>
    <xdr:graphicFrame macro="">
      <xdr:nvGraphicFramePr>
        <xdr:cNvPr id="10" name="Chart 9">
          <a:extLst>
            <a:ext uri="{FF2B5EF4-FFF2-40B4-BE49-F238E27FC236}">
              <a16:creationId xmlns:a16="http://schemas.microsoft.com/office/drawing/2014/main" id="{A92A0C4D-8272-40E5-A13C-F4065048E6C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nvironment.gov.au/protection/national-waste-policy/publications/waste-generation-and-resource-recovery-australia-report-and-data-workbooks"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hyperlink" Target="http://www.abs.gov.au/ausstats/abs@.nsf/mf/3101.0" TargetMode="External"/><Relationship Id="rId2" Type="http://schemas.openxmlformats.org/officeDocument/2006/relationships/hyperlink" Target="http://www.abs.gov.au/ausstats/abs@.nsf/mf/3101.0" TargetMode="External"/><Relationship Id="rId1" Type="http://schemas.openxmlformats.org/officeDocument/2006/relationships/hyperlink" Target="https://www.environment.gov.au/protection/national-waste-policy/publications/waste-generation-and-resource-recovery-australia-report-and-data-workbooks" TargetMode="External"/><Relationship Id="rId6" Type="http://schemas.openxmlformats.org/officeDocument/2006/relationships/drawing" Target="../drawings/drawing11.xml"/><Relationship Id="rId5" Type="http://schemas.openxmlformats.org/officeDocument/2006/relationships/printerSettings" Target="../printerSettings/printerSettings8.bin"/><Relationship Id="rId4" Type="http://schemas.openxmlformats.org/officeDocument/2006/relationships/hyperlink" Target="http://www.abs.gov.au/AUSSTATS/abs@.nsf/DetailsPage/5220.02014-15?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tats.oecd.org/index.aspx?r=389695" TargetMode="External"/><Relationship Id="rId1" Type="http://schemas.openxmlformats.org/officeDocument/2006/relationships/hyperlink" Target="https://data.oecd.org/waste/municipal-waste.htm"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0.bin"/><Relationship Id="rId1" Type="http://schemas.openxmlformats.org/officeDocument/2006/relationships/hyperlink" Target="http://www.environment.gov.au/resource/waste-generation-and-resource-recovery-australia-report-and-data-workbooks"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environment.nsw.gov.au/sustainbus/SustainabilityData.htm" TargetMode="External"/><Relationship Id="rId7" Type="http://schemas.openxmlformats.org/officeDocument/2006/relationships/printerSettings" Target="../printerSettings/printerSettings2.bin"/><Relationship Id="rId2" Type="http://schemas.openxmlformats.org/officeDocument/2006/relationships/hyperlink" Target="http://www.environment.nsw.gov.au/warr/cndwastestream.htm" TargetMode="External"/><Relationship Id="rId1" Type="http://schemas.openxmlformats.org/officeDocument/2006/relationships/hyperlink" Target="http://www.environment.nsw.gov.au/resources/warr/105WasteSurveypt1.pdf" TargetMode="External"/><Relationship Id="rId6" Type="http://schemas.openxmlformats.org/officeDocument/2006/relationships/hyperlink" Target="http://www.epa.nsw.gov.au/resources/waste/070320-constr-demolition.pdf" TargetMode="External"/><Relationship Id="rId5" Type="http://schemas.openxmlformats.org/officeDocument/2006/relationships/hyperlink" Target="http://www.epa.nsw.gov.au/resources/warrlocal/100005-waste-survey-pt1.pdf" TargetMode="External"/><Relationship Id="rId4" Type="http://schemas.openxmlformats.org/officeDocument/2006/relationships/hyperlink" Target="http://www.environment.nsw.gov.au/warr/datareport.htm" TargetMode="Externa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95"/>
  <sheetViews>
    <sheetView showRowColHeaders="0" tabSelected="1" zoomScaleNormal="100" workbookViewId="0">
      <pane ySplit="1" topLeftCell="A2" activePane="bottomLeft" state="frozen"/>
      <selection pane="bottomLeft" activeCell="A2" sqref="A2"/>
    </sheetView>
  </sheetViews>
  <sheetFormatPr defaultColWidth="0" defaultRowHeight="15" zeroHeight="1" x14ac:dyDescent="0.25"/>
  <cols>
    <col min="1" max="1" width="2.42578125" style="2575" customWidth="1"/>
    <col min="2" max="2" width="7.28515625" style="49" customWidth="1"/>
    <col min="3" max="3" width="2.42578125" style="49" customWidth="1"/>
    <col min="4" max="4" width="2.7109375" style="49" customWidth="1"/>
    <col min="5" max="10" width="2.42578125" style="49" customWidth="1"/>
    <col min="11" max="14" width="24.7109375" style="49" customWidth="1"/>
    <col min="15" max="15" width="20" style="49" customWidth="1"/>
    <col min="16" max="16" width="16.7109375" style="49" customWidth="1"/>
    <col min="17" max="20" width="9.140625" hidden="1"/>
    <col min="21" max="21" width="9.28515625" hidden="1"/>
  </cols>
  <sheetData>
    <row r="1" spans="1:16384" s="72" customFormat="1" ht="21.75" customHeight="1" x14ac:dyDescent="0.3">
      <c r="B1" s="72" t="s">
        <v>1291</v>
      </c>
      <c r="M1" s="2266" t="s">
        <v>1290</v>
      </c>
      <c r="N1" s="1452" t="s">
        <v>958</v>
      </c>
      <c r="O1" s="2266"/>
      <c r="P1" s="1452" t="s">
        <v>1455</v>
      </c>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x14ac:dyDescent="0.25">
      <c r="A2" s="988"/>
      <c r="P2" s="2574">
        <v>42906</v>
      </c>
    </row>
    <row r="3" spans="1:16384" s="32" customFormat="1" ht="15.75" x14ac:dyDescent="0.25">
      <c r="B3" s="73" t="s">
        <v>1292</v>
      </c>
      <c r="C3" s="73"/>
      <c r="D3" s="73"/>
      <c r="E3" s="73"/>
      <c r="F3" s="73"/>
      <c r="G3" s="73"/>
      <c r="H3" s="73"/>
      <c r="I3" s="73"/>
      <c r="J3" s="73"/>
      <c r="K3" s="73"/>
      <c r="L3" s="73"/>
      <c r="M3" s="73"/>
      <c r="N3" s="73"/>
      <c r="O3" s="73"/>
      <c r="P3" s="7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988" customFormat="1" ht="55.5" customHeight="1" x14ac:dyDescent="0.25">
      <c r="B4" s="1" t="s">
        <v>1296</v>
      </c>
      <c r="C4" s="1"/>
      <c r="D4" s="1"/>
      <c r="E4" s="1"/>
      <c r="F4" s="1"/>
      <c r="G4" s="1"/>
      <c r="H4" s="1"/>
      <c r="I4" s="1"/>
      <c r="J4" s="1"/>
      <c r="K4" s="1"/>
      <c r="L4" s="1"/>
      <c r="M4" s="1"/>
      <c r="N4" s="1"/>
      <c r="O4" s="1"/>
      <c r="P4" s="1"/>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988" customFormat="1" ht="21" customHeight="1" x14ac:dyDescent="0.25">
      <c r="B5" s="1" t="s">
        <v>1294</v>
      </c>
      <c r="C5" s="1"/>
      <c r="D5" s="1"/>
      <c r="E5" s="1"/>
      <c r="F5" s="1"/>
      <c r="G5" s="1"/>
      <c r="H5" s="1"/>
      <c r="I5" s="1"/>
      <c r="J5" s="1"/>
      <c r="K5" s="1"/>
      <c r="L5" s="1"/>
      <c r="M5" s="1"/>
      <c r="N5" s="1"/>
      <c r="O5" s="1"/>
      <c r="P5" s="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988" customFormat="1" ht="37.5" customHeight="1" x14ac:dyDescent="0.25">
      <c r="B6" s="1" t="s">
        <v>1297</v>
      </c>
      <c r="C6" s="1"/>
      <c r="D6" s="1"/>
      <c r="E6" s="1"/>
      <c r="F6" s="1"/>
      <c r="G6" s="1"/>
      <c r="H6" s="1"/>
      <c r="I6" s="1"/>
      <c r="J6" s="1"/>
      <c r="K6" s="1"/>
      <c r="L6" s="1"/>
      <c r="M6" s="1"/>
      <c r="N6" s="1"/>
      <c r="O6" s="1"/>
      <c r="P6" s="1"/>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988" customFormat="1" ht="21" customHeight="1" x14ac:dyDescent="0.25">
      <c r="B7" s="2585" t="s">
        <v>1295</v>
      </c>
      <c r="C7" s="2585"/>
      <c r="D7" s="2585"/>
      <c r="E7" s="2585"/>
      <c r="F7" s="2585"/>
      <c r="G7" s="2585"/>
      <c r="H7" s="2585"/>
      <c r="I7" s="2585"/>
      <c r="J7" s="2585"/>
      <c r="K7" s="2585"/>
      <c r="L7" s="2585"/>
      <c r="M7" s="2585"/>
      <c r="N7" s="2585"/>
      <c r="O7" s="2585"/>
      <c r="P7" s="258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988" customFormat="1" x14ac:dyDescent="0.25">
      <c r="B8" s="1511"/>
      <c r="C8" s="1511"/>
      <c r="D8" s="1511"/>
      <c r="E8" s="1511"/>
      <c r="F8" s="1511"/>
      <c r="G8" s="1511"/>
      <c r="H8" s="1511"/>
      <c r="I8" s="1511"/>
      <c r="J8" s="1511"/>
      <c r="K8" s="2269"/>
      <c r="L8" s="2269"/>
      <c r="M8" s="2269"/>
      <c r="N8" s="1511"/>
      <c r="O8" s="1511"/>
      <c r="P8" s="1511"/>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45" customFormat="1" ht="12.75" customHeight="1" x14ac:dyDescent="0.25">
      <c r="B9" s="1511"/>
      <c r="C9" s="2577" t="s">
        <v>0</v>
      </c>
      <c r="D9" s="2577"/>
      <c r="E9" s="2577"/>
      <c r="F9" s="2577"/>
      <c r="G9" s="2577"/>
      <c r="H9" s="2577"/>
      <c r="I9" s="2577"/>
      <c r="J9" s="2577"/>
      <c r="K9" s="2581" t="s">
        <v>852</v>
      </c>
      <c r="L9" s="2581"/>
      <c r="M9" s="2581"/>
      <c r="N9" s="2581"/>
      <c r="O9" s="2581"/>
      <c r="P9" s="2581"/>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45" customFormat="1" ht="15" customHeight="1" x14ac:dyDescent="0.25">
      <c r="B10" s="1511"/>
      <c r="C10" s="2264" t="s">
        <v>1289</v>
      </c>
      <c r="D10" s="2250"/>
      <c r="E10" s="2251"/>
      <c r="F10" s="2252"/>
      <c r="G10" s="2253"/>
      <c r="H10" s="2249"/>
      <c r="I10" s="2254"/>
      <c r="J10" s="2255"/>
      <c r="K10" s="2581" t="s">
        <v>1452</v>
      </c>
      <c r="L10" s="2581"/>
      <c r="M10" s="2581"/>
      <c r="N10" s="2581"/>
      <c r="O10" s="2581"/>
      <c r="P10" s="2581"/>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45" customFormat="1" ht="12" customHeight="1" x14ac:dyDescent="0.25">
      <c r="B11" s="1511"/>
      <c r="C11" s="2256" t="s">
        <v>3</v>
      </c>
      <c r="D11" s="2257" t="s">
        <v>4</v>
      </c>
      <c r="E11" s="2258" t="s">
        <v>5</v>
      </c>
      <c r="F11" s="2262" t="s">
        <v>6</v>
      </c>
      <c r="G11" s="2263" t="s">
        <v>7</v>
      </c>
      <c r="H11" s="2259" t="s">
        <v>8</v>
      </c>
      <c r="I11" s="2261" t="s">
        <v>9</v>
      </c>
      <c r="J11" s="2260" t="s">
        <v>374</v>
      </c>
      <c r="K11" s="2581"/>
      <c r="L11" s="2581"/>
      <c r="M11" s="2581"/>
      <c r="N11" s="2581"/>
      <c r="O11" s="2581"/>
      <c r="P11" s="258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45" customFormat="1" ht="12.75" customHeight="1" x14ac:dyDescent="0.25">
      <c r="B12" s="1511"/>
      <c r="C12" s="2578" t="s">
        <v>332</v>
      </c>
      <c r="D12" s="2578"/>
      <c r="E12" s="2578"/>
      <c r="F12" s="2578"/>
      <c r="G12" s="2578"/>
      <c r="H12" s="2578"/>
      <c r="I12" s="2578"/>
      <c r="J12" s="2578"/>
      <c r="K12" s="2581" t="s">
        <v>1453</v>
      </c>
      <c r="L12" s="2581"/>
      <c r="M12" s="2581"/>
      <c r="N12" s="2581"/>
      <c r="O12" s="2581"/>
      <c r="P12" s="2581"/>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45" customFormat="1" ht="27.75" customHeight="1" x14ac:dyDescent="0.25">
      <c r="B13" s="1511"/>
      <c r="C13" s="2579" t="s">
        <v>884</v>
      </c>
      <c r="D13" s="2579"/>
      <c r="E13" s="2579"/>
      <c r="F13" s="2579"/>
      <c r="G13" s="2579"/>
      <c r="H13" s="2579"/>
      <c r="I13" s="2579"/>
      <c r="J13" s="2579"/>
      <c r="K13" s="2581" t="s">
        <v>1298</v>
      </c>
      <c r="L13" s="2581"/>
      <c r="M13" s="2581"/>
      <c r="N13" s="2581"/>
      <c r="O13" s="2581"/>
      <c r="P13" s="2581"/>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45" customFormat="1" ht="27.75" customHeight="1" x14ac:dyDescent="0.25">
      <c r="B14" s="1511"/>
      <c r="C14" s="2580" t="s">
        <v>1288</v>
      </c>
      <c r="D14" s="2580"/>
      <c r="E14" s="2580"/>
      <c r="F14" s="2580"/>
      <c r="G14" s="2580"/>
      <c r="H14" s="2580"/>
      <c r="I14" s="2580"/>
      <c r="J14" s="2580"/>
      <c r="K14" s="2581" t="s">
        <v>1299</v>
      </c>
      <c r="L14" s="2581"/>
      <c r="M14" s="2581"/>
      <c r="N14" s="2581"/>
      <c r="O14" s="2581"/>
      <c r="P14" s="2581"/>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45" customFormat="1" x14ac:dyDescent="0.25">
      <c r="B15" s="1511"/>
      <c r="C15" s="1511"/>
      <c r="D15" s="1511"/>
      <c r="E15" s="1511"/>
      <c r="F15" s="1511"/>
      <c r="G15" s="1511"/>
      <c r="H15" s="1511"/>
      <c r="I15" s="1511"/>
      <c r="J15" s="1511"/>
      <c r="K15" s="2269"/>
      <c r="L15" s="2269"/>
      <c r="M15" s="2269"/>
      <c r="N15" s="1511"/>
      <c r="O15" s="1511"/>
      <c r="P15" s="1511"/>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45" customFormat="1" ht="20.25" customHeight="1" x14ac:dyDescent="0.25">
      <c r="B16" s="988" t="s">
        <v>853</v>
      </c>
      <c r="K16" s="71"/>
      <c r="L16" s="71"/>
      <c r="M16" s="71"/>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3:16384" s="84" customFormat="1" x14ac:dyDescent="0.25">
      <c r="C17" s="45"/>
      <c r="D17" s="45"/>
      <c r="E17" s="45"/>
      <c r="F17" s="45"/>
      <c r="G17" s="45"/>
      <c r="H17" s="45"/>
      <c r="I17" s="45"/>
      <c r="J17" s="45"/>
      <c r="K17" s="71"/>
      <c r="L17" s="71"/>
      <c r="M17" s="71"/>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3:16384" s="45" customFormat="1" x14ac:dyDescent="0.25">
      <c r="K18" s="71"/>
      <c r="L18" s="71"/>
      <c r="M18" s="71"/>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3:16384" s="45" customFormat="1" x14ac:dyDescent="0.25">
      <c r="K19" s="71"/>
      <c r="L19" s="71"/>
      <c r="M19" s="71"/>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3:16384" s="45" customFormat="1" x14ac:dyDescent="0.25">
      <c r="K20" s="71"/>
      <c r="L20" s="71"/>
      <c r="M20" s="71"/>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3:16384" s="45" customFormat="1" x14ac:dyDescent="0.25">
      <c r="K21" s="71"/>
      <c r="L21" s="71"/>
      <c r="M21" s="7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3:16384" s="45" customFormat="1" x14ac:dyDescent="0.25">
      <c r="K22" s="71"/>
      <c r="L22" s="71"/>
      <c r="M22" s="71"/>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3:16384" s="45" customFormat="1" x14ac:dyDescent="0.25">
      <c r="K23" s="71"/>
      <c r="L23" s="71"/>
      <c r="M23" s="71"/>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3:16384" s="45" customFormat="1" x14ac:dyDescent="0.25">
      <c r="K24" s="71"/>
      <c r="L24" s="71"/>
      <c r="M24" s="71"/>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3:16384" s="45" customFormat="1" x14ac:dyDescent="0.25">
      <c r="K25" s="71"/>
      <c r="L25" s="71"/>
      <c r="M25" s="71"/>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3:16384" s="45" customFormat="1" x14ac:dyDescent="0.25">
      <c r="K26" s="71"/>
      <c r="L26" s="71"/>
      <c r="M26" s="71"/>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3:16384" s="45" customFormat="1" x14ac:dyDescent="0.25">
      <c r="K27" s="71"/>
      <c r="L27" s="71"/>
      <c r="M27" s="71"/>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3:16384" s="45" customFormat="1" x14ac:dyDescent="0.25">
      <c r="K28" s="71"/>
      <c r="L28" s="71"/>
      <c r="M28" s="71"/>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3:16384" s="45" customFormat="1" x14ac:dyDescent="0.25">
      <c r="K29" s="71"/>
      <c r="L29" s="71"/>
      <c r="M29" s="71"/>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3:16384" s="45" customFormat="1" x14ac:dyDescent="0.25">
      <c r="K30" s="71"/>
      <c r="L30" s="71"/>
      <c r="M30" s="71"/>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3:16384" s="45" customFormat="1" x14ac:dyDescent="0.25">
      <c r="K31" s="71"/>
      <c r="L31" s="71"/>
      <c r="M31" s="7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3:16384" s="45" customFormat="1" x14ac:dyDescent="0.25">
      <c r="K32" s="71"/>
      <c r="L32" s="71"/>
      <c r="M32" s="71"/>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45" customFormat="1" x14ac:dyDescent="0.25">
      <c r="K33" s="71"/>
      <c r="L33" s="71"/>
      <c r="M33" s="71"/>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45" customFormat="1" x14ac:dyDescent="0.25">
      <c r="K34" s="71"/>
      <c r="L34" s="71"/>
      <c r="M34" s="71"/>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32" customFormat="1" ht="15.75" customHeight="1" x14ac:dyDescent="0.25">
      <c r="B35" s="73" t="s">
        <v>885</v>
      </c>
      <c r="C35" s="73"/>
      <c r="D35" s="73"/>
      <c r="E35" s="73"/>
      <c r="F35" s="73"/>
      <c r="G35" s="73"/>
      <c r="H35" s="73"/>
      <c r="I35" s="73"/>
      <c r="J35" s="73"/>
      <c r="K35" s="73"/>
      <c r="L35" s="73"/>
      <c r="M35" s="73"/>
      <c r="N35" s="73"/>
      <c r="O35" s="73"/>
      <c r="P35" s="73"/>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45" customFormat="1" ht="12.75" customHeight="1" x14ac:dyDescent="0.25">
      <c r="B36" s="2582" t="s">
        <v>358</v>
      </c>
      <c r="C36" s="2582"/>
      <c r="D36" s="2582"/>
      <c r="E36" s="2582"/>
      <c r="F36" s="2582"/>
      <c r="G36" s="2582"/>
      <c r="H36" s="2582"/>
      <c r="I36" s="2582"/>
      <c r="J36" s="2582"/>
      <c r="K36" s="2582"/>
      <c r="L36" s="2582"/>
      <c r="M36" s="2582"/>
      <c r="N36" s="2582"/>
      <c r="O36" s="2582"/>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45" customFormat="1" ht="12.75" customHeight="1" x14ac:dyDescent="0.25">
      <c r="B37" s="2583" t="s">
        <v>359</v>
      </c>
      <c r="C37" s="2583"/>
      <c r="D37" s="2583"/>
      <c r="E37" s="2583"/>
      <c r="F37" s="2583"/>
      <c r="G37" s="2583"/>
      <c r="H37" s="2583"/>
      <c r="I37" s="2583"/>
      <c r="J37" s="2583"/>
      <c r="K37" s="2583"/>
      <c r="L37" s="2583"/>
      <c r="M37" s="2583"/>
      <c r="N37" s="2583"/>
      <c r="O37" s="2583"/>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45" customFormat="1" ht="12.75" customHeight="1" x14ac:dyDescent="0.25">
      <c r="B38" s="2584" t="s">
        <v>562</v>
      </c>
      <c r="C38" s="2584"/>
      <c r="D38" s="2584"/>
      <c r="E38" s="2584"/>
      <c r="F38" s="2584"/>
      <c r="G38" s="2584"/>
      <c r="H38" s="2584"/>
      <c r="I38" s="2584"/>
      <c r="J38" s="2584"/>
      <c r="K38" s="2584"/>
      <c r="L38" s="2584"/>
      <c r="M38" s="2584"/>
      <c r="N38" s="2584"/>
      <c r="O38" s="2584"/>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s="45" customFormat="1" ht="12.75" customHeight="1" x14ac:dyDescent="0.25">
      <c r="B39" s="86"/>
      <c r="C39" s="87"/>
      <c r="D39" s="87"/>
      <c r="E39" s="87"/>
      <c r="F39" s="87"/>
      <c r="G39" s="87"/>
      <c r="H39" s="87"/>
      <c r="I39" s="87"/>
      <c r="J39" s="87"/>
      <c r="K39" s="86"/>
      <c r="L39" s="86"/>
      <c r="M39" s="86"/>
      <c r="N39" s="87"/>
      <c r="O39" s="87"/>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s="32" customFormat="1" ht="15.75" x14ac:dyDescent="0.25">
      <c r="B40" s="73" t="s">
        <v>883</v>
      </c>
      <c r="C40" s="73"/>
      <c r="D40" s="73"/>
      <c r="E40" s="73"/>
      <c r="F40" s="73"/>
      <c r="G40" s="73"/>
      <c r="H40" s="73"/>
      <c r="I40" s="73"/>
      <c r="J40" s="73"/>
      <c r="K40" s="73"/>
      <c r="L40" s="73"/>
      <c r="M40" s="73"/>
      <c r="N40" s="73"/>
      <c r="O40" s="73"/>
      <c r="P40" s="73"/>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45" customFormat="1" ht="13.5" customHeight="1" x14ac:dyDescent="0.25">
      <c r="B41" s="1579" t="s">
        <v>1450</v>
      </c>
      <c r="C41" s="87"/>
      <c r="D41" s="87"/>
      <c r="E41" s="87"/>
      <c r="F41" s="87"/>
      <c r="G41" s="87"/>
      <c r="H41" s="87"/>
      <c r="I41" s="87"/>
      <c r="J41" s="87"/>
      <c r="K41" s="86"/>
      <c r="L41" s="86"/>
      <c r="M41" s="86"/>
      <c r="N41" s="87"/>
      <c r="O41" s="87"/>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s="45" customFormat="1" ht="24" customHeight="1" x14ac:dyDescent="0.25">
      <c r="B42" s="2576" t="s">
        <v>1454</v>
      </c>
      <c r="C42" s="2576"/>
      <c r="D42" s="2576"/>
      <c r="E42" s="2576"/>
      <c r="F42" s="2576"/>
      <c r="G42" s="2576"/>
      <c r="H42" s="2576"/>
      <c r="I42" s="2576"/>
      <c r="J42" s="2576"/>
      <c r="K42" s="2576"/>
      <c r="L42" s="2576"/>
      <c r="M42" s="2576"/>
      <c r="N42" s="2576"/>
      <c r="O42" s="2576"/>
      <c r="P42" s="2576"/>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spans="1:16384" s="45" customFormat="1" ht="30" customHeight="1" x14ac:dyDescent="0.25">
      <c r="B43" s="1" t="s">
        <v>1449</v>
      </c>
      <c r="C43" s="1"/>
      <c r="D43" s="1"/>
      <c r="E43" s="1"/>
      <c r="F43" s="1"/>
      <c r="G43" s="1"/>
      <c r="H43" s="1"/>
      <c r="I43" s="1"/>
      <c r="J43" s="1"/>
      <c r="K43" s="1"/>
      <c r="L43" s="1"/>
      <c r="M43" s="1"/>
      <c r="N43" s="1"/>
      <c r="O43" s="1"/>
      <c r="P43" s="1"/>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16384" s="45" customFormat="1" x14ac:dyDescent="0.25">
      <c r="B44" s="87"/>
      <c r="C44" s="87"/>
      <c r="D44" s="87"/>
      <c r="E44" s="87"/>
      <c r="F44" s="87"/>
      <c r="G44" s="87"/>
      <c r="H44" s="87"/>
      <c r="I44" s="87"/>
      <c r="J44" s="87"/>
      <c r="K44" s="86"/>
      <c r="L44" s="86"/>
      <c r="M44" s="86"/>
      <c r="N44" s="87"/>
      <c r="O44" s="87"/>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s="72" customFormat="1" ht="17.25" customHeight="1" x14ac:dyDescent="0.3">
      <c r="A45" s="45"/>
      <c r="B45" s="73" t="s">
        <v>330</v>
      </c>
      <c r="C45" s="73"/>
      <c r="D45" s="73"/>
      <c r="E45" s="73"/>
      <c r="F45" s="73"/>
      <c r="G45" s="73"/>
      <c r="H45" s="73"/>
      <c r="I45" s="73"/>
      <c r="J45" s="73"/>
      <c r="K45" s="73"/>
      <c r="L45" s="73"/>
      <c r="M45" s="73"/>
      <c r="N45" s="73"/>
      <c r="O45" s="73"/>
      <c r="P45" s="73"/>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s="988" customFormat="1" ht="47.25" customHeight="1" x14ac:dyDescent="0.25">
      <c r="B46" s="1" t="s">
        <v>1451</v>
      </c>
      <c r="C46" s="1"/>
      <c r="D46" s="1"/>
      <c r="E46" s="1"/>
      <c r="F46" s="1"/>
      <c r="G46" s="1"/>
      <c r="H46" s="1"/>
      <c r="I46" s="1"/>
      <c r="J46" s="1"/>
      <c r="K46" s="1"/>
      <c r="L46" s="1"/>
      <c r="M46" s="1"/>
      <c r="N46" s="1"/>
      <c r="O46" s="1"/>
      <c r="P46" s="1"/>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s="988" customFormat="1" x14ac:dyDescent="0.25">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s="988" customFormat="1" x14ac:dyDescent="0.25">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7:16384" s="988" customFormat="1" ht="16.5" customHeight="1" x14ac:dyDescent="0.25">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7:16384" hidden="1" x14ac:dyDescent="0.25"/>
    <row r="51" spans="17:16384" hidden="1" x14ac:dyDescent="0.25"/>
    <row r="52" spans="17:16384" hidden="1" x14ac:dyDescent="0.25"/>
    <row r="53" spans="17:16384" hidden="1" x14ac:dyDescent="0.25"/>
    <row r="54" spans="17:16384" hidden="1" x14ac:dyDescent="0.25"/>
    <row r="55" spans="17:16384" hidden="1" x14ac:dyDescent="0.25"/>
    <row r="56" spans="17:16384" hidden="1" x14ac:dyDescent="0.25"/>
    <row r="57" spans="17:16384" hidden="1" x14ac:dyDescent="0.25"/>
    <row r="58" spans="17:16384" hidden="1" x14ac:dyDescent="0.25"/>
    <row r="59" spans="17:16384" hidden="1" x14ac:dyDescent="0.25"/>
    <row r="60" spans="17:16384" hidden="1" x14ac:dyDescent="0.25"/>
    <row r="61" spans="17:16384" hidden="1" x14ac:dyDescent="0.25"/>
    <row r="62" spans="17:16384" hidden="1" x14ac:dyDescent="0.25"/>
    <row r="63" spans="17:16384" hidden="1" x14ac:dyDescent="0.25"/>
    <row r="64" spans="17:1638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sheetData>
  <sheetProtection sheet="1" objects="1" scenarios="1"/>
  <mergeCells count="19">
    <mergeCell ref="B4:P4"/>
    <mergeCell ref="B6:P6"/>
    <mergeCell ref="B5:P5"/>
    <mergeCell ref="B7:P7"/>
    <mergeCell ref="K9:P9"/>
    <mergeCell ref="B43:P43"/>
    <mergeCell ref="B46:P46"/>
    <mergeCell ref="B42:P42"/>
    <mergeCell ref="C9:J9"/>
    <mergeCell ref="C12:J12"/>
    <mergeCell ref="C13:J13"/>
    <mergeCell ref="C14:J14"/>
    <mergeCell ref="K10:P11"/>
    <mergeCell ref="K14:P14"/>
    <mergeCell ref="B36:O36"/>
    <mergeCell ref="B37:O37"/>
    <mergeCell ref="B38:O38"/>
    <mergeCell ref="K12:P12"/>
    <mergeCell ref="K13:P13"/>
  </mergeCells>
  <hyperlinks>
    <hyperlink ref="B42" r:id="rId1" display="in Waste Generation and Resource Recovery in Australia)."/>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604"/>
  <sheetViews>
    <sheetView zoomScale="80" zoomScaleNormal="80" workbookViewId="0">
      <pane ySplit="4" topLeftCell="A5" activePane="bottomLeft" state="frozen"/>
      <selection activeCell="M26" sqref="M26"/>
      <selection pane="bottomLeft" activeCell="A5" sqref="A5"/>
    </sheetView>
  </sheetViews>
  <sheetFormatPr defaultColWidth="9.140625" defaultRowHeight="12.75" x14ac:dyDescent="0.2"/>
  <cols>
    <col min="1" max="1" width="9.140625" style="49"/>
    <col min="2" max="2" width="19.28515625" style="49" customWidth="1"/>
    <col min="3" max="3" width="9.140625" style="49"/>
    <col min="4" max="4" width="91.5703125" style="49" customWidth="1"/>
    <col min="5" max="5" width="10.28515625" style="49" customWidth="1"/>
    <col min="6" max="6" width="11.42578125" style="49" customWidth="1"/>
    <col min="7" max="7" width="9.140625" style="358"/>
    <col min="8" max="8" width="9.140625" style="49"/>
    <col min="9" max="9" width="14.5703125" style="49" customWidth="1"/>
    <col min="10" max="16384" width="9.140625" style="49"/>
  </cols>
  <sheetData>
    <row r="1" spans="1:13" s="41" customFormat="1" ht="21" x14ac:dyDescent="0.25">
      <c r="A1" s="40" t="s">
        <v>331</v>
      </c>
      <c r="D1" s="42"/>
      <c r="E1" s="43"/>
      <c r="F1" s="43"/>
      <c r="G1" s="356"/>
      <c r="L1" s="44"/>
      <c r="M1" s="44"/>
    </row>
    <row r="2" spans="1:13" s="47" customFormat="1" x14ac:dyDescent="0.25">
      <c r="C2" s="48"/>
      <c r="D2" s="46"/>
      <c r="E2" s="46"/>
      <c r="F2" s="46"/>
      <c r="G2" s="357"/>
      <c r="H2" s="46"/>
      <c r="I2" s="46"/>
      <c r="J2" s="46"/>
      <c r="K2" s="48"/>
    </row>
    <row r="3" spans="1:13" ht="18.75" customHeight="1" x14ac:dyDescent="0.25">
      <c r="A3" s="118" t="s">
        <v>135</v>
      </c>
      <c r="B3" s="119"/>
      <c r="C3" s="119"/>
      <c r="D3" s="120"/>
      <c r="E3" s="2716" t="s">
        <v>136</v>
      </c>
      <c r="F3" s="2717"/>
      <c r="H3" s="1512" t="s">
        <v>952</v>
      </c>
      <c r="I3" s="1583" t="s">
        <v>953</v>
      </c>
      <c r="J3" s="1513" t="s">
        <v>1313</v>
      </c>
    </row>
    <row r="4" spans="1:13" ht="25.5" x14ac:dyDescent="0.2">
      <c r="A4" s="50" t="s">
        <v>137</v>
      </c>
      <c r="B4" s="51" t="s">
        <v>138</v>
      </c>
      <c r="C4" s="50" t="s">
        <v>139</v>
      </c>
      <c r="D4" s="51" t="s">
        <v>140</v>
      </c>
      <c r="E4" s="50" t="s">
        <v>955</v>
      </c>
      <c r="F4" s="50" t="s">
        <v>956</v>
      </c>
      <c r="H4" s="1513"/>
      <c r="I4" s="1559" t="s">
        <v>954</v>
      </c>
      <c r="J4" s="1511" t="s">
        <v>957</v>
      </c>
    </row>
    <row r="6" spans="1:13" s="52" customFormat="1" ht="15.75" x14ac:dyDescent="0.25">
      <c r="A6" s="52" t="s">
        <v>141</v>
      </c>
      <c r="G6" s="359"/>
    </row>
    <row r="8" spans="1:13" x14ac:dyDescent="0.2">
      <c r="A8" s="444" t="s">
        <v>142</v>
      </c>
      <c r="B8" s="2713" t="s">
        <v>143</v>
      </c>
      <c r="C8" s="53" t="s">
        <v>144</v>
      </c>
      <c r="D8" s="54" t="s">
        <v>145</v>
      </c>
      <c r="E8" s="867">
        <v>0</v>
      </c>
      <c r="F8" s="867">
        <v>0</v>
      </c>
      <c r="G8" s="36" t="str">
        <f>ACT!B1</f>
        <v>Australian Capital Territory</v>
      </c>
    </row>
    <row r="9" spans="1:13" x14ac:dyDescent="0.2">
      <c r="A9" s="444" t="s">
        <v>142</v>
      </c>
      <c r="B9" s="2715"/>
      <c r="C9" s="53" t="s">
        <v>146</v>
      </c>
      <c r="D9" s="54" t="s">
        <v>147</v>
      </c>
      <c r="E9" s="867">
        <v>0</v>
      </c>
      <c r="F9" s="867">
        <v>0</v>
      </c>
      <c r="G9" s="36" t="str">
        <f>G8</f>
        <v>Australian Capital Territory</v>
      </c>
    </row>
    <row r="10" spans="1:13" x14ac:dyDescent="0.2">
      <c r="A10" s="444" t="s">
        <v>142</v>
      </c>
      <c r="B10" s="2714"/>
      <c r="C10" s="53" t="s">
        <v>148</v>
      </c>
      <c r="D10" s="54" t="s">
        <v>149</v>
      </c>
      <c r="E10" s="867">
        <v>0</v>
      </c>
      <c r="F10" s="867">
        <v>44.5</v>
      </c>
      <c r="G10" s="36" t="str">
        <f t="shared" ref="G10:G73" si="0">G9</f>
        <v>Australian Capital Territory</v>
      </c>
    </row>
    <row r="11" spans="1:13" x14ac:dyDescent="0.2">
      <c r="A11" s="444" t="s">
        <v>151</v>
      </c>
      <c r="B11" s="55" t="s">
        <v>152</v>
      </c>
      <c r="C11" s="53" t="s">
        <v>153</v>
      </c>
      <c r="D11" s="54" t="s">
        <v>154</v>
      </c>
      <c r="E11" s="867">
        <v>0</v>
      </c>
      <c r="F11" s="867">
        <v>0</v>
      </c>
      <c r="G11" s="36" t="str">
        <f t="shared" si="0"/>
        <v>Australian Capital Territory</v>
      </c>
    </row>
    <row r="12" spans="1:13" x14ac:dyDescent="0.2">
      <c r="A12" s="444" t="s">
        <v>155</v>
      </c>
      <c r="B12" s="55" t="s">
        <v>156</v>
      </c>
      <c r="C12" s="53" t="s">
        <v>157</v>
      </c>
      <c r="D12" s="54" t="s">
        <v>158</v>
      </c>
      <c r="E12" s="867">
        <v>230.9</v>
      </c>
      <c r="F12" s="867">
        <v>0</v>
      </c>
      <c r="G12" s="36" t="str">
        <f t="shared" si="0"/>
        <v>Australian Capital Territory</v>
      </c>
    </row>
    <row r="13" spans="1:13" x14ac:dyDescent="0.2">
      <c r="A13" s="444" t="s">
        <v>159</v>
      </c>
      <c r="B13" s="2713" t="s">
        <v>160</v>
      </c>
      <c r="C13" s="53" t="s">
        <v>161</v>
      </c>
      <c r="D13" s="54" t="s">
        <v>162</v>
      </c>
      <c r="E13" s="867">
        <v>0</v>
      </c>
      <c r="F13" s="867">
        <v>0</v>
      </c>
      <c r="G13" s="36" t="str">
        <f t="shared" si="0"/>
        <v>Australian Capital Territory</v>
      </c>
    </row>
    <row r="14" spans="1:13" x14ac:dyDescent="0.2">
      <c r="A14" s="444" t="s">
        <v>159</v>
      </c>
      <c r="B14" s="2715"/>
      <c r="C14" s="53" t="s">
        <v>163</v>
      </c>
      <c r="D14" s="54" t="s">
        <v>164</v>
      </c>
      <c r="E14" s="867">
        <v>0</v>
      </c>
      <c r="F14" s="867">
        <v>0</v>
      </c>
      <c r="G14" s="36" t="str">
        <f t="shared" si="0"/>
        <v>Australian Capital Territory</v>
      </c>
    </row>
    <row r="15" spans="1:13" x14ac:dyDescent="0.2">
      <c r="A15" s="444" t="s">
        <v>159</v>
      </c>
      <c r="B15" s="2715"/>
      <c r="C15" s="53" t="s">
        <v>165</v>
      </c>
      <c r="D15" s="54" t="s">
        <v>166</v>
      </c>
      <c r="E15" s="867">
        <v>7.81</v>
      </c>
      <c r="F15" s="867">
        <v>53.5</v>
      </c>
      <c r="G15" s="36" t="str">
        <f t="shared" si="0"/>
        <v>Australian Capital Territory</v>
      </c>
    </row>
    <row r="16" spans="1:13" x14ac:dyDescent="0.2">
      <c r="A16" s="444" t="s">
        <v>159</v>
      </c>
      <c r="B16" s="2715"/>
      <c r="C16" s="53" t="s">
        <v>167</v>
      </c>
      <c r="D16" s="54" t="s">
        <v>168</v>
      </c>
      <c r="E16" s="867">
        <v>0</v>
      </c>
      <c r="F16" s="867">
        <v>0</v>
      </c>
      <c r="G16" s="36" t="str">
        <f t="shared" si="0"/>
        <v>Australian Capital Territory</v>
      </c>
    </row>
    <row r="17" spans="1:7" x14ac:dyDescent="0.2">
      <c r="A17" s="444" t="s">
        <v>159</v>
      </c>
      <c r="B17" s="2715"/>
      <c r="C17" s="53" t="s">
        <v>169</v>
      </c>
      <c r="D17" s="54" t="s">
        <v>170</v>
      </c>
      <c r="E17" s="867">
        <v>0</v>
      </c>
      <c r="F17" s="867">
        <v>0</v>
      </c>
      <c r="G17" s="36" t="str">
        <f t="shared" si="0"/>
        <v>Australian Capital Territory</v>
      </c>
    </row>
    <row r="18" spans="1:7" x14ac:dyDescent="0.2">
      <c r="A18" s="444" t="s">
        <v>159</v>
      </c>
      <c r="B18" s="2715"/>
      <c r="C18" s="53" t="s">
        <v>171</v>
      </c>
      <c r="D18" s="54" t="s">
        <v>172</v>
      </c>
      <c r="E18" s="867">
        <v>0</v>
      </c>
      <c r="F18" s="867">
        <v>0</v>
      </c>
      <c r="G18" s="36" t="str">
        <f t="shared" si="0"/>
        <v>Australian Capital Territory</v>
      </c>
    </row>
    <row r="19" spans="1:7" x14ac:dyDescent="0.2">
      <c r="A19" s="444" t="s">
        <v>159</v>
      </c>
      <c r="B19" s="2715"/>
      <c r="C19" s="53" t="s">
        <v>173</v>
      </c>
      <c r="D19" s="54" t="s">
        <v>174</v>
      </c>
      <c r="E19" s="867">
        <v>0</v>
      </c>
      <c r="F19" s="867">
        <v>0</v>
      </c>
      <c r="G19" s="36" t="str">
        <f t="shared" si="0"/>
        <v>Australian Capital Territory</v>
      </c>
    </row>
    <row r="20" spans="1:7" x14ac:dyDescent="0.2">
      <c r="A20" s="444" t="s">
        <v>159</v>
      </c>
      <c r="B20" s="2715"/>
      <c r="C20" s="53" t="s">
        <v>175</v>
      </c>
      <c r="D20" s="54" t="s">
        <v>176</v>
      </c>
      <c r="E20" s="867">
        <v>0</v>
      </c>
      <c r="F20" s="867">
        <v>0</v>
      </c>
      <c r="G20" s="36" t="str">
        <f t="shared" si="0"/>
        <v>Australian Capital Territory</v>
      </c>
    </row>
    <row r="21" spans="1:7" x14ac:dyDescent="0.2">
      <c r="A21" s="444" t="s">
        <v>159</v>
      </c>
      <c r="B21" s="2715"/>
      <c r="C21" s="53" t="s">
        <v>177</v>
      </c>
      <c r="D21" s="54" t="s">
        <v>178</v>
      </c>
      <c r="E21" s="867">
        <v>0</v>
      </c>
      <c r="F21" s="867">
        <v>0</v>
      </c>
      <c r="G21" s="36" t="str">
        <f t="shared" si="0"/>
        <v>Australian Capital Territory</v>
      </c>
    </row>
    <row r="22" spans="1:7" x14ac:dyDescent="0.2">
      <c r="A22" s="444" t="s">
        <v>159</v>
      </c>
      <c r="B22" s="2715"/>
      <c r="C22" s="53" t="s">
        <v>179</v>
      </c>
      <c r="D22" s="54" t="s">
        <v>180</v>
      </c>
      <c r="E22" s="867">
        <v>0</v>
      </c>
      <c r="F22" s="867">
        <v>0</v>
      </c>
      <c r="G22" s="36" t="str">
        <f t="shared" si="0"/>
        <v>Australian Capital Territory</v>
      </c>
    </row>
    <row r="23" spans="1:7" x14ac:dyDescent="0.2">
      <c r="A23" s="444" t="s">
        <v>159</v>
      </c>
      <c r="B23" s="2715"/>
      <c r="C23" s="53" t="s">
        <v>181</v>
      </c>
      <c r="D23" s="54" t="s">
        <v>182</v>
      </c>
      <c r="E23" s="867">
        <v>0</v>
      </c>
      <c r="F23" s="867">
        <v>0</v>
      </c>
      <c r="G23" s="36" t="str">
        <f t="shared" si="0"/>
        <v>Australian Capital Territory</v>
      </c>
    </row>
    <row r="24" spans="1:7" x14ac:dyDescent="0.2">
      <c r="A24" s="444" t="s">
        <v>159</v>
      </c>
      <c r="B24" s="2715"/>
      <c r="C24" s="53" t="s">
        <v>183</v>
      </c>
      <c r="D24" s="54" t="s">
        <v>184</v>
      </c>
      <c r="E24" s="867">
        <v>0</v>
      </c>
      <c r="F24" s="867">
        <v>0</v>
      </c>
      <c r="G24" s="36" t="str">
        <f t="shared" si="0"/>
        <v>Australian Capital Territory</v>
      </c>
    </row>
    <row r="25" spans="1:7" x14ac:dyDescent="0.2">
      <c r="A25" s="444" t="s">
        <v>159</v>
      </c>
      <c r="B25" s="2715"/>
      <c r="C25" s="53" t="s">
        <v>185</v>
      </c>
      <c r="D25" s="54" t="s">
        <v>186</v>
      </c>
      <c r="E25" s="867">
        <v>672.3</v>
      </c>
      <c r="F25" s="867">
        <v>243.31</v>
      </c>
      <c r="G25" s="36" t="str">
        <f t="shared" si="0"/>
        <v>Australian Capital Territory</v>
      </c>
    </row>
    <row r="26" spans="1:7" x14ac:dyDescent="0.2">
      <c r="A26" s="444" t="s">
        <v>159</v>
      </c>
      <c r="B26" s="2715"/>
      <c r="C26" s="53" t="s">
        <v>187</v>
      </c>
      <c r="D26" s="54" t="s">
        <v>188</v>
      </c>
      <c r="E26" s="867">
        <v>0</v>
      </c>
      <c r="F26" s="867">
        <v>0</v>
      </c>
      <c r="G26" s="36" t="str">
        <f t="shared" si="0"/>
        <v>Australian Capital Territory</v>
      </c>
    </row>
    <row r="27" spans="1:7" x14ac:dyDescent="0.2">
      <c r="A27" s="444" t="s">
        <v>159</v>
      </c>
      <c r="B27" s="2715"/>
      <c r="C27" s="53" t="s">
        <v>189</v>
      </c>
      <c r="D27" s="54" t="s">
        <v>190</v>
      </c>
      <c r="E27" s="867">
        <v>0</v>
      </c>
      <c r="F27" s="867">
        <v>0</v>
      </c>
      <c r="G27" s="36" t="str">
        <f t="shared" si="0"/>
        <v>Australian Capital Territory</v>
      </c>
    </row>
    <row r="28" spans="1:7" x14ac:dyDescent="0.2">
      <c r="A28" s="444" t="s">
        <v>159</v>
      </c>
      <c r="B28" s="2715"/>
      <c r="C28" s="53" t="s">
        <v>191</v>
      </c>
      <c r="D28" s="54" t="s">
        <v>192</v>
      </c>
      <c r="E28" s="867">
        <v>0</v>
      </c>
      <c r="F28" s="867">
        <v>0</v>
      </c>
      <c r="G28" s="36" t="str">
        <f t="shared" si="0"/>
        <v>Australian Capital Territory</v>
      </c>
    </row>
    <row r="29" spans="1:7" x14ac:dyDescent="0.2">
      <c r="A29" s="444" t="s">
        <v>159</v>
      </c>
      <c r="B29" s="2715"/>
      <c r="C29" s="53" t="s">
        <v>193</v>
      </c>
      <c r="D29" s="54" t="s">
        <v>194</v>
      </c>
      <c r="E29" s="867">
        <v>0</v>
      </c>
      <c r="F29" s="867">
        <v>0</v>
      </c>
      <c r="G29" s="36" t="str">
        <f t="shared" si="0"/>
        <v>Australian Capital Territory</v>
      </c>
    </row>
    <row r="30" spans="1:7" x14ac:dyDescent="0.2">
      <c r="A30" s="444" t="s">
        <v>159</v>
      </c>
      <c r="B30" s="2715"/>
      <c r="C30" s="53" t="s">
        <v>195</v>
      </c>
      <c r="D30" s="54" t="s">
        <v>196</v>
      </c>
      <c r="E30" s="867">
        <v>0</v>
      </c>
      <c r="F30" s="867">
        <v>0</v>
      </c>
      <c r="G30" s="36" t="str">
        <f t="shared" si="0"/>
        <v>Australian Capital Territory</v>
      </c>
    </row>
    <row r="31" spans="1:7" x14ac:dyDescent="0.2">
      <c r="A31" s="444" t="s">
        <v>159</v>
      </c>
      <c r="B31" s="2715"/>
      <c r="C31" s="53" t="s">
        <v>197</v>
      </c>
      <c r="D31" s="54" t="s">
        <v>198</v>
      </c>
      <c r="E31" s="867">
        <v>0</v>
      </c>
      <c r="F31" s="867">
        <v>0.129</v>
      </c>
      <c r="G31" s="36" t="str">
        <f t="shared" si="0"/>
        <v>Australian Capital Territory</v>
      </c>
    </row>
    <row r="32" spans="1:7" x14ac:dyDescent="0.2">
      <c r="A32" s="444" t="s">
        <v>159</v>
      </c>
      <c r="B32" s="2715"/>
      <c r="C32" s="53" t="s">
        <v>199</v>
      </c>
      <c r="D32" s="54" t="s">
        <v>200</v>
      </c>
      <c r="E32" s="867">
        <v>0</v>
      </c>
      <c r="F32" s="867">
        <v>0</v>
      </c>
      <c r="G32" s="36" t="str">
        <f t="shared" si="0"/>
        <v>Australian Capital Territory</v>
      </c>
    </row>
    <row r="33" spans="1:7" x14ac:dyDescent="0.2">
      <c r="A33" s="444" t="s">
        <v>159</v>
      </c>
      <c r="B33" s="2715"/>
      <c r="C33" s="53" t="s">
        <v>201</v>
      </c>
      <c r="D33" s="54" t="s">
        <v>202</v>
      </c>
      <c r="E33" s="867">
        <v>0</v>
      </c>
      <c r="F33" s="867">
        <v>0</v>
      </c>
      <c r="G33" s="36" t="str">
        <f t="shared" si="0"/>
        <v>Australian Capital Territory</v>
      </c>
    </row>
    <row r="34" spans="1:7" x14ac:dyDescent="0.2">
      <c r="A34" s="444" t="s">
        <v>159</v>
      </c>
      <c r="B34" s="2715"/>
      <c r="C34" s="53" t="s">
        <v>203</v>
      </c>
      <c r="D34" s="54" t="s">
        <v>204</v>
      </c>
      <c r="E34" s="867">
        <v>0</v>
      </c>
      <c r="F34" s="867">
        <v>0</v>
      </c>
      <c r="G34" s="36" t="str">
        <f t="shared" si="0"/>
        <v>Australian Capital Territory</v>
      </c>
    </row>
    <row r="35" spans="1:7" x14ac:dyDescent="0.2">
      <c r="A35" s="444" t="s">
        <v>159</v>
      </c>
      <c r="B35" s="2715"/>
      <c r="C35" s="53" t="s">
        <v>205</v>
      </c>
      <c r="D35" s="54" t="s">
        <v>206</v>
      </c>
      <c r="E35" s="867">
        <v>0</v>
      </c>
      <c r="F35" s="867">
        <v>0</v>
      </c>
      <c r="G35" s="36" t="str">
        <f t="shared" si="0"/>
        <v>Australian Capital Territory</v>
      </c>
    </row>
    <row r="36" spans="1:7" x14ac:dyDescent="0.2">
      <c r="A36" s="444" t="s">
        <v>159</v>
      </c>
      <c r="B36" s="2714"/>
      <c r="C36" s="53" t="s">
        <v>207</v>
      </c>
      <c r="D36" s="54" t="s">
        <v>208</v>
      </c>
      <c r="E36" s="867">
        <v>0</v>
      </c>
      <c r="F36" s="867">
        <v>0</v>
      </c>
      <c r="G36" s="36" t="str">
        <f t="shared" si="0"/>
        <v>Australian Capital Territory</v>
      </c>
    </row>
    <row r="37" spans="1:7" x14ac:dyDescent="0.2">
      <c r="A37" s="444" t="s">
        <v>209</v>
      </c>
      <c r="B37" s="56" t="s">
        <v>210</v>
      </c>
      <c r="C37" s="53" t="s">
        <v>211</v>
      </c>
      <c r="D37" s="54" t="s">
        <v>212</v>
      </c>
      <c r="E37" s="867">
        <v>0</v>
      </c>
      <c r="F37" s="867">
        <v>0</v>
      </c>
      <c r="G37" s="36" t="str">
        <f t="shared" si="0"/>
        <v>Australian Capital Territory</v>
      </c>
    </row>
    <row r="38" spans="1:7" x14ac:dyDescent="0.2">
      <c r="A38" s="444" t="s">
        <v>213</v>
      </c>
      <c r="B38" s="2713" t="s">
        <v>214</v>
      </c>
      <c r="C38" s="53" t="s">
        <v>215</v>
      </c>
      <c r="D38" s="54" t="s">
        <v>216</v>
      </c>
      <c r="E38" s="867">
        <v>199.63</v>
      </c>
      <c r="F38" s="867">
        <v>1.91</v>
      </c>
      <c r="G38" s="36" t="str">
        <f t="shared" si="0"/>
        <v>Australian Capital Territory</v>
      </c>
    </row>
    <row r="39" spans="1:7" x14ac:dyDescent="0.2">
      <c r="A39" s="444" t="s">
        <v>213</v>
      </c>
      <c r="B39" s="2714"/>
      <c r="C39" s="53" t="s">
        <v>217</v>
      </c>
      <c r="D39" s="54" t="s">
        <v>218</v>
      </c>
      <c r="E39" s="867">
        <v>6.9210000000000003</v>
      </c>
      <c r="F39" s="867">
        <v>0.105</v>
      </c>
      <c r="G39" s="36" t="str">
        <f t="shared" si="0"/>
        <v>Australian Capital Territory</v>
      </c>
    </row>
    <row r="40" spans="1:7" x14ac:dyDescent="0.2">
      <c r="A40" s="444" t="s">
        <v>219</v>
      </c>
      <c r="B40" s="2713" t="s">
        <v>220</v>
      </c>
      <c r="C40" s="53" t="s">
        <v>221</v>
      </c>
      <c r="D40" s="54" t="s">
        <v>222</v>
      </c>
      <c r="E40" s="867">
        <v>0</v>
      </c>
      <c r="F40" s="867">
        <v>0</v>
      </c>
      <c r="G40" s="36" t="str">
        <f t="shared" si="0"/>
        <v>Australian Capital Territory</v>
      </c>
    </row>
    <row r="41" spans="1:7" x14ac:dyDescent="0.2">
      <c r="A41" s="444" t="s">
        <v>219</v>
      </c>
      <c r="B41" s="2715"/>
      <c r="C41" s="53" t="s">
        <v>223</v>
      </c>
      <c r="D41" s="54" t="s">
        <v>224</v>
      </c>
      <c r="E41" s="867">
        <v>20.49</v>
      </c>
      <c r="F41" s="867">
        <v>1.62</v>
      </c>
      <c r="G41" s="36" t="str">
        <f t="shared" si="0"/>
        <v>Australian Capital Territory</v>
      </c>
    </row>
    <row r="42" spans="1:7" x14ac:dyDescent="0.2">
      <c r="A42" s="444" t="s">
        <v>219</v>
      </c>
      <c r="B42" s="2715"/>
      <c r="C42" s="53" t="s">
        <v>225</v>
      </c>
      <c r="D42" s="54" t="s">
        <v>226</v>
      </c>
      <c r="E42" s="867">
        <v>2.8</v>
      </c>
      <c r="F42" s="867">
        <v>0.94499999999999995</v>
      </c>
      <c r="G42" s="36" t="str">
        <f t="shared" si="0"/>
        <v>Australian Capital Territory</v>
      </c>
    </row>
    <row r="43" spans="1:7" x14ac:dyDescent="0.2">
      <c r="A43" s="444" t="s">
        <v>219</v>
      </c>
      <c r="B43" s="2714"/>
      <c r="C43" s="53" t="s">
        <v>227</v>
      </c>
      <c r="D43" s="54" t="s">
        <v>228</v>
      </c>
      <c r="E43" s="867">
        <v>0</v>
      </c>
      <c r="F43" s="867">
        <v>0</v>
      </c>
      <c r="G43" s="36" t="str">
        <f t="shared" si="0"/>
        <v>Australian Capital Territory</v>
      </c>
    </row>
    <row r="44" spans="1:7" x14ac:dyDescent="0.2">
      <c r="A44" s="444" t="s">
        <v>229</v>
      </c>
      <c r="B44" s="2713" t="s">
        <v>230</v>
      </c>
      <c r="C44" s="53" t="s">
        <v>231</v>
      </c>
      <c r="D44" s="54" t="s">
        <v>232</v>
      </c>
      <c r="E44" s="867">
        <v>0</v>
      </c>
      <c r="F44" s="867">
        <v>0</v>
      </c>
      <c r="G44" s="36" t="str">
        <f t="shared" si="0"/>
        <v>Australian Capital Territory</v>
      </c>
    </row>
    <row r="45" spans="1:7" x14ac:dyDescent="0.2">
      <c r="A45" s="444" t="s">
        <v>229</v>
      </c>
      <c r="B45" s="2715"/>
      <c r="C45" s="53" t="s">
        <v>233</v>
      </c>
      <c r="D45" s="54" t="s">
        <v>234</v>
      </c>
      <c r="E45" s="867">
        <v>0</v>
      </c>
      <c r="F45" s="867">
        <v>0</v>
      </c>
      <c r="G45" s="36" t="str">
        <f t="shared" si="0"/>
        <v>Australian Capital Territory</v>
      </c>
    </row>
    <row r="46" spans="1:7" x14ac:dyDescent="0.2">
      <c r="A46" s="444" t="s">
        <v>229</v>
      </c>
      <c r="B46" s="2714"/>
      <c r="C46" s="53" t="s">
        <v>235</v>
      </c>
      <c r="D46" s="54" t="s">
        <v>236</v>
      </c>
      <c r="E46" s="867">
        <v>0</v>
      </c>
      <c r="F46" s="867">
        <v>0</v>
      </c>
      <c r="G46" s="36" t="str">
        <f t="shared" si="0"/>
        <v>Australian Capital Territory</v>
      </c>
    </row>
    <row r="47" spans="1:7" x14ac:dyDescent="0.2">
      <c r="A47" s="444" t="s">
        <v>237</v>
      </c>
      <c r="B47" s="2713" t="s">
        <v>238</v>
      </c>
      <c r="C47" s="53" t="s">
        <v>239</v>
      </c>
      <c r="D47" s="54" t="s">
        <v>240</v>
      </c>
      <c r="E47" s="867">
        <v>691.19</v>
      </c>
      <c r="F47" s="867">
        <v>6.6449999999999996</v>
      </c>
      <c r="G47" s="36" t="str">
        <f t="shared" si="0"/>
        <v>Australian Capital Territory</v>
      </c>
    </row>
    <row r="48" spans="1:7" x14ac:dyDescent="0.2">
      <c r="A48" s="444" t="s">
        <v>237</v>
      </c>
      <c r="B48" s="2715"/>
      <c r="C48" s="53" t="s">
        <v>241</v>
      </c>
      <c r="D48" s="54" t="s">
        <v>242</v>
      </c>
      <c r="E48" s="867">
        <v>305</v>
      </c>
      <c r="F48" s="867">
        <v>265.11</v>
      </c>
      <c r="G48" s="36" t="str">
        <f t="shared" si="0"/>
        <v>Australian Capital Territory</v>
      </c>
    </row>
    <row r="49" spans="1:7" x14ac:dyDescent="0.2">
      <c r="A49" s="444" t="s">
        <v>237</v>
      </c>
      <c r="B49" s="2714"/>
      <c r="C49" s="53" t="s">
        <v>243</v>
      </c>
      <c r="D49" s="54" t="s">
        <v>244</v>
      </c>
      <c r="E49" s="867">
        <v>0</v>
      </c>
      <c r="F49" s="867">
        <v>0</v>
      </c>
      <c r="G49" s="36" t="str">
        <f t="shared" si="0"/>
        <v>Australian Capital Territory</v>
      </c>
    </row>
    <row r="50" spans="1:7" x14ac:dyDescent="0.2">
      <c r="A50" s="444" t="s">
        <v>245</v>
      </c>
      <c r="B50" s="2713" t="s">
        <v>246</v>
      </c>
      <c r="C50" s="53" t="s">
        <v>247</v>
      </c>
      <c r="D50" s="2565" t="s">
        <v>248</v>
      </c>
      <c r="E50" s="867">
        <v>0</v>
      </c>
      <c r="F50" s="867">
        <v>0</v>
      </c>
      <c r="G50" s="36" t="str">
        <f t="shared" si="0"/>
        <v>Australian Capital Territory</v>
      </c>
    </row>
    <row r="51" spans="1:7" x14ac:dyDescent="0.2">
      <c r="A51" s="444" t="s">
        <v>245</v>
      </c>
      <c r="B51" s="2715"/>
      <c r="C51" s="53" t="s">
        <v>249</v>
      </c>
      <c r="D51" s="2565" t="s">
        <v>250</v>
      </c>
      <c r="E51" s="867">
        <v>2305</v>
      </c>
      <c r="F51" s="867">
        <v>3482.77</v>
      </c>
      <c r="G51" s="36" t="str">
        <f t="shared" si="0"/>
        <v>Australian Capital Territory</v>
      </c>
    </row>
    <row r="52" spans="1:7" x14ac:dyDescent="0.2">
      <c r="A52" s="444" t="s">
        <v>245</v>
      </c>
      <c r="B52" s="2715"/>
      <c r="C52" s="53" t="s">
        <v>251</v>
      </c>
      <c r="D52" s="2565" t="s">
        <v>252</v>
      </c>
      <c r="E52" s="867">
        <v>0</v>
      </c>
      <c r="F52" s="867">
        <v>0</v>
      </c>
      <c r="G52" s="36" t="str">
        <f t="shared" si="0"/>
        <v>Australian Capital Territory</v>
      </c>
    </row>
    <row r="53" spans="1:7" x14ac:dyDescent="0.2">
      <c r="A53" s="444" t="s">
        <v>245</v>
      </c>
      <c r="B53" s="2714"/>
      <c r="C53" s="53" t="s">
        <v>253</v>
      </c>
      <c r="D53" s="2565" t="s">
        <v>254</v>
      </c>
      <c r="E53" s="867">
        <v>0</v>
      </c>
      <c r="F53" s="867">
        <v>0</v>
      </c>
      <c r="G53" s="36" t="str">
        <f t="shared" si="0"/>
        <v>Australian Capital Territory</v>
      </c>
    </row>
    <row r="54" spans="1:7" ht="25.5" x14ac:dyDescent="0.2">
      <c r="A54" s="444" t="s">
        <v>255</v>
      </c>
      <c r="B54" s="2713" t="s">
        <v>256</v>
      </c>
      <c r="C54" s="53" t="s">
        <v>257</v>
      </c>
      <c r="D54" s="54" t="s">
        <v>258</v>
      </c>
      <c r="E54" s="867">
        <v>19.062999999999999</v>
      </c>
      <c r="F54" s="867">
        <v>7.79</v>
      </c>
      <c r="G54" s="36" t="str">
        <f t="shared" si="0"/>
        <v>Australian Capital Territory</v>
      </c>
    </row>
    <row r="55" spans="1:7" x14ac:dyDescent="0.2">
      <c r="A55" s="444" t="s">
        <v>255</v>
      </c>
      <c r="B55" s="2715"/>
      <c r="C55" s="53" t="s">
        <v>259</v>
      </c>
      <c r="D55" s="54" t="s">
        <v>260</v>
      </c>
      <c r="E55" s="867">
        <v>0</v>
      </c>
      <c r="F55" s="867">
        <v>0</v>
      </c>
      <c r="G55" s="36" t="str">
        <f t="shared" si="0"/>
        <v>Australian Capital Territory</v>
      </c>
    </row>
    <row r="56" spans="1:7" x14ac:dyDescent="0.2">
      <c r="A56" s="444" t="s">
        <v>255</v>
      </c>
      <c r="B56" s="2715"/>
      <c r="C56" s="53" t="s">
        <v>261</v>
      </c>
      <c r="D56" s="54" t="s">
        <v>262</v>
      </c>
      <c r="E56" s="867">
        <v>0</v>
      </c>
      <c r="F56" s="867">
        <v>0</v>
      </c>
      <c r="G56" s="36" t="str">
        <f t="shared" si="0"/>
        <v>Australian Capital Territory</v>
      </c>
    </row>
    <row r="57" spans="1:7" x14ac:dyDescent="0.2">
      <c r="A57" s="444" t="s">
        <v>255</v>
      </c>
      <c r="B57" s="2715"/>
      <c r="C57" s="53" t="s">
        <v>263</v>
      </c>
      <c r="D57" s="54" t="s">
        <v>264</v>
      </c>
      <c r="E57" s="867">
        <v>0</v>
      </c>
      <c r="F57" s="867">
        <v>0</v>
      </c>
      <c r="G57" s="36" t="str">
        <f t="shared" si="0"/>
        <v>Australian Capital Territory</v>
      </c>
    </row>
    <row r="58" spans="1:7" x14ac:dyDescent="0.2">
      <c r="A58" s="444" t="s">
        <v>255</v>
      </c>
      <c r="B58" s="2715"/>
      <c r="C58" s="53" t="s">
        <v>265</v>
      </c>
      <c r="D58" s="54" t="s">
        <v>266</v>
      </c>
      <c r="E58" s="867">
        <v>0</v>
      </c>
      <c r="F58" s="867">
        <v>0</v>
      </c>
      <c r="G58" s="36" t="str">
        <f t="shared" si="0"/>
        <v>Australian Capital Territory</v>
      </c>
    </row>
    <row r="59" spans="1:7" x14ac:dyDescent="0.2">
      <c r="A59" s="444" t="s">
        <v>255</v>
      </c>
      <c r="B59" s="2715"/>
      <c r="C59" s="53" t="s">
        <v>267</v>
      </c>
      <c r="D59" s="54" t="s">
        <v>268</v>
      </c>
      <c r="E59" s="867">
        <v>0</v>
      </c>
      <c r="F59" s="867">
        <v>0</v>
      </c>
      <c r="G59" s="36" t="str">
        <f t="shared" si="0"/>
        <v>Australian Capital Territory</v>
      </c>
    </row>
    <row r="60" spans="1:7" x14ac:dyDescent="0.2">
      <c r="A60" s="444" t="s">
        <v>255</v>
      </c>
      <c r="B60" s="2715"/>
      <c r="C60" s="53" t="s">
        <v>269</v>
      </c>
      <c r="D60" s="54" t="s">
        <v>270</v>
      </c>
      <c r="E60" s="867">
        <v>0</v>
      </c>
      <c r="F60" s="867">
        <v>0</v>
      </c>
      <c r="G60" s="36" t="str">
        <f t="shared" si="0"/>
        <v>Australian Capital Territory</v>
      </c>
    </row>
    <row r="61" spans="1:7" x14ac:dyDescent="0.2">
      <c r="A61" s="444" t="s">
        <v>255</v>
      </c>
      <c r="B61" s="2715"/>
      <c r="C61" s="53" t="s">
        <v>271</v>
      </c>
      <c r="D61" s="54" t="s">
        <v>272</v>
      </c>
      <c r="E61" s="867">
        <v>0</v>
      </c>
      <c r="F61" s="867">
        <v>0</v>
      </c>
      <c r="G61" s="36" t="str">
        <f t="shared" si="0"/>
        <v>Australian Capital Territory</v>
      </c>
    </row>
    <row r="62" spans="1:7" ht="25.5" x14ac:dyDescent="0.2">
      <c r="A62" s="444" t="s">
        <v>255</v>
      </c>
      <c r="B62" s="2715"/>
      <c r="C62" s="53" t="s">
        <v>273</v>
      </c>
      <c r="D62" s="54" t="s">
        <v>274</v>
      </c>
      <c r="E62" s="867">
        <v>0</v>
      </c>
      <c r="F62" s="867">
        <v>0</v>
      </c>
      <c r="G62" s="36" t="str">
        <f t="shared" si="0"/>
        <v>Australian Capital Territory</v>
      </c>
    </row>
    <row r="63" spans="1:7" x14ac:dyDescent="0.2">
      <c r="A63" s="444" t="s">
        <v>255</v>
      </c>
      <c r="B63" s="2714"/>
      <c r="C63" s="53" t="s">
        <v>275</v>
      </c>
      <c r="D63" s="54" t="s">
        <v>276</v>
      </c>
      <c r="E63" s="867">
        <v>0</v>
      </c>
      <c r="F63" s="867">
        <v>0</v>
      </c>
      <c r="G63" s="36" t="str">
        <f t="shared" si="0"/>
        <v>Australian Capital Territory</v>
      </c>
    </row>
    <row r="64" spans="1:7" x14ac:dyDescent="0.2">
      <c r="A64" s="444" t="s">
        <v>277</v>
      </c>
      <c r="B64" s="2713" t="s">
        <v>278</v>
      </c>
      <c r="C64" s="53" t="s">
        <v>279</v>
      </c>
      <c r="D64" s="54" t="s">
        <v>280</v>
      </c>
      <c r="E64" s="867">
        <v>1.59</v>
      </c>
      <c r="F64" s="867">
        <v>2.5499999999999998</v>
      </c>
      <c r="G64" s="36" t="str">
        <f t="shared" si="0"/>
        <v>Australian Capital Territory</v>
      </c>
    </row>
    <row r="65" spans="1:7" x14ac:dyDescent="0.2">
      <c r="A65" s="444" t="s">
        <v>277</v>
      </c>
      <c r="B65" s="2715"/>
      <c r="C65" s="53" t="s">
        <v>281</v>
      </c>
      <c r="D65" s="54" t="s">
        <v>282</v>
      </c>
      <c r="E65" s="867">
        <v>439.63</v>
      </c>
      <c r="F65" s="867">
        <v>159.29</v>
      </c>
      <c r="G65" s="36" t="str">
        <f t="shared" si="0"/>
        <v>Australian Capital Territory</v>
      </c>
    </row>
    <row r="66" spans="1:7" x14ac:dyDescent="0.2">
      <c r="A66" s="444" t="s">
        <v>277</v>
      </c>
      <c r="B66" s="2715"/>
      <c r="C66" s="53" t="s">
        <v>283</v>
      </c>
      <c r="D66" s="54" t="s">
        <v>284</v>
      </c>
      <c r="E66" s="867">
        <v>0</v>
      </c>
      <c r="F66" s="867">
        <v>0</v>
      </c>
      <c r="G66" s="36" t="str">
        <f t="shared" si="0"/>
        <v>Australian Capital Territory</v>
      </c>
    </row>
    <row r="67" spans="1:7" x14ac:dyDescent="0.2">
      <c r="A67" s="444" t="s">
        <v>277</v>
      </c>
      <c r="B67" s="2715"/>
      <c r="C67" s="53" t="s">
        <v>285</v>
      </c>
      <c r="D67" s="54" t="s">
        <v>286</v>
      </c>
      <c r="E67" s="867">
        <v>0</v>
      </c>
      <c r="F67" s="867">
        <v>0</v>
      </c>
      <c r="G67" s="36" t="str">
        <f t="shared" si="0"/>
        <v>Australian Capital Territory</v>
      </c>
    </row>
    <row r="68" spans="1:7" x14ac:dyDescent="0.2">
      <c r="A68" s="444" t="s">
        <v>277</v>
      </c>
      <c r="B68" s="2715"/>
      <c r="C68" s="53" t="s">
        <v>287</v>
      </c>
      <c r="D68" s="54" t="s">
        <v>288</v>
      </c>
      <c r="E68" s="867">
        <v>0</v>
      </c>
      <c r="F68" s="867">
        <v>0</v>
      </c>
      <c r="G68" s="36" t="str">
        <f t="shared" si="0"/>
        <v>Australian Capital Territory</v>
      </c>
    </row>
    <row r="69" spans="1:7" x14ac:dyDescent="0.2">
      <c r="A69" s="444" t="s">
        <v>277</v>
      </c>
      <c r="B69" s="2715"/>
      <c r="C69" s="53" t="s">
        <v>289</v>
      </c>
      <c r="D69" s="54" t="s">
        <v>290</v>
      </c>
      <c r="E69" s="867">
        <v>0</v>
      </c>
      <c r="F69" s="867">
        <v>0</v>
      </c>
      <c r="G69" s="36" t="str">
        <f t="shared" si="0"/>
        <v>Australian Capital Territory</v>
      </c>
    </row>
    <row r="70" spans="1:7" x14ac:dyDescent="0.2">
      <c r="A70" s="444" t="s">
        <v>277</v>
      </c>
      <c r="B70" s="2715"/>
      <c r="C70" s="53" t="s">
        <v>291</v>
      </c>
      <c r="D70" s="54" t="s">
        <v>292</v>
      </c>
      <c r="E70" s="867">
        <v>26215.403908550979</v>
      </c>
      <c r="F70" s="867">
        <v>36904.761904761908</v>
      </c>
      <c r="G70" s="36" t="str">
        <f t="shared" si="0"/>
        <v>Australian Capital Territory</v>
      </c>
    </row>
    <row r="71" spans="1:7" x14ac:dyDescent="0.2">
      <c r="A71" s="444" t="s">
        <v>277</v>
      </c>
      <c r="B71" s="2715"/>
      <c r="C71" s="53" t="s">
        <v>293</v>
      </c>
      <c r="D71" s="54" t="s">
        <v>97</v>
      </c>
      <c r="E71" s="867">
        <v>0</v>
      </c>
      <c r="F71" s="867">
        <v>2928</v>
      </c>
      <c r="G71" s="36" t="str">
        <f t="shared" si="0"/>
        <v>Australian Capital Territory</v>
      </c>
    </row>
    <row r="72" spans="1:7" x14ac:dyDescent="0.2">
      <c r="A72" s="444" t="s">
        <v>277</v>
      </c>
      <c r="B72" s="2714"/>
      <c r="C72" s="53" t="s">
        <v>294</v>
      </c>
      <c r="D72" s="54" t="s">
        <v>295</v>
      </c>
      <c r="E72" s="867">
        <v>0</v>
      </c>
      <c r="F72" s="867">
        <v>0</v>
      </c>
      <c r="G72" s="36" t="str">
        <f t="shared" si="0"/>
        <v>Australian Capital Territory</v>
      </c>
    </row>
    <row r="73" spans="1:7" x14ac:dyDescent="0.2">
      <c r="A73" s="444" t="s">
        <v>296</v>
      </c>
      <c r="B73" s="2713" t="s">
        <v>297</v>
      </c>
      <c r="C73" s="53" t="s">
        <v>298</v>
      </c>
      <c r="D73" s="54" t="s">
        <v>299</v>
      </c>
      <c r="E73" s="867">
        <v>142.72</v>
      </c>
      <c r="F73" s="867">
        <v>144.74</v>
      </c>
      <c r="G73" s="36" t="str">
        <f t="shared" si="0"/>
        <v>Australian Capital Territory</v>
      </c>
    </row>
    <row r="74" spans="1:7" x14ac:dyDescent="0.2">
      <c r="A74" s="444" t="s">
        <v>296</v>
      </c>
      <c r="B74" s="2715"/>
      <c r="C74" s="53" t="s">
        <v>300</v>
      </c>
      <c r="D74" s="54" t="s">
        <v>150</v>
      </c>
      <c r="E74" s="867">
        <v>156</v>
      </c>
      <c r="F74" s="867">
        <v>0</v>
      </c>
      <c r="G74" s="36" t="str">
        <f t="shared" ref="G74:G79" si="1">G73</f>
        <v>Australian Capital Territory</v>
      </c>
    </row>
    <row r="75" spans="1:7" x14ac:dyDescent="0.2">
      <c r="A75" s="444" t="s">
        <v>296</v>
      </c>
      <c r="B75" s="2714"/>
      <c r="C75" s="53" t="s">
        <v>301</v>
      </c>
      <c r="D75" s="54" t="s">
        <v>302</v>
      </c>
      <c r="E75" s="867">
        <v>0</v>
      </c>
      <c r="F75" s="867">
        <v>0</v>
      </c>
      <c r="G75" s="36" t="str">
        <f t="shared" si="1"/>
        <v>Australian Capital Territory</v>
      </c>
    </row>
    <row r="76" spans="1:7" ht="38.25" x14ac:dyDescent="0.2">
      <c r="A76" s="444" t="s">
        <v>303</v>
      </c>
      <c r="B76" s="2713" t="s">
        <v>304</v>
      </c>
      <c r="C76" s="53" t="s">
        <v>305</v>
      </c>
      <c r="D76" s="54" t="s">
        <v>306</v>
      </c>
      <c r="E76" s="867">
        <v>28.939</v>
      </c>
      <c r="F76" s="867">
        <v>78.56</v>
      </c>
      <c r="G76" s="36" t="str">
        <f t="shared" si="1"/>
        <v>Australian Capital Territory</v>
      </c>
    </row>
    <row r="77" spans="1:7" x14ac:dyDescent="0.2">
      <c r="A77" s="444" t="s">
        <v>303</v>
      </c>
      <c r="B77" s="2715"/>
      <c r="C77" s="53" t="s">
        <v>307</v>
      </c>
      <c r="D77" s="54" t="s">
        <v>308</v>
      </c>
      <c r="E77" s="867">
        <v>7.44</v>
      </c>
      <c r="F77" s="867">
        <v>10</v>
      </c>
      <c r="G77" s="36" t="str">
        <f t="shared" si="1"/>
        <v>Australian Capital Territory</v>
      </c>
    </row>
    <row r="78" spans="1:7" x14ac:dyDescent="0.2">
      <c r="A78" s="444" t="s">
        <v>303</v>
      </c>
      <c r="B78" s="2715"/>
      <c r="C78" s="53" t="s">
        <v>309</v>
      </c>
      <c r="D78" s="54" t="s">
        <v>39</v>
      </c>
      <c r="E78" s="867">
        <v>1881</v>
      </c>
      <c r="F78" s="867">
        <v>1915.0765467917145</v>
      </c>
      <c r="G78" s="36" t="str">
        <f t="shared" si="1"/>
        <v>Australian Capital Territory</v>
      </c>
    </row>
    <row r="79" spans="1:7" x14ac:dyDescent="0.2">
      <c r="A79" s="444" t="s">
        <v>303</v>
      </c>
      <c r="B79" s="2714"/>
      <c r="C79" s="53" t="s">
        <v>310</v>
      </c>
      <c r="D79" s="54" t="s">
        <v>311</v>
      </c>
      <c r="E79" s="867">
        <v>0</v>
      </c>
      <c r="F79" s="867">
        <v>0</v>
      </c>
      <c r="G79" s="36" t="str">
        <f t="shared" si="1"/>
        <v>Australian Capital Territory</v>
      </c>
    </row>
    <row r="80" spans="1:7" x14ac:dyDescent="0.2">
      <c r="E80" s="220"/>
      <c r="F80" s="220"/>
    </row>
    <row r="81" spans="1:7" s="52" customFormat="1" ht="15.75" x14ac:dyDescent="0.25">
      <c r="A81" s="52" t="s">
        <v>312</v>
      </c>
      <c r="E81" s="868"/>
      <c r="F81" s="868"/>
      <c r="G81" s="359"/>
    </row>
    <row r="82" spans="1:7" x14ac:dyDescent="0.2">
      <c r="E82" s="220"/>
      <c r="F82" s="220"/>
    </row>
    <row r="83" spans="1:7" x14ac:dyDescent="0.2">
      <c r="A83" s="444" t="s">
        <v>142</v>
      </c>
      <c r="B83" s="2713" t="s">
        <v>143</v>
      </c>
      <c r="C83" s="53" t="s">
        <v>144</v>
      </c>
      <c r="D83" s="54" t="s">
        <v>145</v>
      </c>
      <c r="E83" s="867" t="s">
        <v>319</v>
      </c>
      <c r="F83" s="867">
        <v>0</v>
      </c>
      <c r="G83" s="36" t="str">
        <f>NSW!B1</f>
        <v>New South Wales</v>
      </c>
    </row>
    <row r="84" spans="1:7" x14ac:dyDescent="0.2">
      <c r="A84" s="444" t="s">
        <v>142</v>
      </c>
      <c r="B84" s="2715"/>
      <c r="C84" s="53" t="s">
        <v>146</v>
      </c>
      <c r="D84" s="54" t="s">
        <v>147</v>
      </c>
      <c r="E84" s="867" t="s">
        <v>319</v>
      </c>
      <c r="F84" s="867">
        <v>0</v>
      </c>
      <c r="G84" s="36" t="str">
        <f>G83</f>
        <v>New South Wales</v>
      </c>
    </row>
    <row r="85" spans="1:7" x14ac:dyDescent="0.2">
      <c r="A85" s="444" t="s">
        <v>142</v>
      </c>
      <c r="B85" s="2714"/>
      <c r="C85" s="53" t="s">
        <v>148</v>
      </c>
      <c r="D85" s="54" t="s">
        <v>149</v>
      </c>
      <c r="E85" s="867">
        <v>1.5141369297105856</v>
      </c>
      <c r="F85" s="867">
        <v>4.1501091234039632E-2</v>
      </c>
      <c r="G85" s="36" t="str">
        <f t="shared" ref="G85:G148" si="2">G84</f>
        <v>New South Wales</v>
      </c>
    </row>
    <row r="86" spans="1:7" x14ac:dyDescent="0.2">
      <c r="A86" s="444" t="s">
        <v>151</v>
      </c>
      <c r="B86" s="55" t="s">
        <v>152</v>
      </c>
      <c r="C86" s="53" t="s">
        <v>153</v>
      </c>
      <c r="D86" s="54" t="s">
        <v>154</v>
      </c>
      <c r="E86" s="867">
        <v>10127.02858024017</v>
      </c>
      <c r="F86" s="867">
        <v>7226.1753965239195</v>
      </c>
      <c r="G86" s="36" t="str">
        <f t="shared" si="2"/>
        <v>New South Wales</v>
      </c>
    </row>
    <row r="87" spans="1:7" x14ac:dyDescent="0.2">
      <c r="A87" s="444" t="s">
        <v>155</v>
      </c>
      <c r="B87" s="55" t="s">
        <v>156</v>
      </c>
      <c r="C87" s="53" t="s">
        <v>157</v>
      </c>
      <c r="D87" s="54" t="s">
        <v>158</v>
      </c>
      <c r="E87" s="867">
        <v>2029.5365403600063</v>
      </c>
      <c r="F87" s="867">
        <v>156.64127177664668</v>
      </c>
      <c r="G87" s="36" t="str">
        <f t="shared" si="2"/>
        <v>New South Wales</v>
      </c>
    </row>
    <row r="88" spans="1:7" x14ac:dyDescent="0.2">
      <c r="A88" s="444" t="s">
        <v>159</v>
      </c>
      <c r="B88" s="2713" t="s">
        <v>160</v>
      </c>
      <c r="C88" s="53" t="s">
        <v>161</v>
      </c>
      <c r="D88" s="54" t="s">
        <v>162</v>
      </c>
      <c r="E88" s="867" t="s">
        <v>319</v>
      </c>
      <c r="F88" s="867">
        <v>0</v>
      </c>
      <c r="G88" s="36" t="str">
        <f t="shared" si="2"/>
        <v>New South Wales</v>
      </c>
    </row>
    <row r="89" spans="1:7" x14ac:dyDescent="0.2">
      <c r="A89" s="444" t="s">
        <v>159</v>
      </c>
      <c r="B89" s="2715"/>
      <c r="C89" s="53" t="s">
        <v>163</v>
      </c>
      <c r="D89" s="54" t="s">
        <v>164</v>
      </c>
      <c r="E89" s="867">
        <v>5703.809762976297</v>
      </c>
      <c r="F89" s="867">
        <v>6490</v>
      </c>
      <c r="G89" s="36" t="str">
        <f t="shared" si="2"/>
        <v>New South Wales</v>
      </c>
    </row>
    <row r="90" spans="1:7" x14ac:dyDescent="0.2">
      <c r="A90" s="444" t="s">
        <v>159</v>
      </c>
      <c r="B90" s="2715"/>
      <c r="C90" s="53" t="s">
        <v>165</v>
      </c>
      <c r="D90" s="54" t="s">
        <v>166</v>
      </c>
      <c r="E90" s="867">
        <v>873.69565554303324</v>
      </c>
      <c r="F90" s="867">
        <v>32.606640633353784</v>
      </c>
      <c r="G90" s="36" t="str">
        <f t="shared" si="2"/>
        <v>New South Wales</v>
      </c>
    </row>
    <row r="91" spans="1:7" x14ac:dyDescent="0.2">
      <c r="A91" s="444" t="s">
        <v>159</v>
      </c>
      <c r="B91" s="2715"/>
      <c r="C91" s="53" t="s">
        <v>167</v>
      </c>
      <c r="D91" s="54" t="s">
        <v>168</v>
      </c>
      <c r="E91" s="867">
        <v>50.990670500225775</v>
      </c>
      <c r="F91" s="867">
        <v>0</v>
      </c>
      <c r="G91" s="36" t="str">
        <f t="shared" si="2"/>
        <v>New South Wales</v>
      </c>
    </row>
    <row r="92" spans="1:7" x14ac:dyDescent="0.2">
      <c r="A92" s="444" t="s">
        <v>159</v>
      </c>
      <c r="B92" s="2715"/>
      <c r="C92" s="53" t="s">
        <v>169</v>
      </c>
      <c r="D92" s="54" t="s">
        <v>170</v>
      </c>
      <c r="E92" s="867">
        <v>167.44067943565349</v>
      </c>
      <c r="F92" s="867">
        <v>31.362144024221603</v>
      </c>
      <c r="G92" s="36" t="str">
        <f t="shared" si="2"/>
        <v>New South Wales</v>
      </c>
    </row>
    <row r="93" spans="1:7" x14ac:dyDescent="0.2">
      <c r="A93" s="444" t="s">
        <v>159</v>
      </c>
      <c r="B93" s="2715"/>
      <c r="C93" s="53" t="s">
        <v>171</v>
      </c>
      <c r="D93" s="54" t="s">
        <v>172</v>
      </c>
      <c r="E93" s="867">
        <v>3.1802684648348873</v>
      </c>
      <c r="F93" s="867">
        <v>2.3061423126181619</v>
      </c>
      <c r="G93" s="36" t="str">
        <f t="shared" si="2"/>
        <v>New South Wales</v>
      </c>
    </row>
    <row r="94" spans="1:7" x14ac:dyDescent="0.2">
      <c r="A94" s="444" t="s">
        <v>159</v>
      </c>
      <c r="B94" s="2715"/>
      <c r="C94" s="53" t="s">
        <v>173</v>
      </c>
      <c r="D94" s="54" t="s">
        <v>174</v>
      </c>
      <c r="E94" s="867" t="s">
        <v>319</v>
      </c>
      <c r="F94" s="867">
        <v>5.7761747079262182E-2</v>
      </c>
      <c r="G94" s="36" t="str">
        <f t="shared" si="2"/>
        <v>New South Wales</v>
      </c>
    </row>
    <row r="95" spans="1:7" x14ac:dyDescent="0.2">
      <c r="A95" s="444" t="s">
        <v>159</v>
      </c>
      <c r="B95" s="2715"/>
      <c r="C95" s="53" t="s">
        <v>175</v>
      </c>
      <c r="D95" s="54" t="s">
        <v>176</v>
      </c>
      <c r="E95" s="867" t="s">
        <v>319</v>
      </c>
      <c r="F95" s="867">
        <v>0</v>
      </c>
      <c r="G95" s="36" t="str">
        <f t="shared" si="2"/>
        <v>New South Wales</v>
      </c>
    </row>
    <row r="96" spans="1:7" x14ac:dyDescent="0.2">
      <c r="A96" s="444" t="s">
        <v>159</v>
      </c>
      <c r="B96" s="2715"/>
      <c r="C96" s="53" t="s">
        <v>177</v>
      </c>
      <c r="D96" s="54" t="s">
        <v>178</v>
      </c>
      <c r="E96" s="867" t="s">
        <v>319</v>
      </c>
      <c r="F96" s="867">
        <v>0</v>
      </c>
      <c r="G96" s="36" t="str">
        <f t="shared" si="2"/>
        <v>New South Wales</v>
      </c>
    </row>
    <row r="97" spans="1:7" x14ac:dyDescent="0.2">
      <c r="A97" s="444" t="s">
        <v>159</v>
      </c>
      <c r="B97" s="2715"/>
      <c r="C97" s="53" t="s">
        <v>179</v>
      </c>
      <c r="D97" s="54" t="s">
        <v>180</v>
      </c>
      <c r="E97" s="867">
        <v>4.5664897413389994E-4</v>
      </c>
      <c r="F97" s="867">
        <v>0</v>
      </c>
      <c r="G97" s="36" t="str">
        <f t="shared" si="2"/>
        <v>New South Wales</v>
      </c>
    </row>
    <row r="98" spans="1:7" x14ac:dyDescent="0.2">
      <c r="A98" s="444" t="s">
        <v>159</v>
      </c>
      <c r="B98" s="2715"/>
      <c r="C98" s="53" t="s">
        <v>181</v>
      </c>
      <c r="D98" s="54" t="s">
        <v>182</v>
      </c>
      <c r="E98" s="867" t="s">
        <v>319</v>
      </c>
      <c r="F98" s="867">
        <v>0</v>
      </c>
      <c r="G98" s="36" t="str">
        <f t="shared" si="2"/>
        <v>New South Wales</v>
      </c>
    </row>
    <row r="99" spans="1:7" x14ac:dyDescent="0.2">
      <c r="A99" s="444" t="s">
        <v>159</v>
      </c>
      <c r="B99" s="2715"/>
      <c r="C99" s="53" t="s">
        <v>183</v>
      </c>
      <c r="D99" s="54" t="s">
        <v>184</v>
      </c>
      <c r="E99" s="867">
        <v>1.3535229086856106</v>
      </c>
      <c r="F99" s="867">
        <v>0.38205664925403199</v>
      </c>
      <c r="G99" s="36" t="str">
        <f t="shared" si="2"/>
        <v>New South Wales</v>
      </c>
    </row>
    <row r="100" spans="1:7" x14ac:dyDescent="0.2">
      <c r="A100" s="444" t="s">
        <v>159</v>
      </c>
      <c r="B100" s="2715"/>
      <c r="C100" s="53" t="s">
        <v>185</v>
      </c>
      <c r="D100" s="54" t="s">
        <v>186</v>
      </c>
      <c r="E100" s="867">
        <v>34845.888512370533</v>
      </c>
      <c r="F100" s="867">
        <v>6892.0783766282029</v>
      </c>
      <c r="G100" s="36" t="str">
        <f t="shared" si="2"/>
        <v>New South Wales</v>
      </c>
    </row>
    <row r="101" spans="1:7" x14ac:dyDescent="0.2">
      <c r="A101" s="444" t="s">
        <v>159</v>
      </c>
      <c r="B101" s="2715"/>
      <c r="C101" s="53" t="s">
        <v>187</v>
      </c>
      <c r="D101" s="54" t="s">
        <v>188</v>
      </c>
      <c r="E101" s="867">
        <v>159.50200000000001</v>
      </c>
      <c r="F101" s="867">
        <v>22.392744604558388</v>
      </c>
      <c r="G101" s="36" t="str">
        <f t="shared" si="2"/>
        <v>New South Wales</v>
      </c>
    </row>
    <row r="102" spans="1:7" x14ac:dyDescent="0.2">
      <c r="A102" s="444" t="s">
        <v>159</v>
      </c>
      <c r="B102" s="2715"/>
      <c r="C102" s="53" t="s">
        <v>189</v>
      </c>
      <c r="D102" s="54" t="s">
        <v>190</v>
      </c>
      <c r="E102" s="867" t="s">
        <v>319</v>
      </c>
      <c r="F102" s="867">
        <v>0</v>
      </c>
      <c r="G102" s="36" t="str">
        <f t="shared" si="2"/>
        <v>New South Wales</v>
      </c>
    </row>
    <row r="103" spans="1:7" x14ac:dyDescent="0.2">
      <c r="A103" s="444" t="s">
        <v>159</v>
      </c>
      <c r="B103" s="2715"/>
      <c r="C103" s="53" t="s">
        <v>191</v>
      </c>
      <c r="D103" s="54" t="s">
        <v>192</v>
      </c>
      <c r="E103" s="867" t="s">
        <v>319</v>
      </c>
      <c r="F103" s="867">
        <v>0</v>
      </c>
      <c r="G103" s="36" t="str">
        <f t="shared" si="2"/>
        <v>New South Wales</v>
      </c>
    </row>
    <row r="104" spans="1:7" x14ac:dyDescent="0.2">
      <c r="A104" s="444" t="s">
        <v>159</v>
      </c>
      <c r="B104" s="2715"/>
      <c r="C104" s="53" t="s">
        <v>193</v>
      </c>
      <c r="D104" s="54" t="s">
        <v>194</v>
      </c>
      <c r="E104" s="867" t="s">
        <v>319</v>
      </c>
      <c r="F104" s="867">
        <v>0</v>
      </c>
      <c r="G104" s="36" t="str">
        <f t="shared" si="2"/>
        <v>New South Wales</v>
      </c>
    </row>
    <row r="105" spans="1:7" x14ac:dyDescent="0.2">
      <c r="A105" s="444" t="s">
        <v>159</v>
      </c>
      <c r="B105" s="2715"/>
      <c r="C105" s="53" t="s">
        <v>195</v>
      </c>
      <c r="D105" s="54" t="s">
        <v>196</v>
      </c>
      <c r="E105" s="867" t="s">
        <v>319</v>
      </c>
      <c r="F105" s="867">
        <v>0</v>
      </c>
      <c r="G105" s="36" t="str">
        <f t="shared" si="2"/>
        <v>New South Wales</v>
      </c>
    </row>
    <row r="106" spans="1:7" x14ac:dyDescent="0.2">
      <c r="A106" s="444" t="s">
        <v>159</v>
      </c>
      <c r="B106" s="2715"/>
      <c r="C106" s="53" t="s">
        <v>197</v>
      </c>
      <c r="D106" s="54" t="s">
        <v>198</v>
      </c>
      <c r="E106" s="867">
        <v>19248.109032487766</v>
      </c>
      <c r="F106" s="867">
        <v>9066.2055046635796</v>
      </c>
      <c r="G106" s="36" t="str">
        <f t="shared" si="2"/>
        <v>New South Wales</v>
      </c>
    </row>
    <row r="107" spans="1:7" x14ac:dyDescent="0.2">
      <c r="A107" s="444" t="s">
        <v>159</v>
      </c>
      <c r="B107" s="2715"/>
      <c r="C107" s="53" t="s">
        <v>199</v>
      </c>
      <c r="D107" s="54" t="s">
        <v>200</v>
      </c>
      <c r="E107" s="867" t="s">
        <v>319</v>
      </c>
      <c r="F107" s="867">
        <v>0</v>
      </c>
      <c r="G107" s="36" t="str">
        <f t="shared" si="2"/>
        <v>New South Wales</v>
      </c>
    </row>
    <row r="108" spans="1:7" x14ac:dyDescent="0.2">
      <c r="A108" s="444" t="s">
        <v>159</v>
      </c>
      <c r="B108" s="2715"/>
      <c r="C108" s="53" t="s">
        <v>201</v>
      </c>
      <c r="D108" s="54" t="s">
        <v>202</v>
      </c>
      <c r="E108" s="867" t="s">
        <v>319</v>
      </c>
      <c r="F108" s="867">
        <v>0</v>
      </c>
      <c r="G108" s="36" t="str">
        <f t="shared" si="2"/>
        <v>New South Wales</v>
      </c>
    </row>
    <row r="109" spans="1:7" x14ac:dyDescent="0.2">
      <c r="A109" s="444" t="s">
        <v>159</v>
      </c>
      <c r="B109" s="2715"/>
      <c r="C109" s="53" t="s">
        <v>203</v>
      </c>
      <c r="D109" s="54" t="s">
        <v>204</v>
      </c>
      <c r="E109" s="867" t="s">
        <v>319</v>
      </c>
      <c r="F109" s="867">
        <v>0</v>
      </c>
      <c r="G109" s="36" t="str">
        <f t="shared" si="2"/>
        <v>New South Wales</v>
      </c>
    </row>
    <row r="110" spans="1:7" x14ac:dyDescent="0.2">
      <c r="A110" s="444" t="s">
        <v>159</v>
      </c>
      <c r="B110" s="2715"/>
      <c r="C110" s="53" t="s">
        <v>205</v>
      </c>
      <c r="D110" s="54" t="s">
        <v>206</v>
      </c>
      <c r="E110" s="867" t="s">
        <v>319</v>
      </c>
      <c r="F110" s="867">
        <v>0</v>
      </c>
      <c r="G110" s="36" t="str">
        <f t="shared" si="2"/>
        <v>New South Wales</v>
      </c>
    </row>
    <row r="111" spans="1:7" x14ac:dyDescent="0.2">
      <c r="A111" s="444" t="s">
        <v>159</v>
      </c>
      <c r="B111" s="2714"/>
      <c r="C111" s="53" t="s">
        <v>207</v>
      </c>
      <c r="D111" s="54" t="s">
        <v>208</v>
      </c>
      <c r="E111" s="867" t="s">
        <v>319</v>
      </c>
      <c r="F111" s="867">
        <v>0</v>
      </c>
      <c r="G111" s="36" t="str">
        <f t="shared" si="2"/>
        <v>New South Wales</v>
      </c>
    </row>
    <row r="112" spans="1:7" x14ac:dyDescent="0.2">
      <c r="A112" s="444" t="s">
        <v>209</v>
      </c>
      <c r="B112" s="56" t="s">
        <v>210</v>
      </c>
      <c r="C112" s="53" t="s">
        <v>211</v>
      </c>
      <c r="D112" s="54" t="s">
        <v>212</v>
      </c>
      <c r="E112" s="867">
        <v>32.768078788327287</v>
      </c>
      <c r="F112" s="867">
        <v>3.7182998577877364</v>
      </c>
      <c r="G112" s="36" t="str">
        <f t="shared" si="2"/>
        <v>New South Wales</v>
      </c>
    </row>
    <row r="113" spans="1:7" x14ac:dyDescent="0.2">
      <c r="A113" s="444" t="s">
        <v>213</v>
      </c>
      <c r="B113" s="2713" t="s">
        <v>214</v>
      </c>
      <c r="C113" s="53" t="s">
        <v>215</v>
      </c>
      <c r="D113" s="54" t="s">
        <v>216</v>
      </c>
      <c r="E113" s="867">
        <v>4393.1273751378476</v>
      </c>
      <c r="F113" s="867">
        <v>3060.1473991824637</v>
      </c>
      <c r="G113" s="36" t="str">
        <f t="shared" si="2"/>
        <v>New South Wales</v>
      </c>
    </row>
    <row r="114" spans="1:7" x14ac:dyDescent="0.2">
      <c r="A114" s="444" t="s">
        <v>213</v>
      </c>
      <c r="B114" s="2714"/>
      <c r="C114" s="53" t="s">
        <v>217</v>
      </c>
      <c r="D114" s="54" t="s">
        <v>218</v>
      </c>
      <c r="E114" s="867">
        <v>1123.1711762748675</v>
      </c>
      <c r="F114" s="867">
        <v>350.56375503553528</v>
      </c>
      <c r="G114" s="36" t="str">
        <f t="shared" si="2"/>
        <v>New South Wales</v>
      </c>
    </row>
    <row r="115" spans="1:7" x14ac:dyDescent="0.2">
      <c r="A115" s="444" t="s">
        <v>219</v>
      </c>
      <c r="B115" s="2713" t="s">
        <v>220</v>
      </c>
      <c r="C115" s="53" t="s">
        <v>221</v>
      </c>
      <c r="D115" s="54" t="s">
        <v>222</v>
      </c>
      <c r="E115" s="867" t="s">
        <v>319</v>
      </c>
      <c r="F115" s="867">
        <v>0</v>
      </c>
      <c r="G115" s="36" t="str">
        <f t="shared" si="2"/>
        <v>New South Wales</v>
      </c>
    </row>
    <row r="116" spans="1:7" x14ac:dyDescent="0.2">
      <c r="A116" s="444" t="s">
        <v>219</v>
      </c>
      <c r="B116" s="2715"/>
      <c r="C116" s="53" t="s">
        <v>223</v>
      </c>
      <c r="D116" s="54" t="s">
        <v>224</v>
      </c>
      <c r="E116" s="867">
        <v>1117.9078923446214</v>
      </c>
      <c r="F116" s="867">
        <v>276.80164496615936</v>
      </c>
      <c r="G116" s="36" t="str">
        <f t="shared" si="2"/>
        <v>New South Wales</v>
      </c>
    </row>
    <row r="117" spans="1:7" x14ac:dyDescent="0.2">
      <c r="A117" s="444" t="s">
        <v>219</v>
      </c>
      <c r="B117" s="2715"/>
      <c r="C117" s="53" t="s">
        <v>225</v>
      </c>
      <c r="D117" s="54" t="s">
        <v>226</v>
      </c>
      <c r="E117" s="867">
        <v>151.28917150439722</v>
      </c>
      <c r="F117" s="867">
        <v>23.971247289914853</v>
      </c>
      <c r="G117" s="36" t="str">
        <f t="shared" si="2"/>
        <v>New South Wales</v>
      </c>
    </row>
    <row r="118" spans="1:7" x14ac:dyDescent="0.2">
      <c r="A118" s="444" t="s">
        <v>219</v>
      </c>
      <c r="B118" s="2714"/>
      <c r="C118" s="53" t="s">
        <v>227</v>
      </c>
      <c r="D118" s="54" t="s">
        <v>228</v>
      </c>
      <c r="E118" s="867">
        <v>249.50610159463741</v>
      </c>
      <c r="F118" s="867">
        <v>77.464308603556105</v>
      </c>
      <c r="G118" s="36" t="str">
        <f t="shared" si="2"/>
        <v>New South Wales</v>
      </c>
    </row>
    <row r="119" spans="1:7" x14ac:dyDescent="0.2">
      <c r="A119" s="444" t="s">
        <v>229</v>
      </c>
      <c r="B119" s="2713" t="s">
        <v>230</v>
      </c>
      <c r="C119" s="53" t="s">
        <v>231</v>
      </c>
      <c r="D119" s="54" t="s">
        <v>232</v>
      </c>
      <c r="E119" s="867">
        <v>111.10359499698866</v>
      </c>
      <c r="F119" s="867">
        <v>24.723855804048736</v>
      </c>
      <c r="G119" s="36" t="str">
        <f t="shared" si="2"/>
        <v>New South Wales</v>
      </c>
    </row>
    <row r="120" spans="1:7" x14ac:dyDescent="0.2">
      <c r="A120" s="444" t="s">
        <v>229</v>
      </c>
      <c r="B120" s="2715"/>
      <c r="C120" s="53" t="s">
        <v>233</v>
      </c>
      <c r="D120" s="54" t="s">
        <v>234</v>
      </c>
      <c r="E120" s="867">
        <v>8.2199217691662891</v>
      </c>
      <c r="F120" s="867">
        <v>6.8492125984251969E-3</v>
      </c>
      <c r="G120" s="36" t="str">
        <f t="shared" si="2"/>
        <v>New South Wales</v>
      </c>
    </row>
    <row r="121" spans="1:7" x14ac:dyDescent="0.2">
      <c r="A121" s="444" t="s">
        <v>229</v>
      </c>
      <c r="B121" s="2714"/>
      <c r="C121" s="53" t="s">
        <v>235</v>
      </c>
      <c r="D121" s="54" t="s">
        <v>236</v>
      </c>
      <c r="E121" s="867">
        <v>20.475000000000001</v>
      </c>
      <c r="F121" s="867">
        <v>0</v>
      </c>
      <c r="G121" s="36" t="str">
        <f t="shared" si="2"/>
        <v>New South Wales</v>
      </c>
    </row>
    <row r="122" spans="1:7" x14ac:dyDescent="0.2">
      <c r="A122" s="444" t="s">
        <v>237</v>
      </c>
      <c r="B122" s="2713" t="s">
        <v>238</v>
      </c>
      <c r="C122" s="53" t="s">
        <v>239</v>
      </c>
      <c r="D122" s="54" t="s">
        <v>240</v>
      </c>
      <c r="E122" s="867">
        <v>9275.6538442842866</v>
      </c>
      <c r="F122" s="867">
        <v>8910.8491376120182</v>
      </c>
      <c r="G122" s="36" t="str">
        <f t="shared" si="2"/>
        <v>New South Wales</v>
      </c>
    </row>
    <row r="123" spans="1:7" x14ac:dyDescent="0.2">
      <c r="A123" s="444" t="s">
        <v>237</v>
      </c>
      <c r="B123" s="2715"/>
      <c r="C123" s="53" t="s">
        <v>241</v>
      </c>
      <c r="D123" s="54" t="s">
        <v>242</v>
      </c>
      <c r="E123" s="867">
        <v>40049.09716171195</v>
      </c>
      <c r="F123" s="867">
        <v>13298.778489636681</v>
      </c>
      <c r="G123" s="36" t="str">
        <f t="shared" si="2"/>
        <v>New South Wales</v>
      </c>
    </row>
    <row r="124" spans="1:7" x14ac:dyDescent="0.2">
      <c r="A124" s="444" t="s">
        <v>237</v>
      </c>
      <c r="B124" s="2714"/>
      <c r="C124" s="53" t="s">
        <v>243</v>
      </c>
      <c r="D124" s="54" t="s">
        <v>244</v>
      </c>
      <c r="E124" s="867">
        <v>1649.2332239751968</v>
      </c>
      <c r="F124" s="867">
        <v>1910.1575467838722</v>
      </c>
      <c r="G124" s="36" t="str">
        <f t="shared" si="2"/>
        <v>New South Wales</v>
      </c>
    </row>
    <row r="125" spans="1:7" x14ac:dyDescent="0.2">
      <c r="A125" s="444" t="s">
        <v>245</v>
      </c>
      <c r="B125" s="2713" t="s">
        <v>246</v>
      </c>
      <c r="C125" s="53" t="s">
        <v>247</v>
      </c>
      <c r="D125" s="54" t="s">
        <v>248</v>
      </c>
      <c r="E125" s="867">
        <v>36129.019143237529</v>
      </c>
      <c r="F125" s="867">
        <v>44862.082135765486</v>
      </c>
      <c r="G125" s="36" t="str">
        <f t="shared" si="2"/>
        <v>New South Wales</v>
      </c>
    </row>
    <row r="126" spans="1:7" x14ac:dyDescent="0.2">
      <c r="A126" s="444" t="s">
        <v>245</v>
      </c>
      <c r="B126" s="2715"/>
      <c r="C126" s="53" t="s">
        <v>249</v>
      </c>
      <c r="D126" s="54" t="s">
        <v>250</v>
      </c>
      <c r="E126" s="867">
        <v>81683.131453848997</v>
      </c>
      <c r="F126" s="867">
        <v>87914.443276605933</v>
      </c>
      <c r="G126" s="36" t="str">
        <f t="shared" si="2"/>
        <v>New South Wales</v>
      </c>
    </row>
    <row r="127" spans="1:7" x14ac:dyDescent="0.2">
      <c r="A127" s="444" t="s">
        <v>245</v>
      </c>
      <c r="B127" s="2715"/>
      <c r="C127" s="53" t="s">
        <v>251</v>
      </c>
      <c r="D127" s="54" t="s">
        <v>252</v>
      </c>
      <c r="E127" s="867" t="s">
        <v>319</v>
      </c>
      <c r="F127" s="867">
        <v>0</v>
      </c>
      <c r="G127" s="36" t="str">
        <f t="shared" si="2"/>
        <v>New South Wales</v>
      </c>
    </row>
    <row r="128" spans="1:7" x14ac:dyDescent="0.2">
      <c r="A128" s="444" t="s">
        <v>245</v>
      </c>
      <c r="B128" s="2714"/>
      <c r="C128" s="53" t="s">
        <v>253</v>
      </c>
      <c r="D128" s="54" t="s">
        <v>254</v>
      </c>
      <c r="E128" s="867" t="s">
        <v>319</v>
      </c>
      <c r="F128" s="867">
        <v>0</v>
      </c>
      <c r="G128" s="36" t="str">
        <f t="shared" si="2"/>
        <v>New South Wales</v>
      </c>
    </row>
    <row r="129" spans="1:7" ht="25.5" x14ac:dyDescent="0.2">
      <c r="A129" s="444" t="s">
        <v>255</v>
      </c>
      <c r="B129" s="2713" t="s">
        <v>256</v>
      </c>
      <c r="C129" s="53" t="s">
        <v>257</v>
      </c>
      <c r="D129" s="54" t="s">
        <v>258</v>
      </c>
      <c r="E129" s="867">
        <v>1255.9890306207328</v>
      </c>
      <c r="F129" s="867">
        <v>589.09877704887413</v>
      </c>
      <c r="G129" s="36" t="str">
        <f t="shared" si="2"/>
        <v>New South Wales</v>
      </c>
    </row>
    <row r="130" spans="1:7" x14ac:dyDescent="0.2">
      <c r="A130" s="444" t="s">
        <v>255</v>
      </c>
      <c r="B130" s="2715"/>
      <c r="C130" s="53" t="s">
        <v>259</v>
      </c>
      <c r="D130" s="54" t="s">
        <v>260</v>
      </c>
      <c r="E130" s="867">
        <v>62.51817175536339</v>
      </c>
      <c r="F130" s="867">
        <v>0</v>
      </c>
      <c r="G130" s="36" t="str">
        <f t="shared" si="2"/>
        <v>New South Wales</v>
      </c>
    </row>
    <row r="131" spans="1:7" x14ac:dyDescent="0.2">
      <c r="A131" s="444" t="s">
        <v>255</v>
      </c>
      <c r="B131" s="2715"/>
      <c r="C131" s="53" t="s">
        <v>261</v>
      </c>
      <c r="D131" s="54" t="s">
        <v>262</v>
      </c>
      <c r="E131" s="867">
        <v>0.15791947892165731</v>
      </c>
      <c r="F131" s="867">
        <v>1.4720996361666805</v>
      </c>
      <c r="G131" s="36" t="str">
        <f t="shared" si="2"/>
        <v>New South Wales</v>
      </c>
    </row>
    <row r="132" spans="1:7" x14ac:dyDescent="0.2">
      <c r="A132" s="444" t="s">
        <v>255</v>
      </c>
      <c r="B132" s="2715"/>
      <c r="C132" s="53" t="s">
        <v>263</v>
      </c>
      <c r="D132" s="54" t="s">
        <v>264</v>
      </c>
      <c r="E132" s="867" t="s">
        <v>319</v>
      </c>
      <c r="F132" s="867">
        <v>0</v>
      </c>
      <c r="G132" s="36" t="str">
        <f t="shared" si="2"/>
        <v>New South Wales</v>
      </c>
    </row>
    <row r="133" spans="1:7" x14ac:dyDescent="0.2">
      <c r="A133" s="444" t="s">
        <v>255</v>
      </c>
      <c r="B133" s="2715"/>
      <c r="C133" s="53" t="s">
        <v>265</v>
      </c>
      <c r="D133" s="54" t="s">
        <v>266</v>
      </c>
      <c r="E133" s="867" t="s">
        <v>319</v>
      </c>
      <c r="F133" s="867">
        <v>0</v>
      </c>
      <c r="G133" s="36" t="str">
        <f t="shared" si="2"/>
        <v>New South Wales</v>
      </c>
    </row>
    <row r="134" spans="1:7" x14ac:dyDescent="0.2">
      <c r="A134" s="444" t="s">
        <v>255</v>
      </c>
      <c r="B134" s="2715"/>
      <c r="C134" s="53" t="s">
        <v>267</v>
      </c>
      <c r="D134" s="54" t="s">
        <v>268</v>
      </c>
      <c r="E134" s="867" t="s">
        <v>319</v>
      </c>
      <c r="F134" s="867">
        <v>0</v>
      </c>
      <c r="G134" s="36" t="str">
        <f t="shared" si="2"/>
        <v>New South Wales</v>
      </c>
    </row>
    <row r="135" spans="1:7" x14ac:dyDescent="0.2">
      <c r="A135" s="444" t="s">
        <v>255</v>
      </c>
      <c r="B135" s="2715"/>
      <c r="C135" s="53" t="s">
        <v>269</v>
      </c>
      <c r="D135" s="54" t="s">
        <v>270</v>
      </c>
      <c r="E135" s="867">
        <v>54.953579233367599</v>
      </c>
      <c r="F135" s="867">
        <v>0.63163471148429839</v>
      </c>
      <c r="G135" s="36" t="str">
        <f t="shared" si="2"/>
        <v>New South Wales</v>
      </c>
    </row>
    <row r="136" spans="1:7" x14ac:dyDescent="0.2">
      <c r="A136" s="444" t="s">
        <v>255</v>
      </c>
      <c r="B136" s="2715"/>
      <c r="C136" s="53" t="s">
        <v>271</v>
      </c>
      <c r="D136" s="54" t="s">
        <v>272</v>
      </c>
      <c r="E136" s="867" t="s">
        <v>319</v>
      </c>
      <c r="F136" s="867">
        <v>0</v>
      </c>
      <c r="G136" s="36" t="str">
        <f t="shared" si="2"/>
        <v>New South Wales</v>
      </c>
    </row>
    <row r="137" spans="1:7" ht="25.5" x14ac:dyDescent="0.2">
      <c r="A137" s="444" t="s">
        <v>255</v>
      </c>
      <c r="B137" s="2715"/>
      <c r="C137" s="53" t="s">
        <v>273</v>
      </c>
      <c r="D137" s="54" t="s">
        <v>274</v>
      </c>
      <c r="E137" s="867">
        <v>3593.6833973120947</v>
      </c>
      <c r="F137" s="867">
        <v>1910.9087020548461</v>
      </c>
      <c r="G137" s="36" t="str">
        <f t="shared" si="2"/>
        <v>New South Wales</v>
      </c>
    </row>
    <row r="138" spans="1:7" x14ac:dyDescent="0.2">
      <c r="A138" s="444" t="s">
        <v>255</v>
      </c>
      <c r="B138" s="2714"/>
      <c r="C138" s="53" t="s">
        <v>275</v>
      </c>
      <c r="D138" s="54" t="s">
        <v>276</v>
      </c>
      <c r="E138" s="867" t="s">
        <v>319</v>
      </c>
      <c r="F138" s="867">
        <v>0</v>
      </c>
      <c r="G138" s="36" t="str">
        <f t="shared" si="2"/>
        <v>New South Wales</v>
      </c>
    </row>
    <row r="139" spans="1:7" x14ac:dyDescent="0.2">
      <c r="A139" s="444" t="s">
        <v>277</v>
      </c>
      <c r="B139" s="2713" t="s">
        <v>278</v>
      </c>
      <c r="C139" s="53" t="s">
        <v>279</v>
      </c>
      <c r="D139" s="54" t="s">
        <v>280</v>
      </c>
      <c r="E139" s="867">
        <v>3981.5393387843942</v>
      </c>
      <c r="F139" s="867">
        <v>2838.1991450542641</v>
      </c>
      <c r="G139" s="36" t="str">
        <f t="shared" si="2"/>
        <v>New South Wales</v>
      </c>
    </row>
    <row r="140" spans="1:7" x14ac:dyDescent="0.2">
      <c r="A140" s="444" t="s">
        <v>277</v>
      </c>
      <c r="B140" s="2715"/>
      <c r="C140" s="53" t="s">
        <v>281</v>
      </c>
      <c r="D140" s="54" t="s">
        <v>282</v>
      </c>
      <c r="E140" s="867">
        <v>171100</v>
      </c>
      <c r="F140" s="867">
        <v>258205.15493968528</v>
      </c>
      <c r="G140" s="36" t="str">
        <f t="shared" si="2"/>
        <v>New South Wales</v>
      </c>
    </row>
    <row r="141" spans="1:7" x14ac:dyDescent="0.2">
      <c r="A141" s="444" t="s">
        <v>277</v>
      </c>
      <c r="B141" s="2715"/>
      <c r="C141" s="53" t="s">
        <v>283</v>
      </c>
      <c r="D141" s="54" t="s">
        <v>284</v>
      </c>
      <c r="E141" s="867">
        <v>1.8685714285714288</v>
      </c>
      <c r="F141" s="867">
        <v>3.7350351885158273</v>
      </c>
      <c r="G141" s="36" t="str">
        <f t="shared" si="2"/>
        <v>New South Wales</v>
      </c>
    </row>
    <row r="142" spans="1:7" x14ac:dyDescent="0.2">
      <c r="A142" s="444" t="s">
        <v>277</v>
      </c>
      <c r="B142" s="2715"/>
      <c r="C142" s="53" t="s">
        <v>285</v>
      </c>
      <c r="D142" s="54" t="s">
        <v>286</v>
      </c>
      <c r="E142" s="867" t="s">
        <v>319</v>
      </c>
      <c r="F142" s="867">
        <v>0</v>
      </c>
      <c r="G142" s="36" t="str">
        <f t="shared" si="2"/>
        <v>New South Wales</v>
      </c>
    </row>
    <row r="143" spans="1:7" x14ac:dyDescent="0.2">
      <c r="A143" s="444" t="s">
        <v>277</v>
      </c>
      <c r="B143" s="2715"/>
      <c r="C143" s="53" t="s">
        <v>287</v>
      </c>
      <c r="D143" s="54" t="s">
        <v>288</v>
      </c>
      <c r="E143" s="867">
        <v>2807.6508208253131</v>
      </c>
      <c r="F143" s="867">
        <v>3158.8855201397046</v>
      </c>
      <c r="G143" s="36" t="str">
        <f t="shared" si="2"/>
        <v>New South Wales</v>
      </c>
    </row>
    <row r="144" spans="1:7" x14ac:dyDescent="0.2">
      <c r="A144" s="444" t="s">
        <v>277</v>
      </c>
      <c r="B144" s="2715"/>
      <c r="C144" s="53" t="s">
        <v>289</v>
      </c>
      <c r="D144" s="54" t="s">
        <v>290</v>
      </c>
      <c r="E144" s="867">
        <v>2217.0237999999999</v>
      </c>
      <c r="F144" s="867">
        <v>2444.4920661333927</v>
      </c>
      <c r="G144" s="36" t="str">
        <f t="shared" si="2"/>
        <v>New South Wales</v>
      </c>
    </row>
    <row r="145" spans="1:7" x14ac:dyDescent="0.2">
      <c r="A145" s="444" t="s">
        <v>277</v>
      </c>
      <c r="B145" s="2715"/>
      <c r="C145" s="53" t="s">
        <v>291</v>
      </c>
      <c r="D145" s="54" t="s">
        <v>292</v>
      </c>
      <c r="E145" s="867">
        <v>206027.86397341048</v>
      </c>
      <c r="F145" s="867">
        <v>176273.53353390476</v>
      </c>
      <c r="G145" s="36" t="str">
        <f t="shared" si="2"/>
        <v>New South Wales</v>
      </c>
    </row>
    <row r="146" spans="1:7" x14ac:dyDescent="0.2">
      <c r="A146" s="444" t="s">
        <v>277</v>
      </c>
      <c r="B146" s="2715"/>
      <c r="C146" s="53" t="s">
        <v>293</v>
      </c>
      <c r="D146" s="54" t="s">
        <v>97</v>
      </c>
      <c r="E146" s="867">
        <v>210000</v>
      </c>
      <c r="F146" s="867">
        <v>180956.67321456145</v>
      </c>
      <c r="G146" s="36" t="str">
        <f t="shared" si="2"/>
        <v>New South Wales</v>
      </c>
    </row>
    <row r="147" spans="1:7" x14ac:dyDescent="0.2">
      <c r="A147" s="444" t="s">
        <v>277</v>
      </c>
      <c r="B147" s="2714"/>
      <c r="C147" s="53" t="s">
        <v>294</v>
      </c>
      <c r="D147" s="54" t="s">
        <v>295</v>
      </c>
      <c r="E147" s="867" t="s">
        <v>319</v>
      </c>
      <c r="F147" s="867">
        <v>0</v>
      </c>
      <c r="G147" s="36" t="str">
        <f t="shared" si="2"/>
        <v>New South Wales</v>
      </c>
    </row>
    <row r="148" spans="1:7" x14ac:dyDescent="0.2">
      <c r="A148" s="444" t="s">
        <v>296</v>
      </c>
      <c r="B148" s="2713" t="s">
        <v>297</v>
      </c>
      <c r="C148" s="53" t="s">
        <v>298</v>
      </c>
      <c r="D148" s="54" t="s">
        <v>299</v>
      </c>
      <c r="E148" s="867">
        <v>10260.532436418187</v>
      </c>
      <c r="F148" s="867">
        <v>11161.585417843995</v>
      </c>
      <c r="G148" s="36" t="str">
        <f t="shared" si="2"/>
        <v>New South Wales</v>
      </c>
    </row>
    <row r="149" spans="1:7" x14ac:dyDescent="0.2">
      <c r="A149" s="444" t="s">
        <v>296</v>
      </c>
      <c r="B149" s="2715"/>
      <c r="C149" s="53" t="s">
        <v>300</v>
      </c>
      <c r="D149" s="54" t="s">
        <v>150</v>
      </c>
      <c r="E149" s="867">
        <v>790.09407971651012</v>
      </c>
      <c r="F149" s="867">
        <v>754.15334801236156</v>
      </c>
      <c r="G149" s="36" t="str">
        <f t="shared" ref="G149:G154" si="3">G148</f>
        <v>New South Wales</v>
      </c>
    </row>
    <row r="150" spans="1:7" x14ac:dyDescent="0.2">
      <c r="A150" s="444" t="s">
        <v>296</v>
      </c>
      <c r="B150" s="2714"/>
      <c r="C150" s="53" t="s">
        <v>301</v>
      </c>
      <c r="D150" s="54" t="s">
        <v>302</v>
      </c>
      <c r="E150" s="867">
        <v>270.83573543114761</v>
      </c>
      <c r="F150" s="867">
        <v>90.153650309186133</v>
      </c>
      <c r="G150" s="36" t="str">
        <f t="shared" si="3"/>
        <v>New South Wales</v>
      </c>
    </row>
    <row r="151" spans="1:7" ht="38.25" x14ac:dyDescent="0.2">
      <c r="A151" s="444" t="s">
        <v>303</v>
      </c>
      <c r="B151" s="2713" t="s">
        <v>304</v>
      </c>
      <c r="C151" s="53" t="s">
        <v>305</v>
      </c>
      <c r="D151" s="54" t="s">
        <v>306</v>
      </c>
      <c r="E151" s="867">
        <v>1389.3217700984733</v>
      </c>
      <c r="F151" s="867">
        <v>533.65931203928244</v>
      </c>
      <c r="G151" s="36" t="str">
        <f t="shared" si="3"/>
        <v>New South Wales</v>
      </c>
    </row>
    <row r="152" spans="1:7" x14ac:dyDescent="0.2">
      <c r="A152" s="444" t="s">
        <v>303</v>
      </c>
      <c r="B152" s="2715"/>
      <c r="C152" s="53" t="s">
        <v>307</v>
      </c>
      <c r="D152" s="54" t="s">
        <v>308</v>
      </c>
      <c r="E152" s="867">
        <v>96.176534571621033</v>
      </c>
      <c r="F152" s="867">
        <v>21.651829424035981</v>
      </c>
      <c r="G152" s="36" t="str">
        <f t="shared" si="3"/>
        <v>New South Wales</v>
      </c>
    </row>
    <row r="153" spans="1:7" x14ac:dyDescent="0.2">
      <c r="A153" s="444" t="s">
        <v>303</v>
      </c>
      <c r="B153" s="2715"/>
      <c r="C153" s="53" t="s">
        <v>309</v>
      </c>
      <c r="D153" s="54" t="s">
        <v>39</v>
      </c>
      <c r="E153" s="867">
        <v>54135</v>
      </c>
      <c r="F153" s="867">
        <v>55092.724780519333</v>
      </c>
      <c r="G153" s="36" t="str">
        <f t="shared" si="3"/>
        <v>New South Wales</v>
      </c>
    </row>
    <row r="154" spans="1:7" x14ac:dyDescent="0.2">
      <c r="A154" s="444" t="s">
        <v>303</v>
      </c>
      <c r="B154" s="2714"/>
      <c r="C154" s="53" t="s">
        <v>310</v>
      </c>
      <c r="D154" s="54" t="s">
        <v>311</v>
      </c>
      <c r="E154" s="867" t="s">
        <v>319</v>
      </c>
      <c r="F154" s="867">
        <v>0</v>
      </c>
      <c r="G154" s="36" t="str">
        <f t="shared" si="3"/>
        <v>New South Wales</v>
      </c>
    </row>
    <row r="155" spans="1:7" x14ac:dyDescent="0.2">
      <c r="E155" s="220"/>
      <c r="F155" s="220"/>
    </row>
    <row r="156" spans="1:7" s="52" customFormat="1" ht="15.75" x14ac:dyDescent="0.25">
      <c r="A156" s="52" t="s">
        <v>313</v>
      </c>
      <c r="E156" s="868"/>
      <c r="F156" s="868"/>
      <c r="G156" s="359"/>
    </row>
    <row r="157" spans="1:7" x14ac:dyDescent="0.2">
      <c r="E157" s="220"/>
      <c r="F157" s="220"/>
    </row>
    <row r="158" spans="1:7" x14ac:dyDescent="0.2">
      <c r="A158" s="444" t="s">
        <v>142</v>
      </c>
      <c r="B158" s="2713" t="s">
        <v>143</v>
      </c>
      <c r="C158" s="53" t="s">
        <v>144</v>
      </c>
      <c r="D158" s="54" t="s">
        <v>145</v>
      </c>
      <c r="E158" s="867" t="s">
        <v>319</v>
      </c>
      <c r="F158" s="867" t="s">
        <v>319</v>
      </c>
      <c r="G158" s="36" t="str">
        <f>NT!B1</f>
        <v>Northern Territory</v>
      </c>
    </row>
    <row r="159" spans="1:7" x14ac:dyDescent="0.2">
      <c r="A159" s="444" t="s">
        <v>142</v>
      </c>
      <c r="B159" s="2715"/>
      <c r="C159" s="53" t="s">
        <v>146</v>
      </c>
      <c r="D159" s="54" t="s">
        <v>147</v>
      </c>
      <c r="E159" s="867" t="s">
        <v>319</v>
      </c>
      <c r="F159" s="867" t="s">
        <v>319</v>
      </c>
      <c r="G159" s="36" t="str">
        <f>G158</f>
        <v>Northern Territory</v>
      </c>
    </row>
    <row r="160" spans="1:7" x14ac:dyDescent="0.2">
      <c r="A160" s="444" t="s">
        <v>142</v>
      </c>
      <c r="B160" s="2714"/>
      <c r="C160" s="53" t="s">
        <v>148</v>
      </c>
      <c r="D160" s="54" t="s">
        <v>149</v>
      </c>
      <c r="E160" s="867" t="s">
        <v>319</v>
      </c>
      <c r="F160" s="867" t="s">
        <v>319</v>
      </c>
      <c r="G160" s="36" t="str">
        <f t="shared" ref="G160:G223" si="4">G159</f>
        <v>Northern Territory</v>
      </c>
    </row>
    <row r="161" spans="1:7" x14ac:dyDescent="0.2">
      <c r="A161" s="444" t="s">
        <v>151</v>
      </c>
      <c r="B161" s="55" t="s">
        <v>152</v>
      </c>
      <c r="C161" s="53" t="s">
        <v>153</v>
      </c>
      <c r="D161" s="54" t="s">
        <v>154</v>
      </c>
      <c r="E161" s="867">
        <v>1E-3</v>
      </c>
      <c r="F161" s="867">
        <v>0.16</v>
      </c>
      <c r="G161" s="36" t="str">
        <f t="shared" si="4"/>
        <v>Northern Territory</v>
      </c>
    </row>
    <row r="162" spans="1:7" x14ac:dyDescent="0.2">
      <c r="A162" s="444" t="s">
        <v>155</v>
      </c>
      <c r="B162" s="55" t="s">
        <v>156</v>
      </c>
      <c r="C162" s="53" t="s">
        <v>157</v>
      </c>
      <c r="D162" s="54" t="s">
        <v>158</v>
      </c>
      <c r="E162" s="867">
        <v>104</v>
      </c>
      <c r="F162" s="867">
        <v>16.2</v>
      </c>
      <c r="G162" s="36" t="str">
        <f t="shared" si="4"/>
        <v>Northern Territory</v>
      </c>
    </row>
    <row r="163" spans="1:7" x14ac:dyDescent="0.2">
      <c r="A163" s="444" t="s">
        <v>159</v>
      </c>
      <c r="B163" s="2713" t="s">
        <v>160</v>
      </c>
      <c r="C163" s="53" t="s">
        <v>161</v>
      </c>
      <c r="D163" s="54" t="s">
        <v>162</v>
      </c>
      <c r="E163" s="867" t="s">
        <v>319</v>
      </c>
      <c r="F163" s="867" t="s">
        <v>319</v>
      </c>
      <c r="G163" s="36" t="str">
        <f t="shared" si="4"/>
        <v>Northern Territory</v>
      </c>
    </row>
    <row r="164" spans="1:7" x14ac:dyDescent="0.2">
      <c r="A164" s="444" t="s">
        <v>159</v>
      </c>
      <c r="B164" s="2715"/>
      <c r="C164" s="53" t="s">
        <v>163</v>
      </c>
      <c r="D164" s="54" t="s">
        <v>164</v>
      </c>
      <c r="E164" s="867" t="s">
        <v>319</v>
      </c>
      <c r="F164" s="867" t="s">
        <v>319</v>
      </c>
      <c r="G164" s="36" t="str">
        <f t="shared" si="4"/>
        <v>Northern Territory</v>
      </c>
    </row>
    <row r="165" spans="1:7" x14ac:dyDescent="0.2">
      <c r="A165" s="444" t="s">
        <v>159</v>
      </c>
      <c r="B165" s="2715"/>
      <c r="C165" s="53" t="s">
        <v>165</v>
      </c>
      <c r="D165" s="54" t="s">
        <v>166</v>
      </c>
      <c r="E165" s="867">
        <v>12</v>
      </c>
      <c r="F165" s="867" t="s">
        <v>319</v>
      </c>
      <c r="G165" s="36" t="str">
        <f t="shared" si="4"/>
        <v>Northern Territory</v>
      </c>
    </row>
    <row r="166" spans="1:7" x14ac:dyDescent="0.2">
      <c r="A166" s="444" t="s">
        <v>159</v>
      </c>
      <c r="B166" s="2715"/>
      <c r="C166" s="53" t="s">
        <v>167</v>
      </c>
      <c r="D166" s="54" t="s">
        <v>168</v>
      </c>
      <c r="E166" s="867" t="s">
        <v>319</v>
      </c>
      <c r="F166" s="867" t="s">
        <v>319</v>
      </c>
      <c r="G166" s="36" t="str">
        <f t="shared" si="4"/>
        <v>Northern Territory</v>
      </c>
    </row>
    <row r="167" spans="1:7" x14ac:dyDescent="0.2">
      <c r="A167" s="444" t="s">
        <v>159</v>
      </c>
      <c r="B167" s="2715"/>
      <c r="C167" s="53" t="s">
        <v>169</v>
      </c>
      <c r="D167" s="54" t="s">
        <v>170</v>
      </c>
      <c r="E167" s="867" t="s">
        <v>319</v>
      </c>
      <c r="F167" s="867" t="s">
        <v>319</v>
      </c>
      <c r="G167" s="36" t="str">
        <f t="shared" si="4"/>
        <v>Northern Territory</v>
      </c>
    </row>
    <row r="168" spans="1:7" x14ac:dyDescent="0.2">
      <c r="A168" s="444" t="s">
        <v>159</v>
      </c>
      <c r="B168" s="2715"/>
      <c r="C168" s="53" t="s">
        <v>171</v>
      </c>
      <c r="D168" s="54" t="s">
        <v>172</v>
      </c>
      <c r="E168" s="867" t="s">
        <v>319</v>
      </c>
      <c r="F168" s="867" t="s">
        <v>319</v>
      </c>
      <c r="G168" s="36" t="str">
        <f t="shared" si="4"/>
        <v>Northern Territory</v>
      </c>
    </row>
    <row r="169" spans="1:7" x14ac:dyDescent="0.2">
      <c r="A169" s="444" t="s">
        <v>159</v>
      </c>
      <c r="B169" s="2715"/>
      <c r="C169" s="53" t="s">
        <v>173</v>
      </c>
      <c r="D169" s="54" t="s">
        <v>174</v>
      </c>
      <c r="E169" s="867" t="s">
        <v>319</v>
      </c>
      <c r="F169" s="867" t="s">
        <v>319</v>
      </c>
      <c r="G169" s="36" t="str">
        <f t="shared" si="4"/>
        <v>Northern Territory</v>
      </c>
    </row>
    <row r="170" spans="1:7" x14ac:dyDescent="0.2">
      <c r="A170" s="444" t="s">
        <v>159</v>
      </c>
      <c r="B170" s="2715"/>
      <c r="C170" s="53" t="s">
        <v>175</v>
      </c>
      <c r="D170" s="54" t="s">
        <v>176</v>
      </c>
      <c r="E170" s="867" t="s">
        <v>319</v>
      </c>
      <c r="F170" s="867" t="s">
        <v>319</v>
      </c>
      <c r="G170" s="36" t="str">
        <f t="shared" si="4"/>
        <v>Northern Territory</v>
      </c>
    </row>
    <row r="171" spans="1:7" x14ac:dyDescent="0.2">
      <c r="A171" s="444" t="s">
        <v>159</v>
      </c>
      <c r="B171" s="2715"/>
      <c r="C171" s="53" t="s">
        <v>177</v>
      </c>
      <c r="D171" s="54" t="s">
        <v>178</v>
      </c>
      <c r="E171" s="867" t="s">
        <v>319</v>
      </c>
      <c r="F171" s="867" t="s">
        <v>319</v>
      </c>
      <c r="G171" s="36" t="str">
        <f t="shared" si="4"/>
        <v>Northern Territory</v>
      </c>
    </row>
    <row r="172" spans="1:7" x14ac:dyDescent="0.2">
      <c r="A172" s="444" t="s">
        <v>159</v>
      </c>
      <c r="B172" s="2715"/>
      <c r="C172" s="53" t="s">
        <v>179</v>
      </c>
      <c r="D172" s="54" t="s">
        <v>180</v>
      </c>
      <c r="E172" s="867" t="s">
        <v>319</v>
      </c>
      <c r="F172" s="867" t="s">
        <v>319</v>
      </c>
      <c r="G172" s="36" t="str">
        <f t="shared" si="4"/>
        <v>Northern Territory</v>
      </c>
    </row>
    <row r="173" spans="1:7" x14ac:dyDescent="0.2">
      <c r="A173" s="444" t="s">
        <v>159</v>
      </c>
      <c r="B173" s="2715"/>
      <c r="C173" s="53" t="s">
        <v>181</v>
      </c>
      <c r="D173" s="54" t="s">
        <v>182</v>
      </c>
      <c r="E173" s="867" t="s">
        <v>319</v>
      </c>
      <c r="F173" s="867" t="s">
        <v>319</v>
      </c>
      <c r="G173" s="36" t="str">
        <f t="shared" si="4"/>
        <v>Northern Territory</v>
      </c>
    </row>
    <row r="174" spans="1:7" x14ac:dyDescent="0.2">
      <c r="A174" s="444" t="s">
        <v>159</v>
      </c>
      <c r="B174" s="2715"/>
      <c r="C174" s="53" t="s">
        <v>183</v>
      </c>
      <c r="D174" s="54" t="s">
        <v>184</v>
      </c>
      <c r="E174" s="867">
        <v>4.92</v>
      </c>
      <c r="F174" s="867" t="s">
        <v>319</v>
      </c>
      <c r="G174" s="36" t="str">
        <f t="shared" si="4"/>
        <v>Northern Territory</v>
      </c>
    </row>
    <row r="175" spans="1:7" x14ac:dyDescent="0.2">
      <c r="A175" s="444" t="s">
        <v>159</v>
      </c>
      <c r="B175" s="2715"/>
      <c r="C175" s="53" t="s">
        <v>185</v>
      </c>
      <c r="D175" s="54" t="s">
        <v>186</v>
      </c>
      <c r="E175" s="867">
        <v>126.18227</v>
      </c>
      <c r="F175" s="867">
        <v>106.354</v>
      </c>
      <c r="G175" s="36" t="str">
        <f t="shared" si="4"/>
        <v>Northern Territory</v>
      </c>
    </row>
    <row r="176" spans="1:7" x14ac:dyDescent="0.2">
      <c r="A176" s="444" t="s">
        <v>159</v>
      </c>
      <c r="B176" s="2715"/>
      <c r="C176" s="53" t="s">
        <v>187</v>
      </c>
      <c r="D176" s="54" t="s">
        <v>188</v>
      </c>
      <c r="E176" s="867" t="s">
        <v>319</v>
      </c>
      <c r="F176" s="867" t="s">
        <v>319</v>
      </c>
      <c r="G176" s="36" t="str">
        <f t="shared" si="4"/>
        <v>Northern Territory</v>
      </c>
    </row>
    <row r="177" spans="1:7" x14ac:dyDescent="0.2">
      <c r="A177" s="444" t="s">
        <v>159</v>
      </c>
      <c r="B177" s="2715"/>
      <c r="C177" s="53" t="s">
        <v>189</v>
      </c>
      <c r="D177" s="54" t="s">
        <v>190</v>
      </c>
      <c r="E177" s="867" t="s">
        <v>319</v>
      </c>
      <c r="F177" s="867" t="s">
        <v>319</v>
      </c>
      <c r="G177" s="36" t="str">
        <f t="shared" si="4"/>
        <v>Northern Territory</v>
      </c>
    </row>
    <row r="178" spans="1:7" x14ac:dyDescent="0.2">
      <c r="A178" s="444" t="s">
        <v>159</v>
      </c>
      <c r="B178" s="2715"/>
      <c r="C178" s="53" t="s">
        <v>191</v>
      </c>
      <c r="D178" s="54" t="s">
        <v>192</v>
      </c>
      <c r="E178" s="867" t="s">
        <v>319</v>
      </c>
      <c r="F178" s="867" t="s">
        <v>319</v>
      </c>
      <c r="G178" s="36" t="str">
        <f t="shared" si="4"/>
        <v>Northern Territory</v>
      </c>
    </row>
    <row r="179" spans="1:7" x14ac:dyDescent="0.2">
      <c r="A179" s="444" t="s">
        <v>159</v>
      </c>
      <c r="B179" s="2715"/>
      <c r="C179" s="53" t="s">
        <v>193</v>
      </c>
      <c r="D179" s="54" t="s">
        <v>194</v>
      </c>
      <c r="E179" s="867" t="s">
        <v>319</v>
      </c>
      <c r="F179" s="867" t="s">
        <v>319</v>
      </c>
      <c r="G179" s="36" t="str">
        <f t="shared" si="4"/>
        <v>Northern Territory</v>
      </c>
    </row>
    <row r="180" spans="1:7" x14ac:dyDescent="0.2">
      <c r="A180" s="444" t="s">
        <v>159</v>
      </c>
      <c r="B180" s="2715"/>
      <c r="C180" s="53" t="s">
        <v>195</v>
      </c>
      <c r="D180" s="54" t="s">
        <v>196</v>
      </c>
      <c r="E180" s="867" t="s">
        <v>319</v>
      </c>
      <c r="F180" s="867" t="s">
        <v>319</v>
      </c>
      <c r="G180" s="36" t="str">
        <f t="shared" si="4"/>
        <v>Northern Territory</v>
      </c>
    </row>
    <row r="181" spans="1:7" x14ac:dyDescent="0.2">
      <c r="A181" s="444" t="s">
        <v>159</v>
      </c>
      <c r="B181" s="2715"/>
      <c r="C181" s="53" t="s">
        <v>197</v>
      </c>
      <c r="D181" s="54" t="s">
        <v>198</v>
      </c>
      <c r="E181" s="867">
        <v>5.65</v>
      </c>
      <c r="F181" s="867">
        <v>28</v>
      </c>
      <c r="G181" s="36" t="str">
        <f t="shared" si="4"/>
        <v>Northern Territory</v>
      </c>
    </row>
    <row r="182" spans="1:7" x14ac:dyDescent="0.2">
      <c r="A182" s="444" t="s">
        <v>159</v>
      </c>
      <c r="B182" s="2715"/>
      <c r="C182" s="53" t="s">
        <v>199</v>
      </c>
      <c r="D182" s="54" t="s">
        <v>200</v>
      </c>
      <c r="E182" s="867" t="s">
        <v>319</v>
      </c>
      <c r="F182" s="867" t="s">
        <v>319</v>
      </c>
      <c r="G182" s="36" t="str">
        <f t="shared" si="4"/>
        <v>Northern Territory</v>
      </c>
    </row>
    <row r="183" spans="1:7" x14ac:dyDescent="0.2">
      <c r="A183" s="444" t="s">
        <v>159</v>
      </c>
      <c r="B183" s="2715"/>
      <c r="C183" s="53" t="s">
        <v>201</v>
      </c>
      <c r="D183" s="54" t="s">
        <v>202</v>
      </c>
      <c r="E183" s="867" t="s">
        <v>319</v>
      </c>
      <c r="F183" s="867" t="s">
        <v>319</v>
      </c>
      <c r="G183" s="36" t="str">
        <f t="shared" si="4"/>
        <v>Northern Territory</v>
      </c>
    </row>
    <row r="184" spans="1:7" x14ac:dyDescent="0.2">
      <c r="A184" s="444" t="s">
        <v>159</v>
      </c>
      <c r="B184" s="2715"/>
      <c r="C184" s="53" t="s">
        <v>203</v>
      </c>
      <c r="D184" s="54" t="s">
        <v>204</v>
      </c>
      <c r="E184" s="867" t="s">
        <v>319</v>
      </c>
      <c r="F184" s="867" t="s">
        <v>319</v>
      </c>
      <c r="G184" s="36" t="str">
        <f t="shared" si="4"/>
        <v>Northern Territory</v>
      </c>
    </row>
    <row r="185" spans="1:7" x14ac:dyDescent="0.2">
      <c r="A185" s="444" t="s">
        <v>159</v>
      </c>
      <c r="B185" s="2715"/>
      <c r="C185" s="53" t="s">
        <v>205</v>
      </c>
      <c r="D185" s="54" t="s">
        <v>206</v>
      </c>
      <c r="E185" s="867" t="s">
        <v>319</v>
      </c>
      <c r="F185" s="867" t="s">
        <v>319</v>
      </c>
      <c r="G185" s="36" t="str">
        <f t="shared" si="4"/>
        <v>Northern Territory</v>
      </c>
    </row>
    <row r="186" spans="1:7" x14ac:dyDescent="0.2">
      <c r="A186" s="444" t="s">
        <v>159</v>
      </c>
      <c r="B186" s="2714"/>
      <c r="C186" s="53" t="s">
        <v>207</v>
      </c>
      <c r="D186" s="54" t="s">
        <v>208</v>
      </c>
      <c r="E186" s="867" t="s">
        <v>319</v>
      </c>
      <c r="F186" s="867" t="s">
        <v>319</v>
      </c>
      <c r="G186" s="36" t="str">
        <f t="shared" si="4"/>
        <v>Northern Territory</v>
      </c>
    </row>
    <row r="187" spans="1:7" x14ac:dyDescent="0.2">
      <c r="A187" s="444" t="s">
        <v>209</v>
      </c>
      <c r="B187" s="56" t="s">
        <v>210</v>
      </c>
      <c r="C187" s="53" t="s">
        <v>211</v>
      </c>
      <c r="D187" s="54" t="s">
        <v>212</v>
      </c>
      <c r="E187" s="867" t="s">
        <v>319</v>
      </c>
      <c r="F187" s="867" t="s">
        <v>319</v>
      </c>
      <c r="G187" s="36" t="str">
        <f t="shared" si="4"/>
        <v>Northern Territory</v>
      </c>
    </row>
    <row r="188" spans="1:7" x14ac:dyDescent="0.2">
      <c r="A188" s="444" t="s">
        <v>213</v>
      </c>
      <c r="B188" s="2713" t="s">
        <v>214</v>
      </c>
      <c r="C188" s="53" t="s">
        <v>215</v>
      </c>
      <c r="D188" s="54" t="s">
        <v>216</v>
      </c>
      <c r="E188" s="867">
        <v>21.690999999999999</v>
      </c>
      <c r="F188" s="867">
        <v>21.2</v>
      </c>
      <c r="G188" s="36" t="str">
        <f t="shared" si="4"/>
        <v>Northern Territory</v>
      </c>
    </row>
    <row r="189" spans="1:7" x14ac:dyDescent="0.2">
      <c r="A189" s="444" t="s">
        <v>213</v>
      </c>
      <c r="B189" s="2714"/>
      <c r="C189" s="53" t="s">
        <v>217</v>
      </c>
      <c r="D189" s="54" t="s">
        <v>218</v>
      </c>
      <c r="E189" s="867" t="s">
        <v>319</v>
      </c>
      <c r="F189" s="867">
        <v>2</v>
      </c>
      <c r="G189" s="36" t="str">
        <f t="shared" si="4"/>
        <v>Northern Territory</v>
      </c>
    </row>
    <row r="190" spans="1:7" x14ac:dyDescent="0.2">
      <c r="A190" s="444" t="s">
        <v>219</v>
      </c>
      <c r="B190" s="2713" t="s">
        <v>220</v>
      </c>
      <c r="C190" s="53" t="s">
        <v>221</v>
      </c>
      <c r="D190" s="54" t="s">
        <v>222</v>
      </c>
      <c r="E190" s="867" t="s">
        <v>319</v>
      </c>
      <c r="F190" s="867" t="s">
        <v>319</v>
      </c>
      <c r="G190" s="36" t="str">
        <f t="shared" si="4"/>
        <v>Northern Territory</v>
      </c>
    </row>
    <row r="191" spans="1:7" x14ac:dyDescent="0.2">
      <c r="A191" s="444" t="s">
        <v>219</v>
      </c>
      <c r="B191" s="2715"/>
      <c r="C191" s="53" t="s">
        <v>223</v>
      </c>
      <c r="D191" s="54" t="s">
        <v>224</v>
      </c>
      <c r="E191" s="867" t="s">
        <v>319</v>
      </c>
      <c r="F191" s="867" t="s">
        <v>319</v>
      </c>
      <c r="G191" s="36" t="str">
        <f t="shared" si="4"/>
        <v>Northern Territory</v>
      </c>
    </row>
    <row r="192" spans="1:7" x14ac:dyDescent="0.2">
      <c r="A192" s="444" t="s">
        <v>219</v>
      </c>
      <c r="B192" s="2715"/>
      <c r="C192" s="53" t="s">
        <v>225</v>
      </c>
      <c r="D192" s="54" t="s">
        <v>226</v>
      </c>
      <c r="E192" s="867" t="s">
        <v>319</v>
      </c>
      <c r="F192" s="867" t="s">
        <v>319</v>
      </c>
      <c r="G192" s="36" t="str">
        <f t="shared" si="4"/>
        <v>Northern Territory</v>
      </c>
    </row>
    <row r="193" spans="1:7" x14ac:dyDescent="0.2">
      <c r="A193" s="444" t="s">
        <v>219</v>
      </c>
      <c r="B193" s="2714"/>
      <c r="C193" s="53" t="s">
        <v>227</v>
      </c>
      <c r="D193" s="54" t="s">
        <v>228</v>
      </c>
      <c r="E193" s="867" t="s">
        <v>319</v>
      </c>
      <c r="F193" s="867" t="s">
        <v>319</v>
      </c>
      <c r="G193" s="36" t="str">
        <f t="shared" si="4"/>
        <v>Northern Territory</v>
      </c>
    </row>
    <row r="194" spans="1:7" x14ac:dyDescent="0.2">
      <c r="A194" s="444" t="s">
        <v>229</v>
      </c>
      <c r="B194" s="2713" t="s">
        <v>230</v>
      </c>
      <c r="C194" s="53" t="s">
        <v>231</v>
      </c>
      <c r="D194" s="54" t="s">
        <v>232</v>
      </c>
      <c r="E194" s="867">
        <v>0.06</v>
      </c>
      <c r="F194" s="867">
        <v>0.245</v>
      </c>
      <c r="G194" s="36" t="str">
        <f t="shared" si="4"/>
        <v>Northern Territory</v>
      </c>
    </row>
    <row r="195" spans="1:7" x14ac:dyDescent="0.2">
      <c r="A195" s="444" t="s">
        <v>229</v>
      </c>
      <c r="B195" s="2715"/>
      <c r="C195" s="53" t="s">
        <v>233</v>
      </c>
      <c r="D195" s="54" t="s">
        <v>234</v>
      </c>
      <c r="E195" s="867" t="s">
        <v>319</v>
      </c>
      <c r="F195" s="867" t="s">
        <v>319</v>
      </c>
      <c r="G195" s="36" t="str">
        <f t="shared" si="4"/>
        <v>Northern Territory</v>
      </c>
    </row>
    <row r="196" spans="1:7" x14ac:dyDescent="0.2">
      <c r="A196" s="444" t="s">
        <v>229</v>
      </c>
      <c r="B196" s="2714"/>
      <c r="C196" s="53" t="s">
        <v>235</v>
      </c>
      <c r="D196" s="54" t="s">
        <v>236</v>
      </c>
      <c r="E196" s="867" t="s">
        <v>319</v>
      </c>
      <c r="F196" s="867" t="s">
        <v>319</v>
      </c>
      <c r="G196" s="36" t="str">
        <f t="shared" si="4"/>
        <v>Northern Territory</v>
      </c>
    </row>
    <row r="197" spans="1:7" x14ac:dyDescent="0.2">
      <c r="A197" s="444" t="s">
        <v>237</v>
      </c>
      <c r="B197" s="2713" t="s">
        <v>238</v>
      </c>
      <c r="C197" s="53" t="s">
        <v>239</v>
      </c>
      <c r="D197" s="54" t="s">
        <v>240</v>
      </c>
      <c r="E197" s="867">
        <v>1203.2172</v>
      </c>
      <c r="F197" s="867">
        <v>812.11</v>
      </c>
      <c r="G197" s="36" t="str">
        <f t="shared" si="4"/>
        <v>Northern Territory</v>
      </c>
    </row>
    <row r="198" spans="1:7" x14ac:dyDescent="0.2">
      <c r="A198" s="444" t="s">
        <v>237</v>
      </c>
      <c r="B198" s="2715"/>
      <c r="C198" s="53" t="s">
        <v>241</v>
      </c>
      <c r="D198" s="54" t="s">
        <v>242</v>
      </c>
      <c r="E198" s="867">
        <v>2157.2600000000002</v>
      </c>
      <c r="F198" s="867">
        <v>306</v>
      </c>
      <c r="G198" s="36" t="str">
        <f t="shared" si="4"/>
        <v>Northern Territory</v>
      </c>
    </row>
    <row r="199" spans="1:7" x14ac:dyDescent="0.2">
      <c r="A199" s="444" t="s">
        <v>237</v>
      </c>
      <c r="B199" s="2714"/>
      <c r="C199" s="53" t="s">
        <v>243</v>
      </c>
      <c r="D199" s="54" t="s">
        <v>244</v>
      </c>
      <c r="E199" s="867" t="s">
        <v>319</v>
      </c>
      <c r="F199" s="867" t="s">
        <v>319</v>
      </c>
      <c r="G199" s="36" t="str">
        <f t="shared" si="4"/>
        <v>Northern Territory</v>
      </c>
    </row>
    <row r="200" spans="1:7" x14ac:dyDescent="0.2">
      <c r="A200" s="444" t="s">
        <v>245</v>
      </c>
      <c r="B200" s="2713" t="s">
        <v>246</v>
      </c>
      <c r="C200" s="53" t="s">
        <v>247</v>
      </c>
      <c r="D200" s="54" t="s">
        <v>248</v>
      </c>
      <c r="E200" s="867">
        <v>1655.8527853591868</v>
      </c>
      <c r="F200" s="867">
        <v>1437.1699453589285</v>
      </c>
      <c r="G200" s="36" t="str">
        <f t="shared" si="4"/>
        <v>Northern Territory</v>
      </c>
    </row>
    <row r="201" spans="1:7" x14ac:dyDescent="0.2">
      <c r="A201" s="444" t="s">
        <v>245</v>
      </c>
      <c r="B201" s="2715"/>
      <c r="C201" s="53" t="s">
        <v>249</v>
      </c>
      <c r="D201" s="54" t="s">
        <v>250</v>
      </c>
      <c r="E201" s="867">
        <v>2698.749007596497</v>
      </c>
      <c r="F201" s="867">
        <v>2816.3649484153498</v>
      </c>
      <c r="G201" s="36" t="str">
        <f t="shared" si="4"/>
        <v>Northern Territory</v>
      </c>
    </row>
    <row r="202" spans="1:7" x14ac:dyDescent="0.2">
      <c r="A202" s="444" t="s">
        <v>245</v>
      </c>
      <c r="B202" s="2715"/>
      <c r="C202" s="53" t="s">
        <v>251</v>
      </c>
      <c r="D202" s="54" t="s">
        <v>252</v>
      </c>
      <c r="E202" s="867" t="s">
        <v>319</v>
      </c>
      <c r="F202" s="867" t="s">
        <v>319</v>
      </c>
      <c r="G202" s="36" t="str">
        <f t="shared" si="4"/>
        <v>Northern Territory</v>
      </c>
    </row>
    <row r="203" spans="1:7" x14ac:dyDescent="0.2">
      <c r="A203" s="444" t="s">
        <v>245</v>
      </c>
      <c r="B203" s="2714"/>
      <c r="C203" s="53" t="s">
        <v>253</v>
      </c>
      <c r="D203" s="54" t="s">
        <v>254</v>
      </c>
      <c r="E203" s="867" t="s">
        <v>319</v>
      </c>
      <c r="F203" s="867" t="s">
        <v>319</v>
      </c>
      <c r="G203" s="36" t="str">
        <f t="shared" si="4"/>
        <v>Northern Territory</v>
      </c>
    </row>
    <row r="204" spans="1:7" ht="25.5" x14ac:dyDescent="0.2">
      <c r="A204" s="444" t="s">
        <v>255</v>
      </c>
      <c r="B204" s="2713" t="s">
        <v>256</v>
      </c>
      <c r="C204" s="53" t="s">
        <v>257</v>
      </c>
      <c r="D204" s="54" t="s">
        <v>258</v>
      </c>
      <c r="E204" s="867">
        <v>2.64</v>
      </c>
      <c r="F204" s="867" t="s">
        <v>319</v>
      </c>
      <c r="G204" s="36" t="str">
        <f t="shared" si="4"/>
        <v>Northern Territory</v>
      </c>
    </row>
    <row r="205" spans="1:7" x14ac:dyDescent="0.2">
      <c r="A205" s="444" t="s">
        <v>255</v>
      </c>
      <c r="B205" s="2715"/>
      <c r="C205" s="53" t="s">
        <v>259</v>
      </c>
      <c r="D205" s="54" t="s">
        <v>260</v>
      </c>
      <c r="E205" s="867" t="s">
        <v>319</v>
      </c>
      <c r="F205" s="867" t="s">
        <v>319</v>
      </c>
      <c r="G205" s="36" t="str">
        <f t="shared" si="4"/>
        <v>Northern Territory</v>
      </c>
    </row>
    <row r="206" spans="1:7" x14ac:dyDescent="0.2">
      <c r="A206" s="444" t="s">
        <v>255</v>
      </c>
      <c r="B206" s="2715"/>
      <c r="C206" s="53" t="s">
        <v>261</v>
      </c>
      <c r="D206" s="54" t="s">
        <v>262</v>
      </c>
      <c r="E206" s="867" t="s">
        <v>319</v>
      </c>
      <c r="F206" s="867" t="s">
        <v>319</v>
      </c>
      <c r="G206" s="36" t="str">
        <f t="shared" si="4"/>
        <v>Northern Territory</v>
      </c>
    </row>
    <row r="207" spans="1:7" x14ac:dyDescent="0.2">
      <c r="A207" s="444" t="s">
        <v>255</v>
      </c>
      <c r="B207" s="2715"/>
      <c r="C207" s="53" t="s">
        <v>263</v>
      </c>
      <c r="D207" s="54" t="s">
        <v>264</v>
      </c>
      <c r="E207" s="867" t="s">
        <v>319</v>
      </c>
      <c r="F207" s="867" t="s">
        <v>319</v>
      </c>
      <c r="G207" s="36" t="str">
        <f t="shared" si="4"/>
        <v>Northern Territory</v>
      </c>
    </row>
    <row r="208" spans="1:7" x14ac:dyDescent="0.2">
      <c r="A208" s="444" t="s">
        <v>255</v>
      </c>
      <c r="B208" s="2715"/>
      <c r="C208" s="53" t="s">
        <v>265</v>
      </c>
      <c r="D208" s="54" t="s">
        <v>266</v>
      </c>
      <c r="E208" s="867" t="s">
        <v>319</v>
      </c>
      <c r="F208" s="867" t="s">
        <v>319</v>
      </c>
      <c r="G208" s="36" t="str">
        <f t="shared" si="4"/>
        <v>Northern Territory</v>
      </c>
    </row>
    <row r="209" spans="1:7" x14ac:dyDescent="0.2">
      <c r="A209" s="444" t="s">
        <v>255</v>
      </c>
      <c r="B209" s="2715"/>
      <c r="C209" s="53" t="s">
        <v>267</v>
      </c>
      <c r="D209" s="54" t="s">
        <v>268</v>
      </c>
      <c r="E209" s="867" t="s">
        <v>319</v>
      </c>
      <c r="F209" s="867" t="s">
        <v>319</v>
      </c>
      <c r="G209" s="36" t="str">
        <f t="shared" si="4"/>
        <v>Northern Territory</v>
      </c>
    </row>
    <row r="210" spans="1:7" x14ac:dyDescent="0.2">
      <c r="A210" s="444" t="s">
        <v>255</v>
      </c>
      <c r="B210" s="2715"/>
      <c r="C210" s="53" t="s">
        <v>269</v>
      </c>
      <c r="D210" s="54" t="s">
        <v>270</v>
      </c>
      <c r="E210" s="867" t="s">
        <v>319</v>
      </c>
      <c r="F210" s="867" t="s">
        <v>319</v>
      </c>
      <c r="G210" s="36" t="str">
        <f t="shared" si="4"/>
        <v>Northern Territory</v>
      </c>
    </row>
    <row r="211" spans="1:7" x14ac:dyDescent="0.2">
      <c r="A211" s="444" t="s">
        <v>255</v>
      </c>
      <c r="B211" s="2715"/>
      <c r="C211" s="53" t="s">
        <v>271</v>
      </c>
      <c r="D211" s="54" t="s">
        <v>272</v>
      </c>
      <c r="E211" s="867" t="s">
        <v>319</v>
      </c>
      <c r="F211" s="867" t="s">
        <v>319</v>
      </c>
      <c r="G211" s="36" t="str">
        <f t="shared" si="4"/>
        <v>Northern Territory</v>
      </c>
    </row>
    <row r="212" spans="1:7" ht="25.5" x14ac:dyDescent="0.2">
      <c r="A212" s="444" t="s">
        <v>255</v>
      </c>
      <c r="B212" s="2715"/>
      <c r="C212" s="53" t="s">
        <v>273</v>
      </c>
      <c r="D212" s="54" t="s">
        <v>274</v>
      </c>
      <c r="E212" s="867" t="s">
        <v>319</v>
      </c>
      <c r="F212" s="867" t="s">
        <v>319</v>
      </c>
      <c r="G212" s="36" t="str">
        <f t="shared" si="4"/>
        <v>Northern Territory</v>
      </c>
    </row>
    <row r="213" spans="1:7" x14ac:dyDescent="0.2">
      <c r="A213" s="444" t="s">
        <v>255</v>
      </c>
      <c r="B213" s="2714"/>
      <c r="C213" s="53" t="s">
        <v>275</v>
      </c>
      <c r="D213" s="54" t="s">
        <v>276</v>
      </c>
      <c r="E213" s="867" t="s">
        <v>319</v>
      </c>
      <c r="F213" s="867" t="s">
        <v>319</v>
      </c>
      <c r="G213" s="36" t="str">
        <f t="shared" si="4"/>
        <v>Northern Territory</v>
      </c>
    </row>
    <row r="214" spans="1:7" x14ac:dyDescent="0.2">
      <c r="A214" s="444" t="s">
        <v>277</v>
      </c>
      <c r="B214" s="2713" t="s">
        <v>278</v>
      </c>
      <c r="C214" s="53" t="s">
        <v>279</v>
      </c>
      <c r="D214" s="54" t="s">
        <v>280</v>
      </c>
      <c r="E214" s="867">
        <v>10.56</v>
      </c>
      <c r="F214" s="867" t="s">
        <v>319</v>
      </c>
      <c r="G214" s="36" t="str">
        <f t="shared" si="4"/>
        <v>Northern Territory</v>
      </c>
    </row>
    <row r="215" spans="1:7" x14ac:dyDescent="0.2">
      <c r="A215" s="444" t="s">
        <v>277</v>
      </c>
      <c r="B215" s="2715"/>
      <c r="C215" s="53" t="s">
        <v>281</v>
      </c>
      <c r="D215" s="54" t="s">
        <v>282</v>
      </c>
      <c r="E215" s="867">
        <v>5839.4557219410508</v>
      </c>
      <c r="F215" s="867">
        <v>6031.6332950036494</v>
      </c>
      <c r="G215" s="36" t="str">
        <f t="shared" si="4"/>
        <v>Northern Territory</v>
      </c>
    </row>
    <row r="216" spans="1:7" x14ac:dyDescent="0.2">
      <c r="A216" s="444" t="s">
        <v>277</v>
      </c>
      <c r="B216" s="2715"/>
      <c r="C216" s="53" t="s">
        <v>283</v>
      </c>
      <c r="D216" s="54" t="s">
        <v>284</v>
      </c>
      <c r="E216" s="867" t="s">
        <v>319</v>
      </c>
      <c r="F216" s="867" t="s">
        <v>319</v>
      </c>
      <c r="G216" s="36" t="str">
        <f t="shared" si="4"/>
        <v>Northern Territory</v>
      </c>
    </row>
    <row r="217" spans="1:7" x14ac:dyDescent="0.2">
      <c r="A217" s="444" t="s">
        <v>277</v>
      </c>
      <c r="B217" s="2715"/>
      <c r="C217" s="53" t="s">
        <v>285</v>
      </c>
      <c r="D217" s="54" t="s">
        <v>286</v>
      </c>
      <c r="E217" s="867" t="s">
        <v>319</v>
      </c>
      <c r="F217" s="867" t="s">
        <v>319</v>
      </c>
      <c r="G217" s="36" t="str">
        <f t="shared" si="4"/>
        <v>Northern Territory</v>
      </c>
    </row>
    <row r="218" spans="1:7" x14ac:dyDescent="0.2">
      <c r="A218" s="444" t="s">
        <v>277</v>
      </c>
      <c r="B218" s="2715"/>
      <c r="C218" s="53" t="s">
        <v>287</v>
      </c>
      <c r="D218" s="54" t="s">
        <v>288</v>
      </c>
      <c r="E218" s="867">
        <v>1.8029999999999999</v>
      </c>
      <c r="F218" s="867" t="s">
        <v>319</v>
      </c>
      <c r="G218" s="36" t="str">
        <f t="shared" si="4"/>
        <v>Northern Territory</v>
      </c>
    </row>
    <row r="219" spans="1:7" x14ac:dyDescent="0.2">
      <c r="A219" s="444" t="s">
        <v>277</v>
      </c>
      <c r="B219" s="2715"/>
      <c r="C219" s="53" t="s">
        <v>289</v>
      </c>
      <c r="D219" s="54" t="s">
        <v>290</v>
      </c>
      <c r="E219" s="867" t="s">
        <v>319</v>
      </c>
      <c r="F219" s="867" t="s">
        <v>319</v>
      </c>
      <c r="G219" s="36" t="str">
        <f t="shared" si="4"/>
        <v>Northern Territory</v>
      </c>
    </row>
    <row r="220" spans="1:7" x14ac:dyDescent="0.2">
      <c r="A220" s="444" t="s">
        <v>277</v>
      </c>
      <c r="B220" s="2715"/>
      <c r="C220" s="53" t="s">
        <v>291</v>
      </c>
      <c r="D220" s="54" t="s">
        <v>292</v>
      </c>
      <c r="E220" s="867">
        <v>2569.2703570781164</v>
      </c>
      <c r="F220" s="867">
        <v>7380.9523809523816</v>
      </c>
      <c r="G220" s="36" t="str">
        <f t="shared" si="4"/>
        <v>Northern Territory</v>
      </c>
    </row>
    <row r="221" spans="1:7" x14ac:dyDescent="0.2">
      <c r="A221" s="444" t="s">
        <v>277</v>
      </c>
      <c r="B221" s="2715"/>
      <c r="C221" s="53" t="s">
        <v>293</v>
      </c>
      <c r="D221" s="54" t="s">
        <v>97</v>
      </c>
      <c r="E221" s="867" t="s">
        <v>319</v>
      </c>
      <c r="F221" s="867">
        <v>999.97</v>
      </c>
      <c r="G221" s="36" t="str">
        <f t="shared" si="4"/>
        <v>Northern Territory</v>
      </c>
    </row>
    <row r="222" spans="1:7" x14ac:dyDescent="0.2">
      <c r="A222" s="444" t="s">
        <v>277</v>
      </c>
      <c r="B222" s="2714"/>
      <c r="C222" s="53" t="s">
        <v>294</v>
      </c>
      <c r="D222" s="54" t="s">
        <v>295</v>
      </c>
      <c r="E222" s="867" t="s">
        <v>319</v>
      </c>
      <c r="F222" s="867" t="s">
        <v>319</v>
      </c>
      <c r="G222" s="36" t="str">
        <f t="shared" si="4"/>
        <v>Northern Territory</v>
      </c>
    </row>
    <row r="223" spans="1:7" x14ac:dyDescent="0.2">
      <c r="A223" s="444" t="s">
        <v>296</v>
      </c>
      <c r="B223" s="2713" t="s">
        <v>297</v>
      </c>
      <c r="C223" s="53" t="s">
        <v>298</v>
      </c>
      <c r="D223" s="54" t="s">
        <v>299</v>
      </c>
      <c r="E223" s="867">
        <v>39.729399999999998</v>
      </c>
      <c r="F223" s="867">
        <v>36.465499999999999</v>
      </c>
      <c r="G223" s="36" t="str">
        <f t="shared" si="4"/>
        <v>Northern Territory</v>
      </c>
    </row>
    <row r="224" spans="1:7" x14ac:dyDescent="0.2">
      <c r="A224" s="444" t="s">
        <v>296</v>
      </c>
      <c r="B224" s="2715"/>
      <c r="C224" s="53" t="s">
        <v>300</v>
      </c>
      <c r="D224" s="54" t="s">
        <v>150</v>
      </c>
      <c r="E224" s="867" t="s">
        <v>319</v>
      </c>
      <c r="F224" s="867" t="s">
        <v>319</v>
      </c>
      <c r="G224" s="36" t="str">
        <f t="shared" ref="G224:G229" si="5">G223</f>
        <v>Northern Territory</v>
      </c>
    </row>
    <row r="225" spans="1:7" x14ac:dyDescent="0.2">
      <c r="A225" s="444" t="s">
        <v>296</v>
      </c>
      <c r="B225" s="2714"/>
      <c r="C225" s="53" t="s">
        <v>301</v>
      </c>
      <c r="D225" s="54" t="s">
        <v>302</v>
      </c>
      <c r="E225" s="867" t="s">
        <v>319</v>
      </c>
      <c r="F225" s="867" t="s">
        <v>319</v>
      </c>
      <c r="G225" s="36" t="str">
        <f t="shared" si="5"/>
        <v>Northern Territory</v>
      </c>
    </row>
    <row r="226" spans="1:7" ht="38.25" x14ac:dyDescent="0.2">
      <c r="A226" s="444" t="s">
        <v>303</v>
      </c>
      <c r="B226" s="2713" t="s">
        <v>304</v>
      </c>
      <c r="C226" s="53" t="s">
        <v>305</v>
      </c>
      <c r="D226" s="54" t="s">
        <v>306</v>
      </c>
      <c r="E226" s="867">
        <v>26.24</v>
      </c>
      <c r="F226" s="867" t="s">
        <v>319</v>
      </c>
      <c r="G226" s="36" t="str">
        <f t="shared" si="5"/>
        <v>Northern Territory</v>
      </c>
    </row>
    <row r="227" spans="1:7" x14ac:dyDescent="0.2">
      <c r="A227" s="444" t="s">
        <v>303</v>
      </c>
      <c r="B227" s="2715"/>
      <c r="C227" s="53" t="s">
        <v>307</v>
      </c>
      <c r="D227" s="54" t="s">
        <v>308</v>
      </c>
      <c r="E227" s="867" t="s">
        <v>319</v>
      </c>
      <c r="F227" s="867" t="s">
        <v>319</v>
      </c>
      <c r="G227" s="36" t="str">
        <f t="shared" si="5"/>
        <v>Northern Territory</v>
      </c>
    </row>
    <row r="228" spans="1:7" x14ac:dyDescent="0.2">
      <c r="A228" s="444" t="s">
        <v>303</v>
      </c>
      <c r="B228" s="2715"/>
      <c r="C228" s="53" t="s">
        <v>309</v>
      </c>
      <c r="D228" s="54" t="s">
        <v>39</v>
      </c>
      <c r="E228" s="867">
        <v>2488.5</v>
      </c>
      <c r="F228" s="867">
        <v>2502.0177878767954</v>
      </c>
      <c r="G228" s="36" t="str">
        <f t="shared" si="5"/>
        <v>Northern Territory</v>
      </c>
    </row>
    <row r="229" spans="1:7" x14ac:dyDescent="0.2">
      <c r="A229" s="444" t="s">
        <v>303</v>
      </c>
      <c r="B229" s="2714"/>
      <c r="C229" s="53" t="s">
        <v>310</v>
      </c>
      <c r="D229" s="54" t="s">
        <v>311</v>
      </c>
      <c r="E229" s="867" t="s">
        <v>319</v>
      </c>
      <c r="F229" s="867" t="s">
        <v>319</v>
      </c>
      <c r="G229" s="36" t="str">
        <f t="shared" si="5"/>
        <v>Northern Territory</v>
      </c>
    </row>
    <row r="230" spans="1:7" x14ac:dyDescent="0.2">
      <c r="E230" s="220"/>
      <c r="F230" s="220"/>
    </row>
    <row r="231" spans="1:7" s="52" customFormat="1" ht="15.75" x14ac:dyDescent="0.25">
      <c r="A231" s="52" t="s">
        <v>314</v>
      </c>
      <c r="E231" s="868"/>
      <c r="F231" s="868"/>
      <c r="G231" s="359"/>
    </row>
    <row r="232" spans="1:7" x14ac:dyDescent="0.2">
      <c r="E232" s="220"/>
      <c r="F232" s="220"/>
    </row>
    <row r="233" spans="1:7" x14ac:dyDescent="0.2">
      <c r="A233" s="444" t="s">
        <v>142</v>
      </c>
      <c r="B233" s="2710" t="s">
        <v>143</v>
      </c>
      <c r="C233" s="53" t="s">
        <v>144</v>
      </c>
      <c r="D233" s="57" t="s">
        <v>145</v>
      </c>
      <c r="E233" s="867">
        <v>3084.0380010000031</v>
      </c>
      <c r="F233" s="867">
        <v>2532.9794999999999</v>
      </c>
      <c r="G233" s="36" t="str">
        <f>Qld!B1</f>
        <v>Queensland</v>
      </c>
    </row>
    <row r="234" spans="1:7" x14ac:dyDescent="0.2">
      <c r="A234" s="444" t="s">
        <v>142</v>
      </c>
      <c r="B234" s="2711"/>
      <c r="C234" s="53" t="s">
        <v>146</v>
      </c>
      <c r="D234" s="57" t="s">
        <v>147</v>
      </c>
      <c r="E234" s="867">
        <v>9.9999999999999995E-7</v>
      </c>
      <c r="F234" s="867">
        <v>1</v>
      </c>
      <c r="G234" s="36" t="str">
        <f>G233</f>
        <v>Queensland</v>
      </c>
    </row>
    <row r="235" spans="1:7" x14ac:dyDescent="0.2">
      <c r="A235" s="444" t="s">
        <v>142</v>
      </c>
      <c r="B235" s="2712"/>
      <c r="C235" s="53" t="s">
        <v>148</v>
      </c>
      <c r="D235" s="57" t="s">
        <v>149</v>
      </c>
      <c r="E235" s="867">
        <v>43.016261856192052</v>
      </c>
      <c r="F235" s="867">
        <v>102.24</v>
      </c>
      <c r="G235" s="36" t="str">
        <f t="shared" ref="G235:G298" si="6">G234</f>
        <v>Queensland</v>
      </c>
    </row>
    <row r="236" spans="1:7" x14ac:dyDescent="0.2">
      <c r="A236" s="444" t="s">
        <v>151</v>
      </c>
      <c r="B236" s="54" t="s">
        <v>152</v>
      </c>
      <c r="C236" s="53" t="s">
        <v>153</v>
      </c>
      <c r="D236" s="57" t="s">
        <v>154</v>
      </c>
      <c r="E236" s="867">
        <v>7165.6935444270875</v>
      </c>
      <c r="F236" s="867">
        <v>9759.0931999999993</v>
      </c>
      <c r="G236" s="36" t="str">
        <f t="shared" si="6"/>
        <v>Queensland</v>
      </c>
    </row>
    <row r="237" spans="1:7" x14ac:dyDescent="0.2">
      <c r="A237" s="444" t="s">
        <v>155</v>
      </c>
      <c r="B237" s="54" t="s">
        <v>156</v>
      </c>
      <c r="C237" s="53" t="s">
        <v>157</v>
      </c>
      <c r="D237" s="57" t="s">
        <v>158</v>
      </c>
      <c r="E237" s="867">
        <v>79663.58222740356</v>
      </c>
      <c r="F237" s="867">
        <v>69966.498120000004</v>
      </c>
      <c r="G237" s="36" t="str">
        <f t="shared" si="6"/>
        <v>Queensland</v>
      </c>
    </row>
    <row r="238" spans="1:7" x14ac:dyDescent="0.2">
      <c r="A238" s="444" t="s">
        <v>159</v>
      </c>
      <c r="B238" s="2710" t="s">
        <v>160</v>
      </c>
      <c r="C238" s="53" t="s">
        <v>161</v>
      </c>
      <c r="D238" s="57" t="s">
        <v>162</v>
      </c>
      <c r="E238" s="867">
        <v>50.590912176042515</v>
      </c>
      <c r="F238" s="867">
        <v>35.103999999999999</v>
      </c>
      <c r="G238" s="36" t="str">
        <f t="shared" si="6"/>
        <v>Queensland</v>
      </c>
    </row>
    <row r="239" spans="1:7" x14ac:dyDescent="0.2">
      <c r="A239" s="444" t="s">
        <v>159</v>
      </c>
      <c r="B239" s="2711"/>
      <c r="C239" s="53" t="s">
        <v>163</v>
      </c>
      <c r="D239" s="57" t="s">
        <v>164</v>
      </c>
      <c r="E239" s="867">
        <v>634.90755394254427</v>
      </c>
      <c r="F239" s="867">
        <v>6270</v>
      </c>
      <c r="G239" s="36" t="str">
        <f t="shared" si="6"/>
        <v>Queensland</v>
      </c>
    </row>
    <row r="240" spans="1:7" x14ac:dyDescent="0.2">
      <c r="A240" s="444" t="s">
        <v>159</v>
      </c>
      <c r="B240" s="2711"/>
      <c r="C240" s="53" t="s">
        <v>165</v>
      </c>
      <c r="D240" s="57" t="s">
        <v>166</v>
      </c>
      <c r="E240" s="867">
        <v>104.56085455350625</v>
      </c>
      <c r="F240" s="867">
        <v>59.604394999999997</v>
      </c>
      <c r="G240" s="36" t="str">
        <f t="shared" si="6"/>
        <v>Queensland</v>
      </c>
    </row>
    <row r="241" spans="1:7" x14ac:dyDescent="0.2">
      <c r="A241" s="444" t="s">
        <v>159</v>
      </c>
      <c r="B241" s="2711"/>
      <c r="C241" s="53" t="s">
        <v>167</v>
      </c>
      <c r="D241" s="57" t="s">
        <v>168</v>
      </c>
      <c r="E241" s="867">
        <v>27.417715671775021</v>
      </c>
      <c r="F241" s="867">
        <v>131.46</v>
      </c>
      <c r="G241" s="36" t="str">
        <f t="shared" si="6"/>
        <v>Queensland</v>
      </c>
    </row>
    <row r="242" spans="1:7" x14ac:dyDescent="0.2">
      <c r="A242" s="444" t="s">
        <v>159</v>
      </c>
      <c r="B242" s="2711"/>
      <c r="C242" s="53" t="s">
        <v>169</v>
      </c>
      <c r="D242" s="57" t="s">
        <v>170</v>
      </c>
      <c r="E242" s="867">
        <v>95.311304147771708</v>
      </c>
      <c r="F242" s="867">
        <v>262.08839999999998</v>
      </c>
      <c r="G242" s="36" t="str">
        <f t="shared" si="6"/>
        <v>Queensland</v>
      </c>
    </row>
    <row r="243" spans="1:7" x14ac:dyDescent="0.2">
      <c r="A243" s="444" t="s">
        <v>159</v>
      </c>
      <c r="B243" s="2711"/>
      <c r="C243" s="53" t="s">
        <v>171</v>
      </c>
      <c r="D243" s="57" t="s">
        <v>172</v>
      </c>
      <c r="E243" s="867">
        <v>4.3251661099067311</v>
      </c>
      <c r="F243" s="867">
        <v>1.292</v>
      </c>
      <c r="G243" s="36" t="str">
        <f t="shared" si="6"/>
        <v>Queensland</v>
      </c>
    </row>
    <row r="244" spans="1:7" x14ac:dyDescent="0.2">
      <c r="A244" s="444" t="s">
        <v>159</v>
      </c>
      <c r="B244" s="2711"/>
      <c r="C244" s="53" t="s">
        <v>173</v>
      </c>
      <c r="D244" s="57" t="s">
        <v>174</v>
      </c>
      <c r="E244" s="867">
        <v>0.45550118520805044</v>
      </c>
      <c r="F244" s="867">
        <v>0.12299999999999998</v>
      </c>
      <c r="G244" s="36" t="str">
        <f t="shared" si="6"/>
        <v>Queensland</v>
      </c>
    </row>
    <row r="245" spans="1:7" x14ac:dyDescent="0.2">
      <c r="A245" s="444" t="s">
        <v>159</v>
      </c>
      <c r="B245" s="2711"/>
      <c r="C245" s="53" t="s">
        <v>175</v>
      </c>
      <c r="D245" s="57" t="s">
        <v>176</v>
      </c>
      <c r="E245" s="867">
        <v>9.9999999999999995E-7</v>
      </c>
      <c r="F245" s="867">
        <v>0</v>
      </c>
      <c r="G245" s="36" t="str">
        <f t="shared" si="6"/>
        <v>Queensland</v>
      </c>
    </row>
    <row r="246" spans="1:7" x14ac:dyDescent="0.2">
      <c r="A246" s="444" t="s">
        <v>159</v>
      </c>
      <c r="B246" s="2711"/>
      <c r="C246" s="53" t="s">
        <v>177</v>
      </c>
      <c r="D246" s="57" t="s">
        <v>178</v>
      </c>
      <c r="E246" s="867">
        <v>6.6666666666666671E-7</v>
      </c>
      <c r="F246" s="867">
        <v>0</v>
      </c>
      <c r="G246" s="36" t="str">
        <f t="shared" si="6"/>
        <v>Queensland</v>
      </c>
    </row>
    <row r="247" spans="1:7" x14ac:dyDescent="0.2">
      <c r="A247" s="444" t="s">
        <v>159</v>
      </c>
      <c r="B247" s="2711"/>
      <c r="C247" s="53" t="s">
        <v>179</v>
      </c>
      <c r="D247" s="57" t="s">
        <v>180</v>
      </c>
      <c r="E247" s="867">
        <v>319.54905507936212</v>
      </c>
      <c r="F247" s="867">
        <v>207.03356000000002</v>
      </c>
      <c r="G247" s="36" t="str">
        <f t="shared" si="6"/>
        <v>Queensland</v>
      </c>
    </row>
    <row r="248" spans="1:7" x14ac:dyDescent="0.2">
      <c r="A248" s="444" t="s">
        <v>159</v>
      </c>
      <c r="B248" s="2711"/>
      <c r="C248" s="53" t="s">
        <v>181</v>
      </c>
      <c r="D248" s="57" t="s">
        <v>182</v>
      </c>
      <c r="E248" s="867"/>
      <c r="F248" s="867"/>
      <c r="G248" s="36" t="str">
        <f t="shared" si="6"/>
        <v>Queensland</v>
      </c>
    </row>
    <row r="249" spans="1:7" x14ac:dyDescent="0.2">
      <c r="A249" s="444" t="s">
        <v>159</v>
      </c>
      <c r="B249" s="2711"/>
      <c r="C249" s="53" t="s">
        <v>183</v>
      </c>
      <c r="D249" s="57" t="s">
        <v>184</v>
      </c>
      <c r="E249" s="867">
        <v>98.169868402972511</v>
      </c>
      <c r="F249" s="867">
        <v>148.36500000000001</v>
      </c>
      <c r="G249" s="36" t="str">
        <f t="shared" si="6"/>
        <v>Queensland</v>
      </c>
    </row>
    <row r="250" spans="1:7" x14ac:dyDescent="0.2">
      <c r="A250" s="444" t="s">
        <v>159</v>
      </c>
      <c r="B250" s="2711"/>
      <c r="C250" s="53" t="s">
        <v>185</v>
      </c>
      <c r="D250" s="57" t="s">
        <v>186</v>
      </c>
      <c r="E250" s="867">
        <v>3652.3778166381803</v>
      </c>
      <c r="F250" s="867">
        <v>7895.9792099999995</v>
      </c>
      <c r="G250" s="36" t="str">
        <f t="shared" si="6"/>
        <v>Queensland</v>
      </c>
    </row>
    <row r="251" spans="1:7" x14ac:dyDescent="0.2">
      <c r="A251" s="444" t="s">
        <v>159</v>
      </c>
      <c r="B251" s="2711"/>
      <c r="C251" s="53" t="s">
        <v>187</v>
      </c>
      <c r="D251" s="57" t="s">
        <v>188</v>
      </c>
      <c r="E251" s="867">
        <v>140.345001</v>
      </c>
      <c r="F251" s="867">
        <v>233.18</v>
      </c>
      <c r="G251" s="36" t="str">
        <f t="shared" si="6"/>
        <v>Queensland</v>
      </c>
    </row>
    <row r="252" spans="1:7" x14ac:dyDescent="0.2">
      <c r="A252" s="444" t="s">
        <v>159</v>
      </c>
      <c r="B252" s="2711"/>
      <c r="C252" s="53" t="s">
        <v>189</v>
      </c>
      <c r="D252" s="57" t="s">
        <v>190</v>
      </c>
      <c r="E252" s="867">
        <v>9.9999999999999995E-7</v>
      </c>
      <c r="F252" s="867">
        <v>0</v>
      </c>
      <c r="G252" s="36" t="str">
        <f t="shared" si="6"/>
        <v>Queensland</v>
      </c>
    </row>
    <row r="253" spans="1:7" x14ac:dyDescent="0.2">
      <c r="A253" s="444" t="s">
        <v>159</v>
      </c>
      <c r="B253" s="2711"/>
      <c r="C253" s="53" t="s">
        <v>191</v>
      </c>
      <c r="D253" s="57" t="s">
        <v>192</v>
      </c>
      <c r="E253" s="867">
        <v>10.220001</v>
      </c>
      <c r="F253" s="867">
        <v>0</v>
      </c>
      <c r="G253" s="36" t="str">
        <f t="shared" si="6"/>
        <v>Queensland</v>
      </c>
    </row>
    <row r="254" spans="1:7" x14ac:dyDescent="0.2">
      <c r="A254" s="444" t="s">
        <v>159</v>
      </c>
      <c r="B254" s="2711"/>
      <c r="C254" s="53" t="s">
        <v>193</v>
      </c>
      <c r="D254" s="57" t="s">
        <v>194</v>
      </c>
      <c r="E254" s="867">
        <v>12.800001</v>
      </c>
      <c r="F254" s="867">
        <v>84.003</v>
      </c>
      <c r="G254" s="36" t="str">
        <f t="shared" si="6"/>
        <v>Queensland</v>
      </c>
    </row>
    <row r="255" spans="1:7" x14ac:dyDescent="0.2">
      <c r="A255" s="444" t="s">
        <v>159</v>
      </c>
      <c r="B255" s="2711"/>
      <c r="C255" s="53" t="s">
        <v>195</v>
      </c>
      <c r="D255" s="57" t="s">
        <v>196</v>
      </c>
      <c r="E255" s="867">
        <v>9.9883449883449883E-7</v>
      </c>
      <c r="F255" s="867">
        <v>0</v>
      </c>
      <c r="G255" s="36" t="str">
        <f t="shared" si="6"/>
        <v>Queensland</v>
      </c>
    </row>
    <row r="256" spans="1:7" x14ac:dyDescent="0.2">
      <c r="A256" s="444" t="s">
        <v>159</v>
      </c>
      <c r="B256" s="2711"/>
      <c r="C256" s="53" t="s">
        <v>197</v>
      </c>
      <c r="D256" s="57" t="s">
        <v>198</v>
      </c>
      <c r="E256" s="867">
        <v>9844.911229613359</v>
      </c>
      <c r="F256" s="867">
        <v>10282.335999999999</v>
      </c>
      <c r="G256" s="36" t="str">
        <f t="shared" si="6"/>
        <v>Queensland</v>
      </c>
    </row>
    <row r="257" spans="1:7" x14ac:dyDescent="0.2">
      <c r="A257" s="444" t="s">
        <v>159</v>
      </c>
      <c r="B257" s="2711"/>
      <c r="C257" s="53" t="s">
        <v>199</v>
      </c>
      <c r="D257" s="57" t="s">
        <v>200</v>
      </c>
      <c r="E257" s="867">
        <v>9.9999999999999995E-7</v>
      </c>
      <c r="F257" s="867">
        <v>0</v>
      </c>
      <c r="G257" s="36" t="str">
        <f t="shared" si="6"/>
        <v>Queensland</v>
      </c>
    </row>
    <row r="258" spans="1:7" x14ac:dyDescent="0.2">
      <c r="A258" s="444" t="s">
        <v>159</v>
      </c>
      <c r="B258" s="2711"/>
      <c r="C258" s="53" t="s">
        <v>201</v>
      </c>
      <c r="D258" s="57" t="s">
        <v>202</v>
      </c>
      <c r="E258" s="867">
        <v>328.60755478612361</v>
      </c>
      <c r="F258" s="867">
        <v>94.316800000000001</v>
      </c>
      <c r="G258" s="36" t="str">
        <f t="shared" si="6"/>
        <v>Queensland</v>
      </c>
    </row>
    <row r="259" spans="1:7" x14ac:dyDescent="0.2">
      <c r="A259" s="444" t="s">
        <v>159</v>
      </c>
      <c r="B259" s="2711"/>
      <c r="C259" s="53" t="s">
        <v>203</v>
      </c>
      <c r="D259" s="57" t="s">
        <v>204</v>
      </c>
      <c r="E259" s="867">
        <v>8.1228668941979518E-7</v>
      </c>
      <c r="F259" s="867">
        <v>2.5000000000000001E-2</v>
      </c>
      <c r="G259" s="36" t="str">
        <f t="shared" si="6"/>
        <v>Queensland</v>
      </c>
    </row>
    <row r="260" spans="1:7" x14ac:dyDescent="0.2">
      <c r="A260" s="444" t="s">
        <v>159</v>
      </c>
      <c r="B260" s="2711"/>
      <c r="C260" s="53" t="s">
        <v>205</v>
      </c>
      <c r="D260" s="57" t="s">
        <v>206</v>
      </c>
      <c r="E260" s="867">
        <v>3.6041690719598023</v>
      </c>
      <c r="F260" s="867">
        <v>7.5470000000000006</v>
      </c>
      <c r="G260" s="36" t="str">
        <f t="shared" si="6"/>
        <v>Queensland</v>
      </c>
    </row>
    <row r="261" spans="1:7" x14ac:dyDescent="0.2">
      <c r="A261" s="444" t="s">
        <v>159</v>
      </c>
      <c r="B261" s="2712"/>
      <c r="C261" s="53" t="s">
        <v>207</v>
      </c>
      <c r="D261" s="57" t="s">
        <v>208</v>
      </c>
      <c r="E261" s="867">
        <v>74.452206142812301</v>
      </c>
      <c r="F261" s="867">
        <v>77.38</v>
      </c>
      <c r="G261" s="36" t="str">
        <f t="shared" si="6"/>
        <v>Queensland</v>
      </c>
    </row>
    <row r="262" spans="1:7" x14ac:dyDescent="0.2">
      <c r="A262" s="444" t="s">
        <v>209</v>
      </c>
      <c r="B262" s="54" t="s">
        <v>210</v>
      </c>
      <c r="C262" s="53" t="s">
        <v>211</v>
      </c>
      <c r="D262" s="57" t="s">
        <v>212</v>
      </c>
      <c r="E262" s="867">
        <v>173.11366172185635</v>
      </c>
      <c r="F262" s="867">
        <v>25.51</v>
      </c>
      <c r="G262" s="36" t="str">
        <f t="shared" si="6"/>
        <v>Queensland</v>
      </c>
    </row>
    <row r="263" spans="1:7" x14ac:dyDescent="0.2">
      <c r="A263" s="444" t="s">
        <v>213</v>
      </c>
      <c r="B263" s="2710" t="s">
        <v>214</v>
      </c>
      <c r="C263" s="53" t="s">
        <v>215</v>
      </c>
      <c r="D263" s="57" t="s">
        <v>216</v>
      </c>
      <c r="E263" s="867">
        <v>4137.3557815705944</v>
      </c>
      <c r="F263" s="867">
        <v>18114.206800000004</v>
      </c>
      <c r="G263" s="36" t="str">
        <f t="shared" si="6"/>
        <v>Queensland</v>
      </c>
    </row>
    <row r="264" spans="1:7" x14ac:dyDescent="0.2">
      <c r="A264" s="444" t="s">
        <v>213</v>
      </c>
      <c r="B264" s="2712"/>
      <c r="C264" s="53" t="s">
        <v>217</v>
      </c>
      <c r="D264" s="57" t="s">
        <v>218</v>
      </c>
      <c r="E264" s="867">
        <v>607.32144627232458</v>
      </c>
      <c r="F264" s="867">
        <v>268.4513</v>
      </c>
      <c r="G264" s="36" t="str">
        <f t="shared" si="6"/>
        <v>Queensland</v>
      </c>
    </row>
    <row r="265" spans="1:7" x14ac:dyDescent="0.2">
      <c r="A265" s="444" t="s">
        <v>219</v>
      </c>
      <c r="B265" s="2710" t="s">
        <v>220</v>
      </c>
      <c r="C265" s="53" t="s">
        <v>221</v>
      </c>
      <c r="D265" s="57" t="s">
        <v>222</v>
      </c>
      <c r="E265" s="867">
        <v>57.890181942531996</v>
      </c>
      <c r="F265" s="867">
        <v>23.915999999999997</v>
      </c>
      <c r="G265" s="36" t="str">
        <f t="shared" si="6"/>
        <v>Queensland</v>
      </c>
    </row>
    <row r="266" spans="1:7" x14ac:dyDescent="0.2">
      <c r="A266" s="444" t="s">
        <v>219</v>
      </c>
      <c r="B266" s="2711"/>
      <c r="C266" s="53" t="s">
        <v>223</v>
      </c>
      <c r="D266" s="57" t="s">
        <v>224</v>
      </c>
      <c r="E266" s="867">
        <v>632.36310263222026</v>
      </c>
      <c r="F266" s="867">
        <v>526.55492000000004</v>
      </c>
      <c r="G266" s="36" t="str">
        <f t="shared" si="6"/>
        <v>Queensland</v>
      </c>
    </row>
    <row r="267" spans="1:7" x14ac:dyDescent="0.2">
      <c r="A267" s="444" t="s">
        <v>219</v>
      </c>
      <c r="B267" s="2711"/>
      <c r="C267" s="53" t="s">
        <v>225</v>
      </c>
      <c r="D267" s="57" t="s">
        <v>226</v>
      </c>
      <c r="E267" s="867">
        <v>12.968503726240925</v>
      </c>
      <c r="F267" s="867">
        <v>8.6374999999999993</v>
      </c>
      <c r="G267" s="36" t="str">
        <f t="shared" si="6"/>
        <v>Queensland</v>
      </c>
    </row>
    <row r="268" spans="1:7" x14ac:dyDescent="0.2">
      <c r="A268" s="444" t="s">
        <v>219</v>
      </c>
      <c r="B268" s="2712"/>
      <c r="C268" s="53" t="s">
        <v>227</v>
      </c>
      <c r="D268" s="57" t="s">
        <v>228</v>
      </c>
      <c r="E268" s="867">
        <v>541.80125846967178</v>
      </c>
      <c r="F268" s="867">
        <v>236.62299999999999</v>
      </c>
      <c r="G268" s="36" t="str">
        <f t="shared" si="6"/>
        <v>Queensland</v>
      </c>
    </row>
    <row r="269" spans="1:7" x14ac:dyDescent="0.2">
      <c r="A269" s="444" t="s">
        <v>229</v>
      </c>
      <c r="B269" s="2710" t="s">
        <v>230</v>
      </c>
      <c r="C269" s="53" t="s">
        <v>231</v>
      </c>
      <c r="D269" s="57" t="s">
        <v>232</v>
      </c>
      <c r="E269" s="867">
        <v>611.40568103339729</v>
      </c>
      <c r="F269" s="867">
        <v>325.97000000000003</v>
      </c>
      <c r="G269" s="36" t="str">
        <f t="shared" si="6"/>
        <v>Queensland</v>
      </c>
    </row>
    <row r="270" spans="1:7" x14ac:dyDescent="0.2">
      <c r="A270" s="444" t="s">
        <v>229</v>
      </c>
      <c r="B270" s="2711"/>
      <c r="C270" s="53" t="s">
        <v>233</v>
      </c>
      <c r="D270" s="57" t="s">
        <v>234</v>
      </c>
      <c r="E270" s="867">
        <v>12.488208795484105</v>
      </c>
      <c r="F270" s="867">
        <v>3.1</v>
      </c>
      <c r="G270" s="36" t="str">
        <f t="shared" si="6"/>
        <v>Queensland</v>
      </c>
    </row>
    <row r="271" spans="1:7" x14ac:dyDescent="0.2">
      <c r="A271" s="444" t="s">
        <v>229</v>
      </c>
      <c r="B271" s="2712"/>
      <c r="C271" s="53" t="s">
        <v>235</v>
      </c>
      <c r="D271" s="57" t="s">
        <v>236</v>
      </c>
      <c r="E271" s="867">
        <v>10.340001000000001</v>
      </c>
      <c r="F271" s="867">
        <v>233.05199999999999</v>
      </c>
      <c r="G271" s="36" t="str">
        <f t="shared" si="6"/>
        <v>Queensland</v>
      </c>
    </row>
    <row r="272" spans="1:7" x14ac:dyDescent="0.2">
      <c r="A272" s="444" t="s">
        <v>237</v>
      </c>
      <c r="B272" s="2710" t="s">
        <v>238</v>
      </c>
      <c r="C272" s="53" t="s">
        <v>239</v>
      </c>
      <c r="D272" s="57" t="s">
        <v>240</v>
      </c>
      <c r="E272" s="867">
        <v>18758.473989979393</v>
      </c>
      <c r="F272" s="867">
        <v>28550.93649</v>
      </c>
      <c r="G272" s="36" t="str">
        <f t="shared" si="6"/>
        <v>Queensland</v>
      </c>
    </row>
    <row r="273" spans="1:7" x14ac:dyDescent="0.2">
      <c r="A273" s="444" t="s">
        <v>237</v>
      </c>
      <c r="B273" s="2711"/>
      <c r="C273" s="53" t="s">
        <v>241</v>
      </c>
      <c r="D273" s="57" t="s">
        <v>242</v>
      </c>
      <c r="E273" s="867">
        <v>91228.903181725458</v>
      </c>
      <c r="F273" s="867">
        <v>81867.194000000003</v>
      </c>
      <c r="G273" s="36" t="str">
        <f t="shared" si="6"/>
        <v>Queensland</v>
      </c>
    </row>
    <row r="274" spans="1:7" x14ac:dyDescent="0.2">
      <c r="A274" s="444" t="s">
        <v>237</v>
      </c>
      <c r="B274" s="2712"/>
      <c r="C274" s="53" t="s">
        <v>243</v>
      </c>
      <c r="D274" s="57" t="s">
        <v>244</v>
      </c>
      <c r="E274" s="867">
        <v>50.01001621018311</v>
      </c>
      <c r="F274" s="867">
        <v>28.28</v>
      </c>
      <c r="G274" s="36" t="str">
        <f t="shared" si="6"/>
        <v>Queensland</v>
      </c>
    </row>
    <row r="275" spans="1:7" x14ac:dyDescent="0.2">
      <c r="A275" s="444" t="s">
        <v>245</v>
      </c>
      <c r="B275" s="2710" t="s">
        <v>246</v>
      </c>
      <c r="C275" s="53" t="s">
        <v>247</v>
      </c>
      <c r="D275" s="57" t="s">
        <v>248</v>
      </c>
      <c r="E275" s="867">
        <v>35298.716951686707</v>
      </c>
      <c r="F275" s="867">
        <v>94050.4712</v>
      </c>
      <c r="G275" s="36" t="str">
        <f t="shared" si="6"/>
        <v>Queensland</v>
      </c>
    </row>
    <row r="276" spans="1:7" x14ac:dyDescent="0.2">
      <c r="A276" s="444" t="s">
        <v>245</v>
      </c>
      <c r="B276" s="2711"/>
      <c r="C276" s="53" t="s">
        <v>249</v>
      </c>
      <c r="D276" s="57" t="s">
        <v>250</v>
      </c>
      <c r="E276" s="867">
        <v>80509.539554983567</v>
      </c>
      <c r="F276" s="867">
        <v>66537.168700000009</v>
      </c>
      <c r="G276" s="36" t="str">
        <f t="shared" si="6"/>
        <v>Queensland</v>
      </c>
    </row>
    <row r="277" spans="1:7" x14ac:dyDescent="0.2">
      <c r="A277" s="444" t="s">
        <v>245</v>
      </c>
      <c r="B277" s="2711"/>
      <c r="C277" s="53" t="s">
        <v>251</v>
      </c>
      <c r="D277" s="57" t="s">
        <v>252</v>
      </c>
      <c r="E277" s="867">
        <v>2812.3049687230659</v>
      </c>
      <c r="F277" s="867">
        <v>3658.683</v>
      </c>
      <c r="G277" s="36" t="str">
        <f t="shared" si="6"/>
        <v>Queensland</v>
      </c>
    </row>
    <row r="278" spans="1:7" x14ac:dyDescent="0.2">
      <c r="A278" s="444" t="s">
        <v>245</v>
      </c>
      <c r="B278" s="2712"/>
      <c r="C278" s="53" t="s">
        <v>253</v>
      </c>
      <c r="D278" s="57" t="s">
        <v>254</v>
      </c>
      <c r="E278" s="867">
        <v>0.10000100000000001</v>
      </c>
      <c r="F278" s="867">
        <v>60.85</v>
      </c>
      <c r="G278" s="36" t="str">
        <f t="shared" si="6"/>
        <v>Queensland</v>
      </c>
    </row>
    <row r="279" spans="1:7" ht="25.5" x14ac:dyDescent="0.2">
      <c r="A279" s="444" t="s">
        <v>255</v>
      </c>
      <c r="B279" s="2710" t="s">
        <v>256</v>
      </c>
      <c r="C279" s="53" t="s">
        <v>257</v>
      </c>
      <c r="D279" s="58" t="s">
        <v>258</v>
      </c>
      <c r="E279" s="867">
        <v>1279.2547398268821</v>
      </c>
      <c r="F279" s="867">
        <v>443.851</v>
      </c>
      <c r="G279" s="36" t="str">
        <f t="shared" si="6"/>
        <v>Queensland</v>
      </c>
    </row>
    <row r="280" spans="1:7" x14ac:dyDescent="0.2">
      <c r="A280" s="444" t="s">
        <v>255</v>
      </c>
      <c r="B280" s="2711"/>
      <c r="C280" s="53" t="s">
        <v>259</v>
      </c>
      <c r="D280" s="57" t="s">
        <v>260</v>
      </c>
      <c r="E280" s="867">
        <v>376.01577295734796</v>
      </c>
      <c r="F280" s="867">
        <v>388.54</v>
      </c>
      <c r="G280" s="36" t="str">
        <f t="shared" si="6"/>
        <v>Queensland</v>
      </c>
    </row>
    <row r="281" spans="1:7" x14ac:dyDescent="0.2">
      <c r="A281" s="444" t="s">
        <v>255</v>
      </c>
      <c r="B281" s="2711"/>
      <c r="C281" s="53" t="s">
        <v>261</v>
      </c>
      <c r="D281" s="57" t="s">
        <v>262</v>
      </c>
      <c r="E281" s="867">
        <v>45.438103139033835</v>
      </c>
      <c r="F281" s="867">
        <v>0.4</v>
      </c>
      <c r="G281" s="36" t="str">
        <f t="shared" si="6"/>
        <v>Queensland</v>
      </c>
    </row>
    <row r="282" spans="1:7" x14ac:dyDescent="0.2">
      <c r="A282" s="444" t="s">
        <v>255</v>
      </c>
      <c r="B282" s="2711"/>
      <c r="C282" s="53" t="s">
        <v>263</v>
      </c>
      <c r="D282" s="57" t="s">
        <v>264</v>
      </c>
      <c r="E282" s="867">
        <v>9.9999999999999995E-7</v>
      </c>
      <c r="F282" s="867">
        <v>0</v>
      </c>
      <c r="G282" s="36" t="str">
        <f t="shared" si="6"/>
        <v>Queensland</v>
      </c>
    </row>
    <row r="283" spans="1:7" x14ac:dyDescent="0.2">
      <c r="A283" s="444" t="s">
        <v>255</v>
      </c>
      <c r="B283" s="2711"/>
      <c r="C283" s="53" t="s">
        <v>265</v>
      </c>
      <c r="D283" s="57" t="s">
        <v>266</v>
      </c>
      <c r="E283" s="867">
        <v>9.9999999999999995E-7</v>
      </c>
      <c r="F283" s="867">
        <v>0</v>
      </c>
      <c r="G283" s="36" t="str">
        <f t="shared" si="6"/>
        <v>Queensland</v>
      </c>
    </row>
    <row r="284" spans="1:7" x14ac:dyDescent="0.2">
      <c r="A284" s="444" t="s">
        <v>255</v>
      </c>
      <c r="B284" s="2711"/>
      <c r="C284" s="53" t="s">
        <v>267</v>
      </c>
      <c r="D284" s="57" t="s">
        <v>268</v>
      </c>
      <c r="E284" s="867">
        <v>2.7000010000000003</v>
      </c>
      <c r="F284" s="867">
        <v>4.0000000000000001E-3</v>
      </c>
      <c r="G284" s="36" t="str">
        <f t="shared" si="6"/>
        <v>Queensland</v>
      </c>
    </row>
    <row r="285" spans="1:7" x14ac:dyDescent="0.2">
      <c r="A285" s="444" t="s">
        <v>255</v>
      </c>
      <c r="B285" s="2711"/>
      <c r="C285" s="53" t="s">
        <v>269</v>
      </c>
      <c r="D285" s="57" t="s">
        <v>270</v>
      </c>
      <c r="E285" s="867">
        <v>144.50750865530915</v>
      </c>
      <c r="F285" s="867">
        <v>10.08</v>
      </c>
      <c r="G285" s="36" t="str">
        <f t="shared" si="6"/>
        <v>Queensland</v>
      </c>
    </row>
    <row r="286" spans="1:7" x14ac:dyDescent="0.2">
      <c r="A286" s="444" t="s">
        <v>255</v>
      </c>
      <c r="B286" s="2711"/>
      <c r="C286" s="53" t="s">
        <v>271</v>
      </c>
      <c r="D286" s="57" t="s">
        <v>272</v>
      </c>
      <c r="E286" s="867">
        <v>106.52000099999999</v>
      </c>
      <c r="F286" s="867">
        <v>127.96</v>
      </c>
      <c r="G286" s="36" t="str">
        <f t="shared" si="6"/>
        <v>Queensland</v>
      </c>
    </row>
    <row r="287" spans="1:7" ht="25.5" x14ac:dyDescent="0.2">
      <c r="A287" s="444" t="s">
        <v>255</v>
      </c>
      <c r="B287" s="2711"/>
      <c r="C287" s="53" t="s">
        <v>273</v>
      </c>
      <c r="D287" s="58" t="s">
        <v>274</v>
      </c>
      <c r="E287" s="867">
        <v>168.0673535724867</v>
      </c>
      <c r="F287" s="867">
        <v>4181.9800000000005</v>
      </c>
      <c r="G287" s="36" t="str">
        <f t="shared" si="6"/>
        <v>Queensland</v>
      </c>
    </row>
    <row r="288" spans="1:7" x14ac:dyDescent="0.2">
      <c r="A288" s="444" t="s">
        <v>255</v>
      </c>
      <c r="B288" s="2712"/>
      <c r="C288" s="53" t="s">
        <v>275</v>
      </c>
      <c r="D288" s="57" t="s">
        <v>276</v>
      </c>
      <c r="E288" s="867">
        <v>9.9875958684318574E-7</v>
      </c>
      <c r="F288" s="867">
        <v>0</v>
      </c>
      <c r="G288" s="36" t="str">
        <f t="shared" si="6"/>
        <v>Queensland</v>
      </c>
    </row>
    <row r="289" spans="1:7" x14ac:dyDescent="0.2">
      <c r="A289" s="444" t="s">
        <v>277</v>
      </c>
      <c r="B289" s="2710" t="s">
        <v>278</v>
      </c>
      <c r="C289" s="53" t="s">
        <v>279</v>
      </c>
      <c r="D289" s="57" t="s">
        <v>280</v>
      </c>
      <c r="E289" s="867" t="s">
        <v>319</v>
      </c>
      <c r="F289" s="867">
        <v>1107.0574999999999</v>
      </c>
      <c r="G289" s="36" t="str">
        <f t="shared" si="6"/>
        <v>Queensland</v>
      </c>
    </row>
    <row r="290" spans="1:7" x14ac:dyDescent="0.2">
      <c r="A290" s="444" t="s">
        <v>277</v>
      </c>
      <c r="B290" s="2711"/>
      <c r="C290" s="53" t="s">
        <v>281</v>
      </c>
      <c r="D290" s="57" t="s">
        <v>282</v>
      </c>
      <c r="E290" s="867">
        <v>161200.5</v>
      </c>
      <c r="F290" s="867">
        <v>210313</v>
      </c>
      <c r="G290" s="36" t="str">
        <f t="shared" si="6"/>
        <v>Queensland</v>
      </c>
    </row>
    <row r="291" spans="1:7" x14ac:dyDescent="0.2">
      <c r="A291" s="444" t="s">
        <v>277</v>
      </c>
      <c r="B291" s="2711"/>
      <c r="C291" s="53" t="s">
        <v>283</v>
      </c>
      <c r="D291" s="57" t="s">
        <v>284</v>
      </c>
      <c r="E291" s="867">
        <v>472.90285800000004</v>
      </c>
      <c r="F291" s="867">
        <v>330.88</v>
      </c>
      <c r="G291" s="36" t="str">
        <f t="shared" si="6"/>
        <v>Queensland</v>
      </c>
    </row>
    <row r="292" spans="1:7" x14ac:dyDescent="0.2">
      <c r="A292" s="444" t="s">
        <v>277</v>
      </c>
      <c r="B292" s="2711"/>
      <c r="C292" s="53" t="s">
        <v>285</v>
      </c>
      <c r="D292" s="57" t="s">
        <v>286</v>
      </c>
      <c r="E292" s="867">
        <v>4079.6653706656643</v>
      </c>
      <c r="F292" s="867">
        <v>2210.7115250000002</v>
      </c>
      <c r="G292" s="36" t="str">
        <f t="shared" si="6"/>
        <v>Queensland</v>
      </c>
    </row>
    <row r="293" spans="1:7" x14ac:dyDescent="0.2">
      <c r="A293" s="444" t="s">
        <v>277</v>
      </c>
      <c r="B293" s="2711"/>
      <c r="C293" s="53" t="s">
        <v>287</v>
      </c>
      <c r="D293" s="57" t="s">
        <v>288</v>
      </c>
      <c r="E293" s="867">
        <v>5005.0966973398445</v>
      </c>
      <c r="F293" s="867">
        <v>3813.0387000000001</v>
      </c>
      <c r="G293" s="36" t="str">
        <f t="shared" si="6"/>
        <v>Queensland</v>
      </c>
    </row>
    <row r="294" spans="1:7" x14ac:dyDescent="0.2">
      <c r="A294" s="444" t="s">
        <v>277</v>
      </c>
      <c r="B294" s="2711"/>
      <c r="C294" s="53" t="s">
        <v>289</v>
      </c>
      <c r="D294" s="57" t="s">
        <v>290</v>
      </c>
      <c r="E294" s="867">
        <v>3695.2900009999971</v>
      </c>
      <c r="F294" s="867">
        <v>2661.77</v>
      </c>
      <c r="G294" s="36" t="str">
        <f t="shared" si="6"/>
        <v>Queensland</v>
      </c>
    </row>
    <row r="295" spans="1:7" x14ac:dyDescent="0.2">
      <c r="A295" s="444" t="s">
        <v>277</v>
      </c>
      <c r="B295" s="2711"/>
      <c r="C295" s="53" t="s">
        <v>291</v>
      </c>
      <c r="D295" s="57" t="s">
        <v>292</v>
      </c>
      <c r="E295" s="867">
        <v>235636.55476923558</v>
      </c>
      <c r="F295" s="867">
        <v>205292.35220204762</v>
      </c>
      <c r="G295" s="36" t="str">
        <f t="shared" si="6"/>
        <v>Queensland</v>
      </c>
    </row>
    <row r="296" spans="1:7" x14ac:dyDescent="0.2">
      <c r="A296" s="444" t="s">
        <v>277</v>
      </c>
      <c r="B296" s="2711"/>
      <c r="C296" s="53" t="s">
        <v>293</v>
      </c>
      <c r="D296" s="57" t="s">
        <v>97</v>
      </c>
      <c r="E296" s="867">
        <v>84602.488931903892</v>
      </c>
      <c r="F296" s="867">
        <v>143279.96221</v>
      </c>
      <c r="G296" s="36" t="str">
        <f t="shared" si="6"/>
        <v>Queensland</v>
      </c>
    </row>
    <row r="297" spans="1:7" x14ac:dyDescent="0.2">
      <c r="A297" s="444" t="s">
        <v>277</v>
      </c>
      <c r="B297" s="2712"/>
      <c r="C297" s="53" t="s">
        <v>294</v>
      </c>
      <c r="D297" s="57" t="s">
        <v>295</v>
      </c>
      <c r="E297" s="867"/>
      <c r="F297" s="867"/>
      <c r="G297" s="36" t="str">
        <f t="shared" si="6"/>
        <v>Queensland</v>
      </c>
    </row>
    <row r="298" spans="1:7" x14ac:dyDescent="0.2">
      <c r="A298" s="444" t="s">
        <v>296</v>
      </c>
      <c r="B298" s="2710" t="s">
        <v>297</v>
      </c>
      <c r="C298" s="53" t="s">
        <v>298</v>
      </c>
      <c r="D298" s="57" t="s">
        <v>299</v>
      </c>
      <c r="E298" s="867">
        <v>12370.490843215635</v>
      </c>
      <c r="F298" s="867">
        <v>24858.806638000002</v>
      </c>
      <c r="G298" s="36" t="str">
        <f t="shared" si="6"/>
        <v>Queensland</v>
      </c>
    </row>
    <row r="299" spans="1:7" x14ac:dyDescent="0.2">
      <c r="A299" s="444" t="s">
        <v>296</v>
      </c>
      <c r="B299" s="2711"/>
      <c r="C299" s="53" t="s">
        <v>300</v>
      </c>
      <c r="D299" s="57" t="s">
        <v>150</v>
      </c>
      <c r="E299" s="867">
        <v>536.68946760481379</v>
      </c>
      <c r="F299" s="867">
        <v>159.24799999999999</v>
      </c>
      <c r="G299" s="36" t="str">
        <f t="shared" ref="G299:G304" si="7">G298</f>
        <v>Queensland</v>
      </c>
    </row>
    <row r="300" spans="1:7" x14ac:dyDescent="0.2">
      <c r="A300" s="444" t="s">
        <v>296</v>
      </c>
      <c r="B300" s="2712"/>
      <c r="C300" s="53" t="s">
        <v>301</v>
      </c>
      <c r="D300" s="57" t="s">
        <v>302</v>
      </c>
      <c r="E300" s="867">
        <v>333.50695108322913</v>
      </c>
      <c r="F300" s="867">
        <v>540.29999999999995</v>
      </c>
      <c r="G300" s="36" t="str">
        <f t="shared" si="7"/>
        <v>Queensland</v>
      </c>
    </row>
    <row r="301" spans="1:7" ht="38.25" x14ac:dyDescent="0.2">
      <c r="A301" s="444" t="s">
        <v>303</v>
      </c>
      <c r="B301" s="2710" t="s">
        <v>304</v>
      </c>
      <c r="C301" s="53" t="s">
        <v>305</v>
      </c>
      <c r="D301" s="58" t="s">
        <v>306</v>
      </c>
      <c r="E301" s="867">
        <v>276.50272486073828</v>
      </c>
      <c r="F301" s="867">
        <v>821.38599999999997</v>
      </c>
      <c r="G301" s="36" t="str">
        <f t="shared" si="7"/>
        <v>Queensland</v>
      </c>
    </row>
    <row r="302" spans="1:7" x14ac:dyDescent="0.2">
      <c r="A302" s="444" t="s">
        <v>303</v>
      </c>
      <c r="B302" s="2711"/>
      <c r="C302" s="53" t="s">
        <v>307</v>
      </c>
      <c r="D302" s="57" t="s">
        <v>308</v>
      </c>
      <c r="E302" s="867">
        <v>79.010663574371279</v>
      </c>
      <c r="F302" s="867">
        <v>25.771000000000001</v>
      </c>
      <c r="G302" s="36" t="str">
        <f t="shared" si="7"/>
        <v>Queensland</v>
      </c>
    </row>
    <row r="303" spans="1:7" x14ac:dyDescent="0.2">
      <c r="A303" s="444" t="s">
        <v>303</v>
      </c>
      <c r="B303" s="2711"/>
      <c r="C303" s="53" t="s">
        <v>309</v>
      </c>
      <c r="D303" s="57" t="s">
        <v>39</v>
      </c>
      <c r="E303" s="867">
        <v>45455.5</v>
      </c>
      <c r="F303" s="867">
        <v>46176.626370546139</v>
      </c>
      <c r="G303" s="36" t="str">
        <f t="shared" si="7"/>
        <v>Queensland</v>
      </c>
    </row>
    <row r="304" spans="1:7" x14ac:dyDescent="0.2">
      <c r="A304" s="444" t="s">
        <v>303</v>
      </c>
      <c r="B304" s="2712"/>
      <c r="C304" s="53" t="s">
        <v>310</v>
      </c>
      <c r="D304" s="57" t="s">
        <v>311</v>
      </c>
      <c r="E304" s="867">
        <v>297.84489284467872</v>
      </c>
      <c r="F304" s="867" t="s">
        <v>319</v>
      </c>
      <c r="G304" s="36" t="str">
        <f t="shared" si="7"/>
        <v>Queensland</v>
      </c>
    </row>
    <row r="305" spans="1:7" x14ac:dyDescent="0.2">
      <c r="E305" s="220"/>
      <c r="F305" s="220"/>
    </row>
    <row r="306" spans="1:7" s="52" customFormat="1" ht="15.75" x14ac:dyDescent="0.25">
      <c r="A306" s="52" t="s">
        <v>315</v>
      </c>
      <c r="E306" s="868"/>
      <c r="F306" s="868"/>
      <c r="G306" s="359"/>
    </row>
    <row r="307" spans="1:7" x14ac:dyDescent="0.2">
      <c r="E307" s="220"/>
      <c r="F307" s="220"/>
    </row>
    <row r="308" spans="1:7" x14ac:dyDescent="0.2">
      <c r="A308" s="444" t="s">
        <v>142</v>
      </c>
      <c r="B308" s="2713" t="s">
        <v>143</v>
      </c>
      <c r="C308" s="59" t="s">
        <v>144</v>
      </c>
      <c r="D308" s="60" t="s">
        <v>145</v>
      </c>
      <c r="E308" s="867">
        <v>115.79</v>
      </c>
      <c r="F308" s="867">
        <v>58.786541280732763</v>
      </c>
      <c r="G308" s="36" t="str">
        <f>SA!B1</f>
        <v>South Australia</v>
      </c>
    </row>
    <row r="309" spans="1:7" x14ac:dyDescent="0.2">
      <c r="A309" s="444" t="s">
        <v>142</v>
      </c>
      <c r="B309" s="2715"/>
      <c r="C309" s="59" t="s">
        <v>146</v>
      </c>
      <c r="D309" s="60" t="s">
        <v>147</v>
      </c>
      <c r="E309" s="867">
        <v>2.16</v>
      </c>
      <c r="F309" s="867">
        <v>0</v>
      </c>
      <c r="G309" s="36" t="str">
        <f>G308</f>
        <v>South Australia</v>
      </c>
    </row>
    <row r="310" spans="1:7" x14ac:dyDescent="0.2">
      <c r="A310" s="444" t="s">
        <v>142</v>
      </c>
      <c r="B310" s="2714"/>
      <c r="C310" s="59" t="s">
        <v>148</v>
      </c>
      <c r="D310" s="60" t="s">
        <v>149</v>
      </c>
      <c r="E310" s="867">
        <v>5.9186750878443046</v>
      </c>
      <c r="F310" s="867">
        <v>1.130482921757715E-3</v>
      </c>
      <c r="G310" s="36" t="str">
        <f t="shared" ref="G310:G373" si="8">G309</f>
        <v>South Australia</v>
      </c>
    </row>
    <row r="311" spans="1:7" x14ac:dyDescent="0.2">
      <c r="A311" s="444" t="s">
        <v>151</v>
      </c>
      <c r="B311" s="55" t="s">
        <v>152</v>
      </c>
      <c r="C311" s="59" t="s">
        <v>153</v>
      </c>
      <c r="D311" s="60" t="s">
        <v>154</v>
      </c>
      <c r="E311" s="867">
        <v>512.49958506131895</v>
      </c>
      <c r="F311" s="867">
        <v>148.24696526311243</v>
      </c>
      <c r="G311" s="36" t="str">
        <f t="shared" si="8"/>
        <v>South Australia</v>
      </c>
    </row>
    <row r="312" spans="1:7" x14ac:dyDescent="0.2">
      <c r="A312" s="444" t="s">
        <v>155</v>
      </c>
      <c r="B312" s="55" t="s">
        <v>156</v>
      </c>
      <c r="C312" s="59" t="s">
        <v>157</v>
      </c>
      <c r="D312" s="60" t="s">
        <v>158</v>
      </c>
      <c r="E312" s="867">
        <v>9731.130609069096</v>
      </c>
      <c r="F312" s="867">
        <v>6547.8817067080499</v>
      </c>
      <c r="G312" s="36" t="str">
        <f t="shared" si="8"/>
        <v>South Australia</v>
      </c>
    </row>
    <row r="313" spans="1:7" x14ac:dyDescent="0.2">
      <c r="A313" s="444" t="s">
        <v>159</v>
      </c>
      <c r="B313" s="2713" t="s">
        <v>160</v>
      </c>
      <c r="C313" s="59" t="s">
        <v>161</v>
      </c>
      <c r="D313" s="60" t="s">
        <v>162</v>
      </c>
      <c r="E313" s="867">
        <v>9.9980062007157741E-3</v>
      </c>
      <c r="F313" s="867">
        <v>0</v>
      </c>
      <c r="G313" s="36" t="str">
        <f t="shared" si="8"/>
        <v>South Australia</v>
      </c>
    </row>
    <row r="314" spans="1:7" x14ac:dyDescent="0.2">
      <c r="A314" s="444" t="s">
        <v>159</v>
      </c>
      <c r="B314" s="2715"/>
      <c r="C314" s="59" t="s">
        <v>163</v>
      </c>
      <c r="D314" s="60" t="s">
        <v>164</v>
      </c>
      <c r="E314" s="867">
        <v>2.5273567356735676</v>
      </c>
      <c r="F314" s="867">
        <v>0.14680192552449312</v>
      </c>
      <c r="G314" s="36" t="str">
        <f t="shared" si="8"/>
        <v>South Australia</v>
      </c>
    </row>
    <row r="315" spans="1:7" x14ac:dyDescent="0.2">
      <c r="A315" s="444" t="s">
        <v>159</v>
      </c>
      <c r="B315" s="2715"/>
      <c r="C315" s="59" t="s">
        <v>165</v>
      </c>
      <c r="D315" s="60" t="s">
        <v>166</v>
      </c>
      <c r="E315" s="867">
        <v>161.90073998735534</v>
      </c>
      <c r="F315" s="867">
        <v>9.8637255135910884</v>
      </c>
      <c r="G315" s="36" t="str">
        <f t="shared" si="8"/>
        <v>South Australia</v>
      </c>
    </row>
    <row r="316" spans="1:7" x14ac:dyDescent="0.2">
      <c r="A316" s="444" t="s">
        <v>159</v>
      </c>
      <c r="B316" s="2715"/>
      <c r="C316" s="59" t="s">
        <v>167</v>
      </c>
      <c r="D316" s="60" t="s">
        <v>168</v>
      </c>
      <c r="E316" s="867">
        <v>1.9996145331997048E-2</v>
      </c>
      <c r="F316" s="867">
        <v>1.7755279634935784E-3</v>
      </c>
      <c r="G316" s="36" t="str">
        <f t="shared" si="8"/>
        <v>South Australia</v>
      </c>
    </row>
    <row r="317" spans="1:7" x14ac:dyDescent="0.2">
      <c r="A317" s="444" t="s">
        <v>159</v>
      </c>
      <c r="B317" s="2715"/>
      <c r="C317" s="59" t="s">
        <v>169</v>
      </c>
      <c r="D317" s="60" t="s">
        <v>170</v>
      </c>
      <c r="E317" s="867">
        <v>0</v>
      </c>
      <c r="F317" s="867">
        <v>1.1331435390086</v>
      </c>
      <c r="G317" s="36" t="str">
        <f t="shared" si="8"/>
        <v>South Australia</v>
      </c>
    </row>
    <row r="318" spans="1:7" x14ac:dyDescent="0.2">
      <c r="A318" s="444" t="s">
        <v>159</v>
      </c>
      <c r="B318" s="2715"/>
      <c r="C318" s="59" t="s">
        <v>171</v>
      </c>
      <c r="D318" s="60" t="s">
        <v>172</v>
      </c>
      <c r="E318" s="867">
        <v>1.6961431812452734</v>
      </c>
      <c r="F318" s="867">
        <v>0.27180334839299869</v>
      </c>
      <c r="G318" s="36" t="str">
        <f t="shared" si="8"/>
        <v>South Australia</v>
      </c>
    </row>
    <row r="319" spans="1:7" x14ac:dyDescent="0.2">
      <c r="A319" s="444" t="s">
        <v>159</v>
      </c>
      <c r="B319" s="2715"/>
      <c r="C319" s="59" t="s">
        <v>173</v>
      </c>
      <c r="D319" s="60" t="s">
        <v>174</v>
      </c>
      <c r="E319" s="867">
        <v>0</v>
      </c>
      <c r="F319" s="867">
        <v>2.2517291234288646E-2</v>
      </c>
      <c r="G319" s="36" t="str">
        <f t="shared" si="8"/>
        <v>South Australia</v>
      </c>
    </row>
    <row r="320" spans="1:7" x14ac:dyDescent="0.2">
      <c r="A320" s="444" t="s">
        <v>159</v>
      </c>
      <c r="B320" s="2715"/>
      <c r="C320" s="59" t="s">
        <v>175</v>
      </c>
      <c r="D320" s="60" t="s">
        <v>176</v>
      </c>
      <c r="E320" s="867">
        <v>0</v>
      </c>
      <c r="F320" s="867">
        <v>0</v>
      </c>
      <c r="G320" s="36" t="str">
        <f t="shared" si="8"/>
        <v>South Australia</v>
      </c>
    </row>
    <row r="321" spans="1:7" x14ac:dyDescent="0.2">
      <c r="A321" s="444" t="s">
        <v>159</v>
      </c>
      <c r="B321" s="2715"/>
      <c r="C321" s="59" t="s">
        <v>177</v>
      </c>
      <c r="D321" s="60" t="s">
        <v>178</v>
      </c>
      <c r="E321" s="867">
        <v>0</v>
      </c>
      <c r="F321" s="867">
        <v>0</v>
      </c>
      <c r="G321" s="36" t="str">
        <f t="shared" si="8"/>
        <v>South Australia</v>
      </c>
    </row>
    <row r="322" spans="1:7" x14ac:dyDescent="0.2">
      <c r="A322" s="444" t="s">
        <v>159</v>
      </c>
      <c r="B322" s="2715"/>
      <c r="C322" s="59" t="s">
        <v>179</v>
      </c>
      <c r="D322" s="60" t="s">
        <v>180</v>
      </c>
      <c r="E322" s="867">
        <v>9.5797013052002935</v>
      </c>
      <c r="F322" s="867">
        <v>6.0899453453479264</v>
      </c>
      <c r="G322" s="36" t="str">
        <f t="shared" si="8"/>
        <v>South Australia</v>
      </c>
    </row>
    <row r="323" spans="1:7" x14ac:dyDescent="0.2">
      <c r="A323" s="444" t="s">
        <v>159</v>
      </c>
      <c r="B323" s="2715"/>
      <c r="C323" s="59" t="s">
        <v>181</v>
      </c>
      <c r="D323" s="60" t="s">
        <v>182</v>
      </c>
      <c r="E323" s="867">
        <v>0</v>
      </c>
      <c r="F323" s="867">
        <v>0</v>
      </c>
      <c r="G323" s="36" t="str">
        <f t="shared" si="8"/>
        <v>South Australia</v>
      </c>
    </row>
    <row r="324" spans="1:7" x14ac:dyDescent="0.2">
      <c r="A324" s="444" t="s">
        <v>159</v>
      </c>
      <c r="B324" s="2715"/>
      <c r="C324" s="59" t="s">
        <v>183</v>
      </c>
      <c r="D324" s="60" t="s">
        <v>184</v>
      </c>
      <c r="E324" s="867">
        <v>3.4980237462792116</v>
      </c>
      <c r="F324" s="867">
        <v>0.54803254940107637</v>
      </c>
      <c r="G324" s="36" t="str">
        <f t="shared" si="8"/>
        <v>South Australia</v>
      </c>
    </row>
    <row r="325" spans="1:7" x14ac:dyDescent="0.2">
      <c r="A325" s="444" t="s">
        <v>159</v>
      </c>
      <c r="B325" s="2715"/>
      <c r="C325" s="59" t="s">
        <v>185</v>
      </c>
      <c r="D325" s="60" t="s">
        <v>186</v>
      </c>
      <c r="E325" s="867">
        <v>38670.296361604269</v>
      </c>
      <c r="F325" s="867">
        <v>48588.781313943211</v>
      </c>
      <c r="G325" s="36" t="str">
        <f t="shared" si="8"/>
        <v>South Australia</v>
      </c>
    </row>
    <row r="326" spans="1:7" x14ac:dyDescent="0.2">
      <c r="A326" s="444" t="s">
        <v>159</v>
      </c>
      <c r="B326" s="2715"/>
      <c r="C326" s="59" t="s">
        <v>187</v>
      </c>
      <c r="D326" s="60" t="s">
        <v>188</v>
      </c>
      <c r="E326" s="867">
        <v>46720.69</v>
      </c>
      <c r="F326" s="867">
        <v>34660.745249993532</v>
      </c>
      <c r="G326" s="36" t="str">
        <f t="shared" si="8"/>
        <v>South Australia</v>
      </c>
    </row>
    <row r="327" spans="1:7" x14ac:dyDescent="0.2">
      <c r="A327" s="444" t="s">
        <v>159</v>
      </c>
      <c r="B327" s="2715"/>
      <c r="C327" s="59" t="s">
        <v>189</v>
      </c>
      <c r="D327" s="60" t="s">
        <v>190</v>
      </c>
      <c r="E327" s="867">
        <v>0</v>
      </c>
      <c r="F327" s="867">
        <v>0</v>
      </c>
      <c r="G327" s="36" t="str">
        <f t="shared" si="8"/>
        <v>South Australia</v>
      </c>
    </row>
    <row r="328" spans="1:7" x14ac:dyDescent="0.2">
      <c r="A328" s="444" t="s">
        <v>159</v>
      </c>
      <c r="B328" s="2715"/>
      <c r="C328" s="59" t="s">
        <v>191</v>
      </c>
      <c r="D328" s="60" t="s">
        <v>192</v>
      </c>
      <c r="E328" s="867">
        <v>0</v>
      </c>
      <c r="F328" s="867">
        <v>0</v>
      </c>
      <c r="G328" s="36" t="str">
        <f t="shared" si="8"/>
        <v>South Australia</v>
      </c>
    </row>
    <row r="329" spans="1:7" x14ac:dyDescent="0.2">
      <c r="A329" s="444" t="s">
        <v>159</v>
      </c>
      <c r="B329" s="2715"/>
      <c r="C329" s="59" t="s">
        <v>193</v>
      </c>
      <c r="D329" s="60" t="s">
        <v>194</v>
      </c>
      <c r="E329" s="867">
        <v>0</v>
      </c>
      <c r="F329" s="867">
        <v>0</v>
      </c>
      <c r="G329" s="36" t="str">
        <f t="shared" si="8"/>
        <v>South Australia</v>
      </c>
    </row>
    <row r="330" spans="1:7" x14ac:dyDescent="0.2">
      <c r="A330" s="444" t="s">
        <v>159</v>
      </c>
      <c r="B330" s="2715"/>
      <c r="C330" s="59" t="s">
        <v>195</v>
      </c>
      <c r="D330" s="60" t="s">
        <v>196</v>
      </c>
      <c r="E330" s="867">
        <v>0</v>
      </c>
      <c r="F330" s="867">
        <v>0</v>
      </c>
      <c r="G330" s="36" t="str">
        <f t="shared" si="8"/>
        <v>South Australia</v>
      </c>
    </row>
    <row r="331" spans="1:7" x14ac:dyDescent="0.2">
      <c r="A331" s="444" t="s">
        <v>159</v>
      </c>
      <c r="B331" s="2715"/>
      <c r="C331" s="59" t="s">
        <v>197</v>
      </c>
      <c r="D331" s="60" t="s">
        <v>198</v>
      </c>
      <c r="E331" s="867">
        <v>118.961307972726</v>
      </c>
      <c r="F331" s="867">
        <v>59.241572957185575</v>
      </c>
      <c r="G331" s="36" t="str">
        <f t="shared" si="8"/>
        <v>South Australia</v>
      </c>
    </row>
    <row r="332" spans="1:7" x14ac:dyDescent="0.2">
      <c r="A332" s="444" t="s">
        <v>159</v>
      </c>
      <c r="B332" s="2715"/>
      <c r="C332" s="59" t="s">
        <v>199</v>
      </c>
      <c r="D332" s="60" t="s">
        <v>200</v>
      </c>
      <c r="E332" s="867">
        <v>0</v>
      </c>
      <c r="F332" s="867">
        <v>0</v>
      </c>
      <c r="G332" s="36" t="str">
        <f t="shared" si="8"/>
        <v>South Australia</v>
      </c>
    </row>
    <row r="333" spans="1:7" x14ac:dyDescent="0.2">
      <c r="A333" s="444" t="s">
        <v>159</v>
      </c>
      <c r="B333" s="2715"/>
      <c r="C333" s="59" t="s">
        <v>201</v>
      </c>
      <c r="D333" s="60" t="s">
        <v>202</v>
      </c>
      <c r="E333" s="867">
        <v>0.40987845348392088</v>
      </c>
      <c r="F333" s="867">
        <v>4.9184865853059267E-3</v>
      </c>
      <c r="G333" s="36" t="str">
        <f t="shared" si="8"/>
        <v>South Australia</v>
      </c>
    </row>
    <row r="334" spans="1:7" x14ac:dyDescent="0.2">
      <c r="A334" s="444" t="s">
        <v>159</v>
      </c>
      <c r="B334" s="2715"/>
      <c r="C334" s="59" t="s">
        <v>203</v>
      </c>
      <c r="D334" s="60" t="s">
        <v>204</v>
      </c>
      <c r="E334" s="867">
        <v>0.23556313993174061</v>
      </c>
      <c r="F334" s="867">
        <v>2.143983260739607E-2</v>
      </c>
      <c r="G334" s="36" t="str">
        <f t="shared" si="8"/>
        <v>South Australia</v>
      </c>
    </row>
    <row r="335" spans="1:7" x14ac:dyDescent="0.2">
      <c r="A335" s="444" t="s">
        <v>159</v>
      </c>
      <c r="B335" s="2715"/>
      <c r="C335" s="59" t="s">
        <v>205</v>
      </c>
      <c r="D335" s="60" t="s">
        <v>206</v>
      </c>
      <c r="E335" s="867">
        <v>0</v>
      </c>
      <c r="F335" s="867">
        <v>0</v>
      </c>
      <c r="G335" s="36" t="str">
        <f t="shared" si="8"/>
        <v>South Australia</v>
      </c>
    </row>
    <row r="336" spans="1:7" x14ac:dyDescent="0.2">
      <c r="A336" s="444" t="s">
        <v>159</v>
      </c>
      <c r="B336" s="2714"/>
      <c r="C336" s="59" t="s">
        <v>207</v>
      </c>
      <c r="D336" s="60" t="s">
        <v>208</v>
      </c>
      <c r="E336" s="867">
        <v>2.8699693599976088</v>
      </c>
      <c r="F336" s="867">
        <v>0.4089518890181309</v>
      </c>
      <c r="G336" s="36" t="str">
        <f t="shared" si="8"/>
        <v>South Australia</v>
      </c>
    </row>
    <row r="337" spans="1:7" x14ac:dyDescent="0.2">
      <c r="A337" s="444" t="s">
        <v>209</v>
      </c>
      <c r="B337" s="56" t="s">
        <v>210</v>
      </c>
      <c r="C337" s="59" t="s">
        <v>211</v>
      </c>
      <c r="D337" s="60" t="s">
        <v>212</v>
      </c>
      <c r="E337" s="867">
        <v>55.901011947342894</v>
      </c>
      <c r="F337" s="867">
        <v>1.4434402989474118</v>
      </c>
      <c r="G337" s="36" t="str">
        <f t="shared" si="8"/>
        <v>South Australia</v>
      </c>
    </row>
    <row r="338" spans="1:7" x14ac:dyDescent="0.2">
      <c r="A338" s="444" t="s">
        <v>213</v>
      </c>
      <c r="B338" s="2713" t="s">
        <v>214</v>
      </c>
      <c r="C338" s="59" t="s">
        <v>215</v>
      </c>
      <c r="D338" s="60" t="s">
        <v>216</v>
      </c>
      <c r="E338" s="867">
        <v>992.99559506552009</v>
      </c>
      <c r="F338" s="867">
        <v>876.54472470378141</v>
      </c>
      <c r="G338" s="36" t="str">
        <f t="shared" si="8"/>
        <v>South Australia</v>
      </c>
    </row>
    <row r="339" spans="1:7" x14ac:dyDescent="0.2">
      <c r="A339" s="444" t="s">
        <v>213</v>
      </c>
      <c r="B339" s="2714"/>
      <c r="C339" s="59" t="s">
        <v>217</v>
      </c>
      <c r="D339" s="60" t="s">
        <v>218</v>
      </c>
      <c r="E339" s="867">
        <v>544.99370673105716</v>
      </c>
      <c r="F339" s="867">
        <v>161.81331495481774</v>
      </c>
      <c r="G339" s="36" t="str">
        <f t="shared" si="8"/>
        <v>South Australia</v>
      </c>
    </row>
    <row r="340" spans="1:7" x14ac:dyDescent="0.2">
      <c r="A340" s="444" t="s">
        <v>219</v>
      </c>
      <c r="B340" s="2713" t="s">
        <v>220</v>
      </c>
      <c r="C340" s="59" t="s">
        <v>221</v>
      </c>
      <c r="D340" s="60" t="s">
        <v>222</v>
      </c>
      <c r="E340" s="867">
        <v>0.75781266464225228</v>
      </c>
      <c r="F340" s="867">
        <v>0.33348738623932661</v>
      </c>
      <c r="G340" s="36" t="str">
        <f t="shared" si="8"/>
        <v>South Australia</v>
      </c>
    </row>
    <row r="341" spans="1:7" x14ac:dyDescent="0.2">
      <c r="A341" s="444" t="s">
        <v>219</v>
      </c>
      <c r="B341" s="2715"/>
      <c r="C341" s="59" t="s">
        <v>223</v>
      </c>
      <c r="D341" s="60" t="s">
        <v>224</v>
      </c>
      <c r="E341" s="867">
        <v>115.56899012582157</v>
      </c>
      <c r="F341" s="867">
        <v>42.859449911809833</v>
      </c>
      <c r="G341" s="36" t="str">
        <f t="shared" si="8"/>
        <v>South Australia</v>
      </c>
    </row>
    <row r="342" spans="1:7" x14ac:dyDescent="0.2">
      <c r="A342" s="444" t="s">
        <v>219</v>
      </c>
      <c r="B342" s="2715"/>
      <c r="C342" s="59" t="s">
        <v>225</v>
      </c>
      <c r="D342" s="60" t="s">
        <v>226</v>
      </c>
      <c r="E342" s="867">
        <v>51.614928880471396</v>
      </c>
      <c r="F342" s="867">
        <v>9.297020698251508</v>
      </c>
      <c r="G342" s="36" t="str">
        <f t="shared" si="8"/>
        <v>South Australia</v>
      </c>
    </row>
    <row r="343" spans="1:7" x14ac:dyDescent="0.2">
      <c r="A343" s="444" t="s">
        <v>219</v>
      </c>
      <c r="B343" s="2714"/>
      <c r="C343" s="59" t="s">
        <v>227</v>
      </c>
      <c r="D343" s="60" t="s">
        <v>228</v>
      </c>
      <c r="E343" s="867">
        <v>2.1979483986784563</v>
      </c>
      <c r="F343" s="867">
        <v>2.8137506878813459</v>
      </c>
      <c r="G343" s="36" t="str">
        <f t="shared" si="8"/>
        <v>South Australia</v>
      </c>
    </row>
    <row r="344" spans="1:7" x14ac:dyDescent="0.2">
      <c r="A344" s="444" t="s">
        <v>229</v>
      </c>
      <c r="B344" s="2713" t="s">
        <v>230</v>
      </c>
      <c r="C344" s="59" t="s">
        <v>231</v>
      </c>
      <c r="D344" s="60" t="s">
        <v>232</v>
      </c>
      <c r="E344" s="867">
        <v>3.9553788357460533</v>
      </c>
      <c r="F344" s="867">
        <v>18.131648027906721</v>
      </c>
      <c r="G344" s="36" t="str">
        <f t="shared" si="8"/>
        <v>South Australia</v>
      </c>
    </row>
    <row r="345" spans="1:7" x14ac:dyDescent="0.2">
      <c r="A345" s="444" t="s">
        <v>229</v>
      </c>
      <c r="B345" s="2715"/>
      <c r="C345" s="59" t="s">
        <v>233</v>
      </c>
      <c r="D345" s="60" t="s">
        <v>234</v>
      </c>
      <c r="E345" s="867">
        <v>45.240036082821881</v>
      </c>
      <c r="F345" s="867">
        <v>7.3160853700788564E-2</v>
      </c>
      <c r="G345" s="36" t="str">
        <f t="shared" si="8"/>
        <v>South Australia</v>
      </c>
    </row>
    <row r="346" spans="1:7" x14ac:dyDescent="0.2">
      <c r="A346" s="444" t="s">
        <v>229</v>
      </c>
      <c r="B346" s="2714"/>
      <c r="C346" s="59" t="s">
        <v>235</v>
      </c>
      <c r="D346" s="60" t="s">
        <v>236</v>
      </c>
      <c r="E346" s="867">
        <v>53.93</v>
      </c>
      <c r="F346" s="867">
        <v>247.66170384677548</v>
      </c>
      <c r="G346" s="36" t="str">
        <f t="shared" si="8"/>
        <v>South Australia</v>
      </c>
    </row>
    <row r="347" spans="1:7" x14ac:dyDescent="0.2">
      <c r="A347" s="444" t="s">
        <v>237</v>
      </c>
      <c r="B347" s="2713" t="s">
        <v>238</v>
      </c>
      <c r="C347" s="59" t="s">
        <v>239</v>
      </c>
      <c r="D347" s="60" t="s">
        <v>240</v>
      </c>
      <c r="E347" s="867">
        <v>1028.0095781446519</v>
      </c>
      <c r="F347" s="867">
        <v>2663.8308851424354</v>
      </c>
      <c r="G347" s="36" t="str">
        <f t="shared" si="8"/>
        <v>South Australia</v>
      </c>
    </row>
    <row r="348" spans="1:7" x14ac:dyDescent="0.2">
      <c r="A348" s="444" t="s">
        <v>237</v>
      </c>
      <c r="B348" s="2715"/>
      <c r="C348" s="59" t="s">
        <v>241</v>
      </c>
      <c r="D348" s="60" t="s">
        <v>242</v>
      </c>
      <c r="E348" s="867">
        <v>1848.3373796659096</v>
      </c>
      <c r="F348" s="867">
        <v>766.30304760967351</v>
      </c>
      <c r="G348" s="36" t="str">
        <f t="shared" si="8"/>
        <v>South Australia</v>
      </c>
    </row>
    <row r="349" spans="1:7" x14ac:dyDescent="0.2">
      <c r="A349" s="444" t="s">
        <v>237</v>
      </c>
      <c r="B349" s="2714"/>
      <c r="C349" s="59" t="s">
        <v>243</v>
      </c>
      <c r="D349" s="60" t="s">
        <v>244</v>
      </c>
      <c r="E349" s="867">
        <v>36.755901011299116</v>
      </c>
      <c r="F349" s="867">
        <v>13.458507902290597</v>
      </c>
      <c r="G349" s="36" t="str">
        <f t="shared" si="8"/>
        <v>South Australia</v>
      </c>
    </row>
    <row r="350" spans="1:7" x14ac:dyDescent="0.2">
      <c r="A350" s="444" t="s">
        <v>245</v>
      </c>
      <c r="B350" s="2713" t="s">
        <v>246</v>
      </c>
      <c r="C350" s="59" t="s">
        <v>247</v>
      </c>
      <c r="D350" s="60" t="s">
        <v>248</v>
      </c>
      <c r="E350" s="867">
        <v>8055.8804593185605</v>
      </c>
      <c r="F350" s="867">
        <v>10021.848310206782</v>
      </c>
      <c r="G350" s="36" t="str">
        <f t="shared" si="8"/>
        <v>South Australia</v>
      </c>
    </row>
    <row r="351" spans="1:7" x14ac:dyDescent="0.2">
      <c r="A351" s="444" t="s">
        <v>245</v>
      </c>
      <c r="B351" s="2715"/>
      <c r="C351" s="59" t="s">
        <v>249</v>
      </c>
      <c r="D351" s="60" t="s">
        <v>250</v>
      </c>
      <c r="E351" s="867">
        <v>18213.324306596311</v>
      </c>
      <c r="F351" s="867">
        <v>19639.418699472481</v>
      </c>
      <c r="G351" s="36" t="str">
        <f t="shared" si="8"/>
        <v>South Australia</v>
      </c>
    </row>
    <row r="352" spans="1:7" x14ac:dyDescent="0.2">
      <c r="A352" s="444" t="s">
        <v>245</v>
      </c>
      <c r="B352" s="2715"/>
      <c r="C352" s="59" t="s">
        <v>251</v>
      </c>
      <c r="D352" s="60" t="s">
        <v>252</v>
      </c>
      <c r="E352" s="867"/>
      <c r="F352" s="867"/>
      <c r="G352" s="36" t="str">
        <f t="shared" si="8"/>
        <v>South Australia</v>
      </c>
    </row>
    <row r="353" spans="1:9" x14ac:dyDescent="0.2">
      <c r="A353" s="444" t="s">
        <v>245</v>
      </c>
      <c r="B353" s="2714"/>
      <c r="C353" s="59" t="s">
        <v>253</v>
      </c>
      <c r="D353" s="60" t="s">
        <v>254</v>
      </c>
      <c r="E353" s="867"/>
      <c r="F353" s="867"/>
      <c r="G353" s="36" t="str">
        <f t="shared" si="8"/>
        <v>South Australia</v>
      </c>
    </row>
    <row r="354" spans="1:9" ht="25.5" x14ac:dyDescent="0.2">
      <c r="A354" s="444" t="s">
        <v>255</v>
      </c>
      <c r="B354" s="2713" t="s">
        <v>256</v>
      </c>
      <c r="C354" s="59" t="s">
        <v>257</v>
      </c>
      <c r="D354" s="61" t="s">
        <v>258</v>
      </c>
      <c r="E354" s="867">
        <v>29.173937636061787</v>
      </c>
      <c r="F354" s="867">
        <v>0.10710014326294824</v>
      </c>
      <c r="G354" s="36" t="str">
        <f t="shared" si="8"/>
        <v>South Australia</v>
      </c>
    </row>
    <row r="355" spans="1:9" x14ac:dyDescent="0.2">
      <c r="A355" s="444" t="s">
        <v>255</v>
      </c>
      <c r="B355" s="2715"/>
      <c r="C355" s="59" t="s">
        <v>259</v>
      </c>
      <c r="D355" s="60" t="s">
        <v>260</v>
      </c>
      <c r="E355" s="867">
        <v>0.17994868421333968</v>
      </c>
      <c r="F355" s="867">
        <v>2.9897805570476945E-3</v>
      </c>
      <c r="G355" s="36" t="str">
        <f t="shared" si="8"/>
        <v>South Australia</v>
      </c>
    </row>
    <row r="356" spans="1:9" x14ac:dyDescent="0.2">
      <c r="A356" s="444" t="s">
        <v>255</v>
      </c>
      <c r="B356" s="2715"/>
      <c r="C356" s="59" t="s">
        <v>261</v>
      </c>
      <c r="D356" s="60" t="s">
        <v>262</v>
      </c>
      <c r="E356" s="867">
        <v>1.9864085398950606</v>
      </c>
      <c r="F356" s="867">
        <v>2.3974497756949712E-3</v>
      </c>
      <c r="G356" s="36" t="str">
        <f t="shared" si="8"/>
        <v>South Australia</v>
      </c>
    </row>
    <row r="357" spans="1:9" x14ac:dyDescent="0.2">
      <c r="A357" s="444" t="s">
        <v>255</v>
      </c>
      <c r="B357" s="2715"/>
      <c r="C357" s="59" t="s">
        <v>263</v>
      </c>
      <c r="D357" s="60" t="s">
        <v>264</v>
      </c>
      <c r="E357" s="867">
        <v>0</v>
      </c>
      <c r="F357" s="867">
        <v>0</v>
      </c>
      <c r="G357" s="36" t="str">
        <f t="shared" si="8"/>
        <v>South Australia</v>
      </c>
    </row>
    <row r="358" spans="1:9" x14ac:dyDescent="0.2">
      <c r="A358" s="444" t="s">
        <v>255</v>
      </c>
      <c r="B358" s="2715"/>
      <c r="C358" s="59" t="s">
        <v>265</v>
      </c>
      <c r="D358" s="60" t="s">
        <v>266</v>
      </c>
      <c r="E358" s="867">
        <v>0</v>
      </c>
      <c r="F358" s="867">
        <v>0</v>
      </c>
      <c r="G358" s="36" t="str">
        <f t="shared" si="8"/>
        <v>South Australia</v>
      </c>
    </row>
    <row r="359" spans="1:9" x14ac:dyDescent="0.2">
      <c r="A359" s="444" t="s">
        <v>255</v>
      </c>
      <c r="B359" s="2715"/>
      <c r="C359" s="59" t="s">
        <v>267</v>
      </c>
      <c r="D359" s="60" t="s">
        <v>268</v>
      </c>
      <c r="E359" s="867">
        <v>0</v>
      </c>
      <c r="F359" s="867">
        <v>0</v>
      </c>
      <c r="G359" s="36" t="str">
        <f t="shared" si="8"/>
        <v>South Australia</v>
      </c>
    </row>
    <row r="360" spans="1:9" x14ac:dyDescent="0.2">
      <c r="A360" s="444" t="s">
        <v>255</v>
      </c>
      <c r="B360" s="2715"/>
      <c r="C360" s="59" t="s">
        <v>269</v>
      </c>
      <c r="D360" s="60" t="s">
        <v>270</v>
      </c>
      <c r="E360" s="867">
        <v>19.418225877515052</v>
      </c>
      <c r="F360" s="867">
        <v>3.7845903812913599</v>
      </c>
      <c r="G360" s="36" t="str">
        <f t="shared" si="8"/>
        <v>South Australia</v>
      </c>
    </row>
    <row r="361" spans="1:9" x14ac:dyDescent="0.2">
      <c r="A361" s="444" t="s">
        <v>255</v>
      </c>
      <c r="B361" s="2715"/>
      <c r="C361" s="59" t="s">
        <v>271</v>
      </c>
      <c r="D361" s="60" t="s">
        <v>272</v>
      </c>
      <c r="E361" s="867">
        <v>2055.4</v>
      </c>
      <c r="F361" s="867">
        <v>556.77565199346407</v>
      </c>
      <c r="G361" s="36" t="str">
        <f t="shared" si="8"/>
        <v>South Australia</v>
      </c>
    </row>
    <row r="362" spans="1:9" ht="25.5" x14ac:dyDescent="0.2">
      <c r="A362" s="444" t="s">
        <v>255</v>
      </c>
      <c r="B362" s="2715"/>
      <c r="C362" s="59" t="s">
        <v>273</v>
      </c>
      <c r="D362" s="61" t="s">
        <v>274</v>
      </c>
      <c r="E362" s="867">
        <v>0.13679231083781765</v>
      </c>
      <c r="F362" s="867">
        <v>1.5216114169442916E-4</v>
      </c>
      <c r="G362" s="36" t="str">
        <f t="shared" si="8"/>
        <v>South Australia</v>
      </c>
    </row>
    <row r="363" spans="1:9" x14ac:dyDescent="0.2">
      <c r="A363" s="444" t="s">
        <v>255</v>
      </c>
      <c r="B363" s="2714"/>
      <c r="C363" s="59" t="s">
        <v>275</v>
      </c>
      <c r="D363" s="60" t="s">
        <v>276</v>
      </c>
      <c r="E363" s="867">
        <v>108.66504304853861</v>
      </c>
      <c r="F363" s="867">
        <v>7.9599999999970805E-3</v>
      </c>
      <c r="G363" s="36" t="str">
        <f t="shared" si="8"/>
        <v>South Australia</v>
      </c>
    </row>
    <row r="364" spans="1:9" x14ac:dyDescent="0.2">
      <c r="A364" s="444" t="s">
        <v>277</v>
      </c>
      <c r="B364" s="2713" t="s">
        <v>278</v>
      </c>
      <c r="C364" s="59" t="s">
        <v>279</v>
      </c>
      <c r="D364" s="60" t="s">
        <v>280</v>
      </c>
      <c r="E364" s="867">
        <v>28.915846456049174</v>
      </c>
      <c r="F364" s="867">
        <v>12.76116023054643</v>
      </c>
      <c r="G364" s="36" t="str">
        <f t="shared" si="8"/>
        <v>South Australia</v>
      </c>
    </row>
    <row r="365" spans="1:9" x14ac:dyDescent="0.2">
      <c r="A365" s="444" t="s">
        <v>277</v>
      </c>
      <c r="B365" s="2715"/>
      <c r="C365" s="59" t="s">
        <v>281</v>
      </c>
      <c r="D365" s="60" t="s">
        <v>282</v>
      </c>
      <c r="E365" s="867">
        <v>62533.561616391824</v>
      </c>
      <c r="F365" s="867">
        <v>137083.58609009854</v>
      </c>
      <c r="G365" s="36" t="str">
        <f t="shared" si="8"/>
        <v>South Australia</v>
      </c>
      <c r="I365" s="267"/>
    </row>
    <row r="366" spans="1:9" x14ac:dyDescent="0.2">
      <c r="A366" s="444" t="s">
        <v>277</v>
      </c>
      <c r="B366" s="2715"/>
      <c r="C366" s="59" t="s">
        <v>283</v>
      </c>
      <c r="D366" s="60" t="s">
        <v>284</v>
      </c>
      <c r="E366" s="867">
        <v>0</v>
      </c>
      <c r="F366" s="867">
        <v>9.5770133038867361E-2</v>
      </c>
      <c r="G366" s="36" t="str">
        <f t="shared" si="8"/>
        <v>South Australia</v>
      </c>
    </row>
    <row r="367" spans="1:9" x14ac:dyDescent="0.2">
      <c r="A367" s="444" t="s">
        <v>277</v>
      </c>
      <c r="B367" s="2715"/>
      <c r="C367" s="59" t="s">
        <v>285</v>
      </c>
      <c r="D367" s="60" t="s">
        <v>286</v>
      </c>
      <c r="E367" s="867">
        <v>281.88360670839086</v>
      </c>
      <c r="F367" s="867">
        <v>262.3365819980454</v>
      </c>
      <c r="G367" s="36" t="str">
        <f t="shared" si="8"/>
        <v>South Australia</v>
      </c>
    </row>
    <row r="368" spans="1:9" x14ac:dyDescent="0.2">
      <c r="A368" s="444" t="s">
        <v>277</v>
      </c>
      <c r="B368" s="2715"/>
      <c r="C368" s="59" t="s">
        <v>287</v>
      </c>
      <c r="D368" s="60" t="s">
        <v>288</v>
      </c>
      <c r="E368" s="867">
        <v>12.963172368225454</v>
      </c>
      <c r="F368" s="867">
        <v>21.874205756921263</v>
      </c>
      <c r="G368" s="36" t="str">
        <f t="shared" si="8"/>
        <v>South Australia</v>
      </c>
    </row>
    <row r="369" spans="1:7" x14ac:dyDescent="0.2">
      <c r="A369" s="444" t="s">
        <v>277</v>
      </c>
      <c r="B369" s="2715"/>
      <c r="C369" s="59" t="s">
        <v>289</v>
      </c>
      <c r="D369" s="60" t="s">
        <v>290</v>
      </c>
      <c r="E369" s="867">
        <v>258.42</v>
      </c>
      <c r="F369" s="867">
        <v>229.71450489493725</v>
      </c>
      <c r="G369" s="36" t="str">
        <f t="shared" si="8"/>
        <v>South Australia</v>
      </c>
    </row>
    <row r="370" spans="1:7" x14ac:dyDescent="0.2">
      <c r="A370" s="444" t="s">
        <v>277</v>
      </c>
      <c r="B370" s="2715"/>
      <c r="C370" s="59" t="s">
        <v>291</v>
      </c>
      <c r="D370" s="60" t="s">
        <v>292</v>
      </c>
      <c r="E370" s="867">
        <v>101323.63577438123</v>
      </c>
      <c r="F370" s="867">
        <v>96834.916618571442</v>
      </c>
      <c r="G370" s="36" t="str">
        <f t="shared" si="8"/>
        <v>South Australia</v>
      </c>
    </row>
    <row r="371" spans="1:7" x14ac:dyDescent="0.2">
      <c r="A371" s="444" t="s">
        <v>277</v>
      </c>
      <c r="B371" s="2715"/>
      <c r="C371" s="59" t="s">
        <v>293</v>
      </c>
      <c r="D371" s="60" t="s">
        <v>97</v>
      </c>
      <c r="E371" s="867">
        <v>10017.272571961135</v>
      </c>
      <c r="F371" s="867">
        <v>4333.775113417556</v>
      </c>
      <c r="G371" s="36" t="str">
        <f t="shared" si="8"/>
        <v>South Australia</v>
      </c>
    </row>
    <row r="372" spans="1:7" x14ac:dyDescent="0.2">
      <c r="A372" s="444" t="s">
        <v>277</v>
      </c>
      <c r="B372" s="2714"/>
      <c r="C372" s="59" t="s">
        <v>294</v>
      </c>
      <c r="D372" s="60" t="s">
        <v>295</v>
      </c>
      <c r="E372" s="867">
        <v>1950.8619149477659</v>
      </c>
      <c r="F372" s="867">
        <v>4.5957353164364596</v>
      </c>
      <c r="G372" s="36" t="str">
        <f t="shared" si="8"/>
        <v>South Australia</v>
      </c>
    </row>
    <row r="373" spans="1:7" x14ac:dyDescent="0.2">
      <c r="A373" s="444" t="s">
        <v>296</v>
      </c>
      <c r="B373" s="2713" t="s">
        <v>297</v>
      </c>
      <c r="C373" s="59" t="s">
        <v>298</v>
      </c>
      <c r="D373" s="60" t="s">
        <v>299</v>
      </c>
      <c r="E373" s="867">
        <v>3291.4582792549631</v>
      </c>
      <c r="F373" s="867">
        <v>1891.6936863761387</v>
      </c>
      <c r="G373" s="36" t="str">
        <f t="shared" si="8"/>
        <v>South Australia</v>
      </c>
    </row>
    <row r="374" spans="1:7" x14ac:dyDescent="0.2">
      <c r="A374" s="444" t="s">
        <v>296</v>
      </c>
      <c r="B374" s="2715"/>
      <c r="C374" s="59" t="s">
        <v>300</v>
      </c>
      <c r="D374" s="60" t="s">
        <v>150</v>
      </c>
      <c r="E374" s="867">
        <v>334.91160375132284</v>
      </c>
      <c r="F374" s="867">
        <v>99.740294754470952</v>
      </c>
      <c r="G374" s="36" t="str">
        <f t="shared" ref="G374:G379" si="9">G373</f>
        <v>South Australia</v>
      </c>
    </row>
    <row r="375" spans="1:7" x14ac:dyDescent="0.2">
      <c r="A375" s="444" t="s">
        <v>296</v>
      </c>
      <c r="B375" s="2714"/>
      <c r="C375" s="59" t="s">
        <v>301</v>
      </c>
      <c r="D375" s="60" t="s">
        <v>302</v>
      </c>
      <c r="E375" s="867">
        <v>5.9942309606019029</v>
      </c>
      <c r="F375" s="867">
        <v>7.204214542129475</v>
      </c>
      <c r="G375" s="36" t="str">
        <f t="shared" si="9"/>
        <v>South Australia</v>
      </c>
    </row>
    <row r="376" spans="1:7" ht="38.25" x14ac:dyDescent="0.2">
      <c r="A376" s="444" t="s">
        <v>303</v>
      </c>
      <c r="B376" s="2713" t="s">
        <v>304</v>
      </c>
      <c r="C376" s="59" t="s">
        <v>305</v>
      </c>
      <c r="D376" s="61" t="s">
        <v>306</v>
      </c>
      <c r="E376" s="867">
        <v>153.67585327324005</v>
      </c>
      <c r="F376" s="867">
        <v>91.152796308029494</v>
      </c>
      <c r="G376" s="36" t="str">
        <f t="shared" si="9"/>
        <v>South Australia</v>
      </c>
    </row>
    <row r="377" spans="1:7" x14ac:dyDescent="0.2">
      <c r="A377" s="444" t="s">
        <v>303</v>
      </c>
      <c r="B377" s="2715"/>
      <c r="C377" s="59" t="s">
        <v>307</v>
      </c>
      <c r="D377" s="60" t="s">
        <v>308</v>
      </c>
      <c r="E377" s="867">
        <v>1.5982478010168288</v>
      </c>
      <c r="F377" s="867">
        <v>1.0490418314143746</v>
      </c>
      <c r="G377" s="36" t="str">
        <f t="shared" si="9"/>
        <v>South Australia</v>
      </c>
    </row>
    <row r="378" spans="1:7" x14ac:dyDescent="0.2">
      <c r="A378" s="444" t="s">
        <v>303</v>
      </c>
      <c r="B378" s="2715"/>
      <c r="C378" s="59" t="s">
        <v>309</v>
      </c>
      <c r="D378" s="60" t="s">
        <v>39</v>
      </c>
      <c r="E378" s="867">
        <v>45395.5</v>
      </c>
      <c r="F378" s="867">
        <v>15394.425113464447</v>
      </c>
      <c r="G378" s="36" t="str">
        <f t="shared" si="9"/>
        <v>South Australia</v>
      </c>
    </row>
    <row r="379" spans="1:7" x14ac:dyDescent="0.2">
      <c r="A379" s="444" t="s">
        <v>303</v>
      </c>
      <c r="B379" s="2714"/>
      <c r="C379" s="59" t="s">
        <v>310</v>
      </c>
      <c r="D379" s="60" t="s">
        <v>311</v>
      </c>
      <c r="E379" s="867">
        <v>0</v>
      </c>
      <c r="F379" s="867">
        <v>0</v>
      </c>
      <c r="G379" s="36" t="str">
        <f t="shared" si="9"/>
        <v>South Australia</v>
      </c>
    </row>
    <row r="380" spans="1:7" x14ac:dyDescent="0.2">
      <c r="E380" s="220"/>
      <c r="F380" s="220"/>
    </row>
    <row r="381" spans="1:7" s="52" customFormat="1" ht="15.75" x14ac:dyDescent="0.25">
      <c r="A381" s="52" t="s">
        <v>316</v>
      </c>
      <c r="E381" s="868"/>
      <c r="F381" s="868"/>
      <c r="G381" s="359"/>
    </row>
    <row r="382" spans="1:7" x14ac:dyDescent="0.2">
      <c r="E382" s="220"/>
      <c r="F382" s="220"/>
    </row>
    <row r="383" spans="1:7" x14ac:dyDescent="0.2">
      <c r="A383" s="444" t="s">
        <v>142</v>
      </c>
      <c r="B383" s="2713" t="s">
        <v>143</v>
      </c>
      <c r="C383" s="59" t="s">
        <v>144</v>
      </c>
      <c r="D383" s="60" t="s">
        <v>145</v>
      </c>
      <c r="E383" s="867" t="s">
        <v>319</v>
      </c>
      <c r="F383" s="867" t="s">
        <v>319</v>
      </c>
      <c r="G383" s="36" t="str">
        <f>Tas!B1</f>
        <v>Tasmania</v>
      </c>
    </row>
    <row r="384" spans="1:7" x14ac:dyDescent="0.2">
      <c r="A384" s="444" t="s">
        <v>142</v>
      </c>
      <c r="B384" s="2715"/>
      <c r="C384" s="59" t="s">
        <v>146</v>
      </c>
      <c r="D384" s="60" t="s">
        <v>147</v>
      </c>
      <c r="E384" s="867" t="s">
        <v>319</v>
      </c>
      <c r="F384" s="867" t="s">
        <v>319</v>
      </c>
      <c r="G384" s="36" t="str">
        <f>G383</f>
        <v>Tasmania</v>
      </c>
    </row>
    <row r="385" spans="1:7" x14ac:dyDescent="0.2">
      <c r="A385" s="444" t="s">
        <v>142</v>
      </c>
      <c r="B385" s="2714"/>
      <c r="C385" s="59" t="s">
        <v>148</v>
      </c>
      <c r="D385" s="60" t="s">
        <v>149</v>
      </c>
      <c r="E385" s="867" t="s">
        <v>319</v>
      </c>
      <c r="F385" s="867" t="s">
        <v>319</v>
      </c>
      <c r="G385" s="36" t="str">
        <f t="shared" ref="G385:G448" si="10">G384</f>
        <v>Tasmania</v>
      </c>
    </row>
    <row r="386" spans="1:7" x14ac:dyDescent="0.2">
      <c r="A386" s="444" t="s">
        <v>151</v>
      </c>
      <c r="B386" s="55" t="s">
        <v>152</v>
      </c>
      <c r="C386" s="59" t="s">
        <v>153</v>
      </c>
      <c r="D386" s="60" t="s">
        <v>154</v>
      </c>
      <c r="E386" s="867">
        <v>0.6</v>
      </c>
      <c r="F386" s="867">
        <v>2</v>
      </c>
      <c r="G386" s="36" t="str">
        <f t="shared" si="10"/>
        <v>Tasmania</v>
      </c>
    </row>
    <row r="387" spans="1:7" x14ac:dyDescent="0.2">
      <c r="A387" s="444" t="s">
        <v>155</v>
      </c>
      <c r="B387" s="55" t="s">
        <v>156</v>
      </c>
      <c r="C387" s="59" t="s">
        <v>157</v>
      </c>
      <c r="D387" s="60" t="s">
        <v>158</v>
      </c>
      <c r="E387" s="867">
        <v>1.6</v>
      </c>
      <c r="F387" s="867" t="s">
        <v>319</v>
      </c>
      <c r="G387" s="36" t="str">
        <f t="shared" si="10"/>
        <v>Tasmania</v>
      </c>
    </row>
    <row r="388" spans="1:7" x14ac:dyDescent="0.2">
      <c r="A388" s="444" t="s">
        <v>159</v>
      </c>
      <c r="B388" s="2713" t="s">
        <v>160</v>
      </c>
      <c r="C388" s="59" t="s">
        <v>161</v>
      </c>
      <c r="D388" s="60" t="s">
        <v>162</v>
      </c>
      <c r="E388" s="867" t="s">
        <v>319</v>
      </c>
      <c r="F388" s="867" t="s">
        <v>319</v>
      </c>
      <c r="G388" s="36" t="str">
        <f t="shared" si="10"/>
        <v>Tasmania</v>
      </c>
    </row>
    <row r="389" spans="1:7" x14ac:dyDescent="0.2">
      <c r="A389" s="444" t="s">
        <v>159</v>
      </c>
      <c r="B389" s="2715"/>
      <c r="C389" s="59" t="s">
        <v>163</v>
      </c>
      <c r="D389" s="60" t="s">
        <v>164</v>
      </c>
      <c r="E389" s="867" t="s">
        <v>319</v>
      </c>
      <c r="F389" s="867">
        <v>1980</v>
      </c>
      <c r="G389" s="36" t="str">
        <f t="shared" si="10"/>
        <v>Tasmania</v>
      </c>
    </row>
    <row r="390" spans="1:7" x14ac:dyDescent="0.2">
      <c r="A390" s="444" t="s">
        <v>159</v>
      </c>
      <c r="B390" s="2715"/>
      <c r="C390" s="59" t="s">
        <v>165</v>
      </c>
      <c r="D390" s="60" t="s">
        <v>166</v>
      </c>
      <c r="E390" s="867" t="s">
        <v>319</v>
      </c>
      <c r="F390" s="867" t="s">
        <v>319</v>
      </c>
      <c r="G390" s="36" t="str">
        <f t="shared" si="10"/>
        <v>Tasmania</v>
      </c>
    </row>
    <row r="391" spans="1:7" x14ac:dyDescent="0.2">
      <c r="A391" s="444" t="s">
        <v>159</v>
      </c>
      <c r="B391" s="2715"/>
      <c r="C391" s="59" t="s">
        <v>167</v>
      </c>
      <c r="D391" s="60" t="s">
        <v>168</v>
      </c>
      <c r="E391" s="867" t="s">
        <v>319</v>
      </c>
      <c r="F391" s="867" t="s">
        <v>319</v>
      </c>
      <c r="G391" s="36" t="str">
        <f t="shared" si="10"/>
        <v>Tasmania</v>
      </c>
    </row>
    <row r="392" spans="1:7" x14ac:dyDescent="0.2">
      <c r="A392" s="444" t="s">
        <v>159</v>
      </c>
      <c r="B392" s="2715"/>
      <c r="C392" s="59" t="s">
        <v>169</v>
      </c>
      <c r="D392" s="60" t="s">
        <v>170</v>
      </c>
      <c r="E392" s="867" t="s">
        <v>319</v>
      </c>
      <c r="F392" s="867" t="s">
        <v>319</v>
      </c>
      <c r="G392" s="36" t="str">
        <f t="shared" si="10"/>
        <v>Tasmania</v>
      </c>
    </row>
    <row r="393" spans="1:7" x14ac:dyDescent="0.2">
      <c r="A393" s="444" t="s">
        <v>159</v>
      </c>
      <c r="B393" s="2715"/>
      <c r="C393" s="59" t="s">
        <v>171</v>
      </c>
      <c r="D393" s="60" t="s">
        <v>172</v>
      </c>
      <c r="E393" s="867" t="s">
        <v>319</v>
      </c>
      <c r="F393" s="867" t="s">
        <v>319</v>
      </c>
      <c r="G393" s="36" t="str">
        <f t="shared" si="10"/>
        <v>Tasmania</v>
      </c>
    </row>
    <row r="394" spans="1:7" x14ac:dyDescent="0.2">
      <c r="A394" s="444" t="s">
        <v>159</v>
      </c>
      <c r="B394" s="2715"/>
      <c r="C394" s="59" t="s">
        <v>173</v>
      </c>
      <c r="D394" s="60" t="s">
        <v>174</v>
      </c>
      <c r="E394" s="867" t="s">
        <v>319</v>
      </c>
      <c r="F394" s="867" t="s">
        <v>319</v>
      </c>
      <c r="G394" s="36" t="str">
        <f t="shared" si="10"/>
        <v>Tasmania</v>
      </c>
    </row>
    <row r="395" spans="1:7" x14ac:dyDescent="0.2">
      <c r="A395" s="444" t="s">
        <v>159</v>
      </c>
      <c r="B395" s="2715"/>
      <c r="C395" s="59" t="s">
        <v>175</v>
      </c>
      <c r="D395" s="60" t="s">
        <v>176</v>
      </c>
      <c r="E395" s="867" t="s">
        <v>319</v>
      </c>
      <c r="F395" s="867" t="s">
        <v>319</v>
      </c>
      <c r="G395" s="36" t="str">
        <f t="shared" si="10"/>
        <v>Tasmania</v>
      </c>
    </row>
    <row r="396" spans="1:7" x14ac:dyDescent="0.2">
      <c r="A396" s="444" t="s">
        <v>159</v>
      </c>
      <c r="B396" s="2715"/>
      <c r="C396" s="59" t="s">
        <v>177</v>
      </c>
      <c r="D396" s="60" t="s">
        <v>178</v>
      </c>
      <c r="E396" s="867" t="s">
        <v>319</v>
      </c>
      <c r="F396" s="867" t="s">
        <v>319</v>
      </c>
      <c r="G396" s="36" t="str">
        <f t="shared" si="10"/>
        <v>Tasmania</v>
      </c>
    </row>
    <row r="397" spans="1:7" x14ac:dyDescent="0.2">
      <c r="A397" s="444" t="s">
        <v>159</v>
      </c>
      <c r="B397" s="2715"/>
      <c r="C397" s="59" t="s">
        <v>179</v>
      </c>
      <c r="D397" s="60" t="s">
        <v>180</v>
      </c>
      <c r="E397" s="867" t="s">
        <v>319</v>
      </c>
      <c r="F397" s="867" t="s">
        <v>319</v>
      </c>
      <c r="G397" s="36" t="str">
        <f t="shared" si="10"/>
        <v>Tasmania</v>
      </c>
    </row>
    <row r="398" spans="1:7" x14ac:dyDescent="0.2">
      <c r="A398" s="444" t="s">
        <v>159</v>
      </c>
      <c r="B398" s="2715"/>
      <c r="C398" s="59" t="s">
        <v>181</v>
      </c>
      <c r="D398" s="60" t="s">
        <v>182</v>
      </c>
      <c r="E398" s="867" t="s">
        <v>319</v>
      </c>
      <c r="F398" s="867" t="s">
        <v>319</v>
      </c>
      <c r="G398" s="36" t="str">
        <f t="shared" si="10"/>
        <v>Tasmania</v>
      </c>
    </row>
    <row r="399" spans="1:7" x14ac:dyDescent="0.2">
      <c r="A399" s="444" t="s">
        <v>159</v>
      </c>
      <c r="B399" s="2715"/>
      <c r="C399" s="59" t="s">
        <v>183</v>
      </c>
      <c r="D399" s="60" t="s">
        <v>184</v>
      </c>
      <c r="E399" s="867" t="s">
        <v>319</v>
      </c>
      <c r="F399" s="867" t="s">
        <v>319</v>
      </c>
      <c r="G399" s="36" t="str">
        <f t="shared" si="10"/>
        <v>Tasmania</v>
      </c>
    </row>
    <row r="400" spans="1:7" x14ac:dyDescent="0.2">
      <c r="A400" s="444" t="s">
        <v>159</v>
      </c>
      <c r="B400" s="2715"/>
      <c r="C400" s="59" t="s">
        <v>185</v>
      </c>
      <c r="D400" s="60" t="s">
        <v>186</v>
      </c>
      <c r="E400" s="867">
        <v>60062.54</v>
      </c>
      <c r="F400" s="867">
        <v>84086.248000000007</v>
      </c>
      <c r="G400" s="36" t="str">
        <f t="shared" si="10"/>
        <v>Tasmania</v>
      </c>
    </row>
    <row r="401" spans="1:7" x14ac:dyDescent="0.2">
      <c r="A401" s="444" t="s">
        <v>159</v>
      </c>
      <c r="B401" s="2715"/>
      <c r="C401" s="59" t="s">
        <v>187</v>
      </c>
      <c r="D401" s="60" t="s">
        <v>188</v>
      </c>
      <c r="E401" s="867">
        <v>52142</v>
      </c>
      <c r="F401" s="867">
        <v>60754</v>
      </c>
      <c r="G401" s="36" t="str">
        <f t="shared" si="10"/>
        <v>Tasmania</v>
      </c>
    </row>
    <row r="402" spans="1:7" x14ac:dyDescent="0.2">
      <c r="A402" s="444" t="s">
        <v>159</v>
      </c>
      <c r="B402" s="2715"/>
      <c r="C402" s="59" t="s">
        <v>189</v>
      </c>
      <c r="D402" s="60" t="s">
        <v>190</v>
      </c>
      <c r="E402" s="867" t="s">
        <v>319</v>
      </c>
      <c r="F402" s="867" t="s">
        <v>319</v>
      </c>
      <c r="G402" s="36" t="str">
        <f t="shared" si="10"/>
        <v>Tasmania</v>
      </c>
    </row>
    <row r="403" spans="1:7" x14ac:dyDescent="0.2">
      <c r="A403" s="444" t="s">
        <v>159</v>
      </c>
      <c r="B403" s="2715"/>
      <c r="C403" s="59" t="s">
        <v>191</v>
      </c>
      <c r="D403" s="60" t="s">
        <v>192</v>
      </c>
      <c r="E403" s="867" t="s">
        <v>319</v>
      </c>
      <c r="F403" s="867" t="s">
        <v>319</v>
      </c>
      <c r="G403" s="36" t="str">
        <f t="shared" si="10"/>
        <v>Tasmania</v>
      </c>
    </row>
    <row r="404" spans="1:7" x14ac:dyDescent="0.2">
      <c r="A404" s="444" t="s">
        <v>159</v>
      </c>
      <c r="B404" s="2715"/>
      <c r="C404" s="59" t="s">
        <v>193</v>
      </c>
      <c r="D404" s="60" t="s">
        <v>194</v>
      </c>
      <c r="E404" s="867" t="s">
        <v>319</v>
      </c>
      <c r="F404" s="867" t="s">
        <v>319</v>
      </c>
      <c r="G404" s="36" t="str">
        <f t="shared" si="10"/>
        <v>Tasmania</v>
      </c>
    </row>
    <row r="405" spans="1:7" x14ac:dyDescent="0.2">
      <c r="A405" s="444" t="s">
        <v>159</v>
      </c>
      <c r="B405" s="2715"/>
      <c r="C405" s="59" t="s">
        <v>195</v>
      </c>
      <c r="D405" s="60" t="s">
        <v>196</v>
      </c>
      <c r="E405" s="867" t="s">
        <v>319</v>
      </c>
      <c r="F405" s="867" t="s">
        <v>319</v>
      </c>
      <c r="G405" s="36" t="str">
        <f t="shared" si="10"/>
        <v>Tasmania</v>
      </c>
    </row>
    <row r="406" spans="1:7" x14ac:dyDescent="0.2">
      <c r="A406" s="444" t="s">
        <v>159</v>
      </c>
      <c r="B406" s="2715"/>
      <c r="C406" s="59" t="s">
        <v>197</v>
      </c>
      <c r="D406" s="60" t="s">
        <v>198</v>
      </c>
      <c r="E406" s="867">
        <v>1760.83</v>
      </c>
      <c r="F406" s="867">
        <v>1819.26</v>
      </c>
      <c r="G406" s="36" t="str">
        <f t="shared" si="10"/>
        <v>Tasmania</v>
      </c>
    </row>
    <row r="407" spans="1:7" x14ac:dyDescent="0.2">
      <c r="A407" s="444" t="s">
        <v>159</v>
      </c>
      <c r="B407" s="2715"/>
      <c r="C407" s="59" t="s">
        <v>199</v>
      </c>
      <c r="D407" s="60" t="s">
        <v>200</v>
      </c>
      <c r="E407" s="867" t="s">
        <v>319</v>
      </c>
      <c r="F407" s="867" t="s">
        <v>319</v>
      </c>
      <c r="G407" s="36" t="str">
        <f t="shared" si="10"/>
        <v>Tasmania</v>
      </c>
    </row>
    <row r="408" spans="1:7" x14ac:dyDescent="0.2">
      <c r="A408" s="444" t="s">
        <v>159</v>
      </c>
      <c r="B408" s="2715"/>
      <c r="C408" s="59" t="s">
        <v>201</v>
      </c>
      <c r="D408" s="60" t="s">
        <v>202</v>
      </c>
      <c r="E408" s="867" t="s">
        <v>319</v>
      </c>
      <c r="F408" s="867" t="s">
        <v>319</v>
      </c>
      <c r="G408" s="36" t="str">
        <f t="shared" si="10"/>
        <v>Tasmania</v>
      </c>
    </row>
    <row r="409" spans="1:7" x14ac:dyDescent="0.2">
      <c r="A409" s="444" t="s">
        <v>159</v>
      </c>
      <c r="B409" s="2715"/>
      <c r="C409" s="59" t="s">
        <v>203</v>
      </c>
      <c r="D409" s="60" t="s">
        <v>204</v>
      </c>
      <c r="E409" s="867" t="s">
        <v>319</v>
      </c>
      <c r="F409" s="867" t="s">
        <v>319</v>
      </c>
      <c r="G409" s="36" t="str">
        <f t="shared" si="10"/>
        <v>Tasmania</v>
      </c>
    </row>
    <row r="410" spans="1:7" x14ac:dyDescent="0.2">
      <c r="A410" s="444" t="s">
        <v>159</v>
      </c>
      <c r="B410" s="2715"/>
      <c r="C410" s="59" t="s">
        <v>205</v>
      </c>
      <c r="D410" s="60" t="s">
        <v>206</v>
      </c>
      <c r="E410" s="867" t="s">
        <v>319</v>
      </c>
      <c r="F410" s="867" t="s">
        <v>319</v>
      </c>
      <c r="G410" s="36" t="str">
        <f t="shared" si="10"/>
        <v>Tasmania</v>
      </c>
    </row>
    <row r="411" spans="1:7" x14ac:dyDescent="0.2">
      <c r="A411" s="444" t="s">
        <v>159</v>
      </c>
      <c r="B411" s="2714"/>
      <c r="C411" s="59" t="s">
        <v>207</v>
      </c>
      <c r="D411" s="60" t="s">
        <v>208</v>
      </c>
      <c r="E411" s="867" t="s">
        <v>319</v>
      </c>
      <c r="F411" s="867" t="s">
        <v>319</v>
      </c>
      <c r="G411" s="36" t="str">
        <f t="shared" si="10"/>
        <v>Tasmania</v>
      </c>
    </row>
    <row r="412" spans="1:7" x14ac:dyDescent="0.2">
      <c r="A412" s="444" t="s">
        <v>209</v>
      </c>
      <c r="B412" s="56" t="s">
        <v>210</v>
      </c>
      <c r="C412" s="59" t="s">
        <v>211</v>
      </c>
      <c r="D412" s="60" t="s">
        <v>212</v>
      </c>
      <c r="E412" s="867">
        <v>2.7</v>
      </c>
      <c r="F412" s="867">
        <v>22</v>
      </c>
      <c r="G412" s="36" t="str">
        <f t="shared" si="10"/>
        <v>Tasmania</v>
      </c>
    </row>
    <row r="413" spans="1:7" x14ac:dyDescent="0.2">
      <c r="A413" s="444" t="s">
        <v>213</v>
      </c>
      <c r="B413" s="2713" t="s">
        <v>214</v>
      </c>
      <c r="C413" s="59" t="s">
        <v>215</v>
      </c>
      <c r="D413" s="60" t="s">
        <v>216</v>
      </c>
      <c r="E413" s="867">
        <v>5.3239999999999998</v>
      </c>
      <c r="F413" s="867">
        <v>18.2</v>
      </c>
      <c r="G413" s="36" t="str">
        <f t="shared" si="10"/>
        <v>Tasmania</v>
      </c>
    </row>
    <row r="414" spans="1:7" x14ac:dyDescent="0.2">
      <c r="A414" s="444" t="s">
        <v>213</v>
      </c>
      <c r="B414" s="2714"/>
      <c r="C414" s="59" t="s">
        <v>217</v>
      </c>
      <c r="D414" s="60" t="s">
        <v>218</v>
      </c>
      <c r="E414" s="867" t="s">
        <v>319</v>
      </c>
      <c r="F414" s="867" t="s">
        <v>319</v>
      </c>
      <c r="G414" s="36" t="str">
        <f t="shared" si="10"/>
        <v>Tasmania</v>
      </c>
    </row>
    <row r="415" spans="1:7" x14ac:dyDescent="0.2">
      <c r="A415" s="444" t="s">
        <v>219</v>
      </c>
      <c r="B415" s="2713" t="s">
        <v>220</v>
      </c>
      <c r="C415" s="59" t="s">
        <v>221</v>
      </c>
      <c r="D415" s="60" t="s">
        <v>222</v>
      </c>
      <c r="E415" s="867" t="s">
        <v>319</v>
      </c>
      <c r="F415" s="867" t="s">
        <v>319</v>
      </c>
      <c r="G415" s="36" t="str">
        <f t="shared" si="10"/>
        <v>Tasmania</v>
      </c>
    </row>
    <row r="416" spans="1:7" x14ac:dyDescent="0.2">
      <c r="A416" s="444" t="s">
        <v>219</v>
      </c>
      <c r="B416" s="2715"/>
      <c r="C416" s="59" t="s">
        <v>223</v>
      </c>
      <c r="D416" s="60" t="s">
        <v>224</v>
      </c>
      <c r="E416" s="867">
        <v>627.84500000000003</v>
      </c>
      <c r="F416" s="867">
        <v>792.2</v>
      </c>
      <c r="G416" s="36" t="str">
        <f t="shared" si="10"/>
        <v>Tasmania</v>
      </c>
    </row>
    <row r="417" spans="1:7" x14ac:dyDescent="0.2">
      <c r="A417" s="444" t="s">
        <v>219</v>
      </c>
      <c r="B417" s="2715"/>
      <c r="C417" s="59" t="s">
        <v>225</v>
      </c>
      <c r="D417" s="60" t="s">
        <v>226</v>
      </c>
      <c r="E417" s="867">
        <v>3.21</v>
      </c>
      <c r="F417" s="867">
        <v>3.6</v>
      </c>
      <c r="G417" s="36" t="str">
        <f t="shared" si="10"/>
        <v>Tasmania</v>
      </c>
    </row>
    <row r="418" spans="1:7" x14ac:dyDescent="0.2">
      <c r="A418" s="444" t="s">
        <v>219</v>
      </c>
      <c r="B418" s="2714"/>
      <c r="C418" s="59" t="s">
        <v>227</v>
      </c>
      <c r="D418" s="60" t="s">
        <v>228</v>
      </c>
      <c r="E418" s="867" t="s">
        <v>319</v>
      </c>
      <c r="F418" s="867" t="s">
        <v>319</v>
      </c>
      <c r="G418" s="36" t="str">
        <f t="shared" si="10"/>
        <v>Tasmania</v>
      </c>
    </row>
    <row r="419" spans="1:7" x14ac:dyDescent="0.2">
      <c r="A419" s="444" t="s">
        <v>229</v>
      </c>
      <c r="B419" s="2713" t="s">
        <v>230</v>
      </c>
      <c r="C419" s="59" t="s">
        <v>231</v>
      </c>
      <c r="D419" s="60" t="s">
        <v>232</v>
      </c>
      <c r="E419" s="867">
        <v>0.28499999999999998</v>
      </c>
      <c r="F419" s="867" t="s">
        <v>319</v>
      </c>
      <c r="G419" s="36" t="str">
        <f t="shared" si="10"/>
        <v>Tasmania</v>
      </c>
    </row>
    <row r="420" spans="1:7" x14ac:dyDescent="0.2">
      <c r="A420" s="444" t="s">
        <v>229</v>
      </c>
      <c r="B420" s="2715"/>
      <c r="C420" s="59" t="s">
        <v>233</v>
      </c>
      <c r="D420" s="60" t="s">
        <v>234</v>
      </c>
      <c r="E420" s="867" t="s">
        <v>319</v>
      </c>
      <c r="F420" s="867" t="s">
        <v>319</v>
      </c>
      <c r="G420" s="36" t="str">
        <f t="shared" si="10"/>
        <v>Tasmania</v>
      </c>
    </row>
    <row r="421" spans="1:7" x14ac:dyDescent="0.2">
      <c r="A421" s="444" t="s">
        <v>229</v>
      </c>
      <c r="B421" s="2714"/>
      <c r="C421" s="59" t="s">
        <v>235</v>
      </c>
      <c r="D421" s="60" t="s">
        <v>236</v>
      </c>
      <c r="E421" s="867" t="s">
        <v>319</v>
      </c>
      <c r="F421" s="867">
        <v>31.83</v>
      </c>
      <c r="G421" s="36" t="str">
        <f t="shared" si="10"/>
        <v>Tasmania</v>
      </c>
    </row>
    <row r="422" spans="1:7" x14ac:dyDescent="0.2">
      <c r="A422" s="444" t="s">
        <v>237</v>
      </c>
      <c r="B422" s="2713" t="s">
        <v>238</v>
      </c>
      <c r="C422" s="59" t="s">
        <v>239</v>
      </c>
      <c r="D422" s="60" t="s">
        <v>240</v>
      </c>
      <c r="E422" s="867">
        <v>20.059999999999999</v>
      </c>
      <c r="F422" s="867">
        <v>43.862000000000002</v>
      </c>
      <c r="G422" s="36" t="str">
        <f t="shared" si="10"/>
        <v>Tasmania</v>
      </c>
    </row>
    <row r="423" spans="1:7" x14ac:dyDescent="0.2">
      <c r="A423" s="444" t="s">
        <v>237</v>
      </c>
      <c r="B423" s="2715"/>
      <c r="C423" s="59" t="s">
        <v>241</v>
      </c>
      <c r="D423" s="60" t="s">
        <v>242</v>
      </c>
      <c r="E423" s="867">
        <v>160</v>
      </c>
      <c r="F423" s="867">
        <v>110.45</v>
      </c>
      <c r="G423" s="36" t="str">
        <f t="shared" si="10"/>
        <v>Tasmania</v>
      </c>
    </row>
    <row r="424" spans="1:7" x14ac:dyDescent="0.2">
      <c r="A424" s="444" t="s">
        <v>237</v>
      </c>
      <c r="B424" s="2714"/>
      <c r="C424" s="59" t="s">
        <v>243</v>
      </c>
      <c r="D424" s="60" t="s">
        <v>244</v>
      </c>
      <c r="E424" s="867" t="s">
        <v>319</v>
      </c>
      <c r="F424" s="867" t="s">
        <v>319</v>
      </c>
      <c r="G424" s="36" t="str">
        <f t="shared" si="10"/>
        <v>Tasmania</v>
      </c>
    </row>
    <row r="425" spans="1:7" x14ac:dyDescent="0.2">
      <c r="A425" s="444" t="s">
        <v>245</v>
      </c>
      <c r="B425" s="2713" t="s">
        <v>246</v>
      </c>
      <c r="C425" s="59" t="s">
        <v>247</v>
      </c>
      <c r="D425" s="60" t="s">
        <v>248</v>
      </c>
      <c r="E425" s="867">
        <v>3481.9547852423239</v>
      </c>
      <c r="F425" s="867">
        <v>3049.0110967473379</v>
      </c>
      <c r="G425" s="36" t="str">
        <f t="shared" si="10"/>
        <v>Tasmania</v>
      </c>
    </row>
    <row r="426" spans="1:7" x14ac:dyDescent="0.2">
      <c r="A426" s="444" t="s">
        <v>245</v>
      </c>
      <c r="B426" s="2715"/>
      <c r="C426" s="59" t="s">
        <v>249</v>
      </c>
      <c r="D426" s="60" t="s">
        <v>250</v>
      </c>
      <c r="E426" s="867">
        <v>5674.974311880158</v>
      </c>
      <c r="F426" s="867">
        <v>5975.0261323924624</v>
      </c>
      <c r="G426" s="36" t="str">
        <f t="shared" si="10"/>
        <v>Tasmania</v>
      </c>
    </row>
    <row r="427" spans="1:7" x14ac:dyDescent="0.2">
      <c r="A427" s="444" t="s">
        <v>245</v>
      </c>
      <c r="B427" s="2715"/>
      <c r="C427" s="59" t="s">
        <v>251</v>
      </c>
      <c r="D427" s="60" t="s">
        <v>252</v>
      </c>
      <c r="E427" s="867" t="s">
        <v>319</v>
      </c>
      <c r="F427" s="867" t="s">
        <v>319</v>
      </c>
      <c r="G427" s="36" t="str">
        <f t="shared" si="10"/>
        <v>Tasmania</v>
      </c>
    </row>
    <row r="428" spans="1:7" x14ac:dyDescent="0.2">
      <c r="A428" s="444" t="s">
        <v>245</v>
      </c>
      <c r="B428" s="2714"/>
      <c r="C428" s="59" t="s">
        <v>253</v>
      </c>
      <c r="D428" s="60" t="s">
        <v>254</v>
      </c>
      <c r="E428" s="867" t="s">
        <v>319</v>
      </c>
      <c r="F428" s="867" t="s">
        <v>319</v>
      </c>
      <c r="G428" s="36" t="str">
        <f t="shared" si="10"/>
        <v>Tasmania</v>
      </c>
    </row>
    <row r="429" spans="1:7" ht="25.5" x14ac:dyDescent="0.2">
      <c r="A429" s="444" t="s">
        <v>255</v>
      </c>
      <c r="B429" s="2713" t="s">
        <v>256</v>
      </c>
      <c r="C429" s="59" t="s">
        <v>257</v>
      </c>
      <c r="D429" s="61" t="s">
        <v>258</v>
      </c>
      <c r="E429" s="867">
        <v>28.04</v>
      </c>
      <c r="F429" s="867">
        <v>4.9320000000000004</v>
      </c>
      <c r="G429" s="36" t="str">
        <f t="shared" si="10"/>
        <v>Tasmania</v>
      </c>
    </row>
    <row r="430" spans="1:7" x14ac:dyDescent="0.2">
      <c r="A430" s="444" t="s">
        <v>255</v>
      </c>
      <c r="B430" s="2715"/>
      <c r="C430" s="59" t="s">
        <v>259</v>
      </c>
      <c r="D430" s="60" t="s">
        <v>260</v>
      </c>
      <c r="E430" s="867" t="s">
        <v>319</v>
      </c>
      <c r="F430" s="867" t="s">
        <v>319</v>
      </c>
      <c r="G430" s="36" t="str">
        <f t="shared" si="10"/>
        <v>Tasmania</v>
      </c>
    </row>
    <row r="431" spans="1:7" x14ac:dyDescent="0.2">
      <c r="A431" s="444" t="s">
        <v>255</v>
      </c>
      <c r="B431" s="2715"/>
      <c r="C431" s="59" t="s">
        <v>261</v>
      </c>
      <c r="D431" s="60" t="s">
        <v>262</v>
      </c>
      <c r="E431" s="867" t="s">
        <v>319</v>
      </c>
      <c r="F431" s="867" t="s">
        <v>319</v>
      </c>
      <c r="G431" s="36" t="str">
        <f t="shared" si="10"/>
        <v>Tasmania</v>
      </c>
    </row>
    <row r="432" spans="1:7" x14ac:dyDescent="0.2">
      <c r="A432" s="444" t="s">
        <v>255</v>
      </c>
      <c r="B432" s="2715"/>
      <c r="C432" s="59" t="s">
        <v>263</v>
      </c>
      <c r="D432" s="60" t="s">
        <v>264</v>
      </c>
      <c r="E432" s="867" t="s">
        <v>319</v>
      </c>
      <c r="F432" s="867" t="s">
        <v>319</v>
      </c>
      <c r="G432" s="36" t="str">
        <f t="shared" si="10"/>
        <v>Tasmania</v>
      </c>
    </row>
    <row r="433" spans="1:7" x14ac:dyDescent="0.2">
      <c r="A433" s="444" t="s">
        <v>255</v>
      </c>
      <c r="B433" s="2715"/>
      <c r="C433" s="59" t="s">
        <v>265</v>
      </c>
      <c r="D433" s="60" t="s">
        <v>266</v>
      </c>
      <c r="E433" s="867" t="s">
        <v>319</v>
      </c>
      <c r="F433" s="867" t="s">
        <v>319</v>
      </c>
      <c r="G433" s="36" t="str">
        <f t="shared" si="10"/>
        <v>Tasmania</v>
      </c>
    </row>
    <row r="434" spans="1:7" x14ac:dyDescent="0.2">
      <c r="A434" s="444" t="s">
        <v>255</v>
      </c>
      <c r="B434" s="2715"/>
      <c r="C434" s="59" t="s">
        <v>267</v>
      </c>
      <c r="D434" s="60" t="s">
        <v>268</v>
      </c>
      <c r="E434" s="867" t="s">
        <v>319</v>
      </c>
      <c r="F434" s="867" t="s">
        <v>319</v>
      </c>
      <c r="G434" s="36" t="str">
        <f t="shared" si="10"/>
        <v>Tasmania</v>
      </c>
    </row>
    <row r="435" spans="1:7" x14ac:dyDescent="0.2">
      <c r="A435" s="444" t="s">
        <v>255</v>
      </c>
      <c r="B435" s="2715"/>
      <c r="C435" s="59" t="s">
        <v>269</v>
      </c>
      <c r="D435" s="60" t="s">
        <v>270</v>
      </c>
      <c r="E435" s="867" t="s">
        <v>319</v>
      </c>
      <c r="F435" s="867" t="s">
        <v>319</v>
      </c>
      <c r="G435" s="36" t="str">
        <f t="shared" si="10"/>
        <v>Tasmania</v>
      </c>
    </row>
    <row r="436" spans="1:7" x14ac:dyDescent="0.2">
      <c r="A436" s="444" t="s">
        <v>255</v>
      </c>
      <c r="B436" s="2715"/>
      <c r="C436" s="59" t="s">
        <v>271</v>
      </c>
      <c r="D436" s="60" t="s">
        <v>272</v>
      </c>
      <c r="E436" s="867" t="s">
        <v>319</v>
      </c>
      <c r="F436" s="867" t="s">
        <v>319</v>
      </c>
      <c r="G436" s="36" t="str">
        <f t="shared" si="10"/>
        <v>Tasmania</v>
      </c>
    </row>
    <row r="437" spans="1:7" ht="25.5" x14ac:dyDescent="0.2">
      <c r="A437" s="444" t="s">
        <v>255</v>
      </c>
      <c r="B437" s="2715"/>
      <c r="C437" s="59" t="s">
        <v>273</v>
      </c>
      <c r="D437" s="61" t="s">
        <v>274</v>
      </c>
      <c r="E437" s="867">
        <v>1.1671000000000001E-2</v>
      </c>
      <c r="F437" s="867">
        <v>7</v>
      </c>
      <c r="G437" s="36" t="str">
        <f t="shared" si="10"/>
        <v>Tasmania</v>
      </c>
    </row>
    <row r="438" spans="1:7" x14ac:dyDescent="0.2">
      <c r="A438" s="444" t="s">
        <v>255</v>
      </c>
      <c r="B438" s="2714"/>
      <c r="C438" s="59" t="s">
        <v>275</v>
      </c>
      <c r="D438" s="60" t="s">
        <v>276</v>
      </c>
      <c r="E438" s="867" t="s">
        <v>319</v>
      </c>
      <c r="F438" s="867" t="s">
        <v>319</v>
      </c>
      <c r="G438" s="36" t="str">
        <f t="shared" si="10"/>
        <v>Tasmania</v>
      </c>
    </row>
    <row r="439" spans="1:7" x14ac:dyDescent="0.2">
      <c r="A439" s="444" t="s">
        <v>277</v>
      </c>
      <c r="B439" s="2713" t="s">
        <v>278</v>
      </c>
      <c r="C439" s="59" t="s">
        <v>279</v>
      </c>
      <c r="D439" s="60" t="s">
        <v>280</v>
      </c>
      <c r="E439" s="867">
        <v>60.683999999999997</v>
      </c>
      <c r="F439" s="867">
        <v>41.92</v>
      </c>
      <c r="G439" s="36" t="str">
        <f t="shared" si="10"/>
        <v>Tasmania</v>
      </c>
    </row>
    <row r="440" spans="1:7" x14ac:dyDescent="0.2">
      <c r="A440" s="444" t="s">
        <v>277</v>
      </c>
      <c r="B440" s="2715"/>
      <c r="C440" s="59" t="s">
        <v>281</v>
      </c>
      <c r="D440" s="60" t="s">
        <v>282</v>
      </c>
      <c r="E440" s="867" t="s">
        <v>319</v>
      </c>
      <c r="F440" s="867">
        <v>5629.3149999999996</v>
      </c>
      <c r="G440" s="36" t="str">
        <f t="shared" si="10"/>
        <v>Tasmania</v>
      </c>
    </row>
    <row r="441" spans="1:7" x14ac:dyDescent="0.2">
      <c r="A441" s="444" t="s">
        <v>277</v>
      </c>
      <c r="B441" s="2715"/>
      <c r="C441" s="59" t="s">
        <v>283</v>
      </c>
      <c r="D441" s="60" t="s">
        <v>284</v>
      </c>
      <c r="E441" s="867" t="s">
        <v>319</v>
      </c>
      <c r="F441" s="867" t="s">
        <v>319</v>
      </c>
      <c r="G441" s="36" t="str">
        <f t="shared" si="10"/>
        <v>Tasmania</v>
      </c>
    </row>
    <row r="442" spans="1:7" x14ac:dyDescent="0.2">
      <c r="A442" s="444" t="s">
        <v>277</v>
      </c>
      <c r="B442" s="2715"/>
      <c r="C442" s="59" t="s">
        <v>285</v>
      </c>
      <c r="D442" s="60" t="s">
        <v>286</v>
      </c>
      <c r="E442" s="867" t="s">
        <v>319</v>
      </c>
      <c r="F442" s="867" t="s">
        <v>319</v>
      </c>
      <c r="G442" s="36" t="str">
        <f t="shared" si="10"/>
        <v>Tasmania</v>
      </c>
    </row>
    <row r="443" spans="1:7" x14ac:dyDescent="0.2">
      <c r="A443" s="444" t="s">
        <v>277</v>
      </c>
      <c r="B443" s="2715"/>
      <c r="C443" s="59" t="s">
        <v>287</v>
      </c>
      <c r="D443" s="60" t="s">
        <v>288</v>
      </c>
      <c r="E443" s="867">
        <v>10</v>
      </c>
      <c r="F443" s="867">
        <v>20.66</v>
      </c>
      <c r="G443" s="36" t="str">
        <f t="shared" si="10"/>
        <v>Tasmania</v>
      </c>
    </row>
    <row r="444" spans="1:7" x14ac:dyDescent="0.2">
      <c r="A444" s="444" t="s">
        <v>277</v>
      </c>
      <c r="B444" s="2715"/>
      <c r="C444" s="59" t="s">
        <v>289</v>
      </c>
      <c r="D444" s="60" t="s">
        <v>290</v>
      </c>
      <c r="E444" s="867" t="s">
        <v>319</v>
      </c>
      <c r="F444" s="867" t="s">
        <v>319</v>
      </c>
      <c r="G444" s="36" t="str">
        <f t="shared" si="10"/>
        <v>Tasmania</v>
      </c>
    </row>
    <row r="445" spans="1:7" x14ac:dyDescent="0.2">
      <c r="A445" s="444" t="s">
        <v>277</v>
      </c>
      <c r="B445" s="2715"/>
      <c r="C445" s="59" t="s">
        <v>291</v>
      </c>
      <c r="D445" s="60" t="s">
        <v>292</v>
      </c>
      <c r="E445" s="867">
        <v>15216.854269260399</v>
      </c>
      <c r="F445" s="867">
        <v>36904.761904761908</v>
      </c>
      <c r="G445" s="36" t="str">
        <f t="shared" si="10"/>
        <v>Tasmania</v>
      </c>
    </row>
    <row r="446" spans="1:7" x14ac:dyDescent="0.2">
      <c r="A446" s="444" t="s">
        <v>277</v>
      </c>
      <c r="B446" s="2715"/>
      <c r="C446" s="59" t="s">
        <v>293</v>
      </c>
      <c r="D446" s="60" t="s">
        <v>97</v>
      </c>
      <c r="E446" s="867">
        <v>3960.5927064164121</v>
      </c>
      <c r="F446" s="867">
        <v>7747.489228812653</v>
      </c>
      <c r="G446" s="36" t="str">
        <f t="shared" si="10"/>
        <v>Tasmania</v>
      </c>
    </row>
    <row r="447" spans="1:7" x14ac:dyDescent="0.2">
      <c r="A447" s="444" t="s">
        <v>277</v>
      </c>
      <c r="B447" s="2714"/>
      <c r="C447" s="59" t="s">
        <v>294</v>
      </c>
      <c r="D447" s="60" t="s">
        <v>295</v>
      </c>
      <c r="E447" s="867" t="s">
        <v>319</v>
      </c>
      <c r="F447" s="867" t="s">
        <v>319</v>
      </c>
      <c r="G447" s="36" t="str">
        <f t="shared" si="10"/>
        <v>Tasmania</v>
      </c>
    </row>
    <row r="448" spans="1:7" x14ac:dyDescent="0.2">
      <c r="A448" s="444" t="s">
        <v>296</v>
      </c>
      <c r="B448" s="2713" t="s">
        <v>297</v>
      </c>
      <c r="C448" s="59" t="s">
        <v>298</v>
      </c>
      <c r="D448" s="60" t="s">
        <v>299</v>
      </c>
      <c r="E448" s="867">
        <v>3.6</v>
      </c>
      <c r="F448" s="867" t="s">
        <v>319</v>
      </c>
      <c r="G448" s="36" t="str">
        <f t="shared" si="10"/>
        <v>Tasmania</v>
      </c>
    </row>
    <row r="449" spans="1:7" x14ac:dyDescent="0.2">
      <c r="A449" s="444" t="s">
        <v>296</v>
      </c>
      <c r="B449" s="2715"/>
      <c r="C449" s="59" t="s">
        <v>300</v>
      </c>
      <c r="D449" s="60" t="s">
        <v>150</v>
      </c>
      <c r="E449" s="867">
        <v>7.6479999999999997</v>
      </c>
      <c r="F449" s="867">
        <v>5.1269999999999998</v>
      </c>
      <c r="G449" s="36" t="str">
        <f t="shared" ref="G449:G454" si="11">G448</f>
        <v>Tasmania</v>
      </c>
    </row>
    <row r="450" spans="1:7" x14ac:dyDescent="0.2">
      <c r="A450" s="444" t="s">
        <v>296</v>
      </c>
      <c r="B450" s="2714"/>
      <c r="C450" s="59" t="s">
        <v>301</v>
      </c>
      <c r="D450" s="60" t="s">
        <v>302</v>
      </c>
      <c r="E450" s="867" t="s">
        <v>319</v>
      </c>
      <c r="F450" s="867">
        <v>5.0999999999999996</v>
      </c>
      <c r="G450" s="36" t="str">
        <f t="shared" si="11"/>
        <v>Tasmania</v>
      </c>
    </row>
    <row r="451" spans="1:7" ht="38.25" x14ac:dyDescent="0.2">
      <c r="A451" s="444" t="s">
        <v>303</v>
      </c>
      <c r="B451" s="2713" t="s">
        <v>304</v>
      </c>
      <c r="C451" s="59" t="s">
        <v>305</v>
      </c>
      <c r="D451" s="61" t="s">
        <v>306</v>
      </c>
      <c r="E451" s="867">
        <v>16.301100000000002</v>
      </c>
      <c r="F451" s="867">
        <v>1</v>
      </c>
      <c r="G451" s="36" t="str">
        <f t="shared" si="11"/>
        <v>Tasmania</v>
      </c>
    </row>
    <row r="452" spans="1:7" x14ac:dyDescent="0.2">
      <c r="A452" s="444" t="s">
        <v>303</v>
      </c>
      <c r="B452" s="2715"/>
      <c r="C452" s="59" t="s">
        <v>307</v>
      </c>
      <c r="D452" s="60" t="s">
        <v>308</v>
      </c>
      <c r="E452" s="867">
        <v>1.52</v>
      </c>
      <c r="F452" s="867" t="s">
        <v>319</v>
      </c>
      <c r="G452" s="36" t="str">
        <f t="shared" si="11"/>
        <v>Tasmania</v>
      </c>
    </row>
    <row r="453" spans="1:7" x14ac:dyDescent="0.2">
      <c r="A453" s="444" t="s">
        <v>303</v>
      </c>
      <c r="B453" s="2715"/>
      <c r="C453" s="59" t="s">
        <v>309</v>
      </c>
      <c r="D453" s="60" t="s">
        <v>39</v>
      </c>
      <c r="E453" s="867">
        <v>5025</v>
      </c>
      <c r="F453" s="867">
        <v>5049.9821749824177</v>
      </c>
      <c r="G453" s="36" t="str">
        <f t="shared" si="11"/>
        <v>Tasmania</v>
      </c>
    </row>
    <row r="454" spans="1:7" x14ac:dyDescent="0.2">
      <c r="A454" s="444" t="s">
        <v>303</v>
      </c>
      <c r="B454" s="2714"/>
      <c r="C454" s="59" t="s">
        <v>310</v>
      </c>
      <c r="D454" s="60" t="s">
        <v>311</v>
      </c>
      <c r="E454" s="867" t="s">
        <v>319</v>
      </c>
      <c r="F454" s="867" t="s">
        <v>319</v>
      </c>
      <c r="G454" s="36" t="str">
        <f t="shared" si="11"/>
        <v>Tasmania</v>
      </c>
    </row>
    <row r="455" spans="1:7" x14ac:dyDescent="0.2">
      <c r="E455" s="220"/>
      <c r="F455" s="220"/>
    </row>
    <row r="456" spans="1:7" s="52" customFormat="1" ht="15.75" x14ac:dyDescent="0.25">
      <c r="A456" s="52" t="s">
        <v>317</v>
      </c>
      <c r="E456" s="868"/>
      <c r="F456" s="868"/>
      <c r="G456" s="359"/>
    </row>
    <row r="457" spans="1:7" x14ac:dyDescent="0.2">
      <c r="E457" s="220"/>
      <c r="F457" s="220"/>
    </row>
    <row r="458" spans="1:7" x14ac:dyDescent="0.2">
      <c r="A458" s="444" t="s">
        <v>142</v>
      </c>
      <c r="B458" s="2713" t="s">
        <v>143</v>
      </c>
      <c r="C458" s="59" t="s">
        <v>144</v>
      </c>
      <c r="D458" s="60" t="s">
        <v>145</v>
      </c>
      <c r="E458" s="867"/>
      <c r="F458" s="867"/>
      <c r="G458" s="36" t="s">
        <v>11</v>
      </c>
    </row>
    <row r="459" spans="1:7" x14ac:dyDescent="0.2">
      <c r="A459" s="444" t="s">
        <v>142</v>
      </c>
      <c r="B459" s="2715"/>
      <c r="C459" s="59" t="s">
        <v>146</v>
      </c>
      <c r="D459" s="60" t="s">
        <v>147</v>
      </c>
      <c r="E459" s="867"/>
      <c r="F459" s="867"/>
      <c r="G459" s="36" t="str">
        <f>G458</f>
        <v>Victoria</v>
      </c>
    </row>
    <row r="460" spans="1:7" x14ac:dyDescent="0.2">
      <c r="A460" s="444" t="s">
        <v>142</v>
      </c>
      <c r="B460" s="2714"/>
      <c r="C460" s="59" t="s">
        <v>148</v>
      </c>
      <c r="D460" s="60" t="s">
        <v>149</v>
      </c>
      <c r="E460" s="867">
        <v>7.0000000000000007E-2</v>
      </c>
      <c r="F460" s="867">
        <v>0</v>
      </c>
      <c r="G460" s="36" t="str">
        <f t="shared" ref="G460:G523" si="12">G459</f>
        <v>Victoria</v>
      </c>
    </row>
    <row r="461" spans="1:7" x14ac:dyDescent="0.2">
      <c r="A461" s="444" t="s">
        <v>151</v>
      </c>
      <c r="B461" s="55" t="s">
        <v>152</v>
      </c>
      <c r="C461" s="59" t="s">
        <v>153</v>
      </c>
      <c r="D461" s="60" t="s">
        <v>154</v>
      </c>
      <c r="E461" s="867">
        <v>11694.930999999999</v>
      </c>
      <c r="F461" s="867">
        <v>8762.7520000000113</v>
      </c>
      <c r="G461" s="36" t="str">
        <f t="shared" si="12"/>
        <v>Victoria</v>
      </c>
    </row>
    <row r="462" spans="1:7" x14ac:dyDescent="0.2">
      <c r="A462" s="444" t="s">
        <v>155</v>
      </c>
      <c r="B462" s="55" t="s">
        <v>156</v>
      </c>
      <c r="C462" s="59" t="s">
        <v>157</v>
      </c>
      <c r="D462" s="60" t="s">
        <v>158</v>
      </c>
      <c r="E462" s="867">
        <v>3707.9180000000015</v>
      </c>
      <c r="F462" s="867">
        <v>3005.9410000000012</v>
      </c>
      <c r="G462" s="36" t="str">
        <f t="shared" si="12"/>
        <v>Victoria</v>
      </c>
    </row>
    <row r="463" spans="1:7" x14ac:dyDescent="0.2">
      <c r="A463" s="444" t="s">
        <v>159</v>
      </c>
      <c r="B463" s="2713" t="s">
        <v>160</v>
      </c>
      <c r="C463" s="59" t="s">
        <v>161</v>
      </c>
      <c r="D463" s="60" t="s">
        <v>162</v>
      </c>
      <c r="E463" s="867">
        <v>13.79</v>
      </c>
      <c r="F463" s="867">
        <v>61.64</v>
      </c>
      <c r="G463" s="36" t="str">
        <f t="shared" si="12"/>
        <v>Victoria</v>
      </c>
    </row>
    <row r="464" spans="1:7" x14ac:dyDescent="0.2">
      <c r="A464" s="444" t="s">
        <v>159</v>
      </c>
      <c r="B464" s="2715"/>
      <c r="C464" s="59" t="s">
        <v>163</v>
      </c>
      <c r="D464" s="60" t="s">
        <v>164</v>
      </c>
      <c r="E464" s="867">
        <v>8870.8809999999976</v>
      </c>
      <c r="F464" s="867">
        <v>3344</v>
      </c>
      <c r="G464" s="36" t="str">
        <f t="shared" si="12"/>
        <v>Victoria</v>
      </c>
    </row>
    <row r="465" spans="1:7" x14ac:dyDescent="0.2">
      <c r="A465" s="444" t="s">
        <v>159</v>
      </c>
      <c r="B465" s="2715"/>
      <c r="C465" s="59" t="s">
        <v>165</v>
      </c>
      <c r="D465" s="60" t="s">
        <v>166</v>
      </c>
      <c r="E465" s="867">
        <v>36.882000000000005</v>
      </c>
      <c r="F465" s="867">
        <v>43.26</v>
      </c>
      <c r="G465" s="36" t="str">
        <f t="shared" si="12"/>
        <v>Victoria</v>
      </c>
    </row>
    <row r="466" spans="1:7" x14ac:dyDescent="0.2">
      <c r="A466" s="444" t="s">
        <v>159</v>
      </c>
      <c r="B466" s="2715"/>
      <c r="C466" s="59" t="s">
        <v>167</v>
      </c>
      <c r="D466" s="60" t="s">
        <v>168</v>
      </c>
      <c r="E466" s="867">
        <v>8.9600000000000009</v>
      </c>
      <c r="F466" s="867">
        <v>35.159999999999997</v>
      </c>
      <c r="G466" s="36" t="str">
        <f t="shared" si="12"/>
        <v>Victoria</v>
      </c>
    </row>
    <row r="467" spans="1:7" x14ac:dyDescent="0.2">
      <c r="A467" s="444" t="s">
        <v>159</v>
      </c>
      <c r="B467" s="2715"/>
      <c r="C467" s="59" t="s">
        <v>169</v>
      </c>
      <c r="D467" s="60" t="s">
        <v>170</v>
      </c>
      <c r="E467" s="867">
        <v>500.88999999999987</v>
      </c>
      <c r="F467" s="867">
        <v>536.48</v>
      </c>
      <c r="G467" s="36" t="str">
        <f t="shared" si="12"/>
        <v>Victoria</v>
      </c>
    </row>
    <row r="468" spans="1:7" x14ac:dyDescent="0.2">
      <c r="A468" s="444" t="s">
        <v>159</v>
      </c>
      <c r="B468" s="2715"/>
      <c r="C468" s="59" t="s">
        <v>171</v>
      </c>
      <c r="D468" s="60" t="s">
        <v>172</v>
      </c>
      <c r="E468" s="867">
        <v>15.469999999999999</v>
      </c>
      <c r="F468" s="867">
        <v>37.299999999999997</v>
      </c>
      <c r="G468" s="36" t="str">
        <f t="shared" si="12"/>
        <v>Victoria</v>
      </c>
    </row>
    <row r="469" spans="1:7" x14ac:dyDescent="0.2">
      <c r="A469" s="444" t="s">
        <v>159</v>
      </c>
      <c r="B469" s="2715"/>
      <c r="C469" s="59" t="s">
        <v>173</v>
      </c>
      <c r="D469" s="60" t="s">
        <v>174</v>
      </c>
      <c r="E469" s="867">
        <v>21.86</v>
      </c>
      <c r="F469" s="867">
        <v>20</v>
      </c>
      <c r="G469" s="36" t="str">
        <f t="shared" si="12"/>
        <v>Victoria</v>
      </c>
    </row>
    <row r="470" spans="1:7" x14ac:dyDescent="0.2">
      <c r="A470" s="444" t="s">
        <v>159</v>
      </c>
      <c r="B470" s="2715"/>
      <c r="C470" s="59" t="s">
        <v>175</v>
      </c>
      <c r="D470" s="60" t="s">
        <v>176</v>
      </c>
      <c r="E470" s="867">
        <v>0</v>
      </c>
      <c r="F470" s="867">
        <v>0</v>
      </c>
      <c r="G470" s="36" t="str">
        <f t="shared" si="12"/>
        <v>Victoria</v>
      </c>
    </row>
    <row r="471" spans="1:7" x14ac:dyDescent="0.2">
      <c r="A471" s="444" t="s">
        <v>159</v>
      </c>
      <c r="B471" s="2715"/>
      <c r="C471" s="59" t="s">
        <v>177</v>
      </c>
      <c r="D471" s="60" t="s">
        <v>178</v>
      </c>
      <c r="E471" s="867">
        <v>0</v>
      </c>
      <c r="F471" s="867">
        <v>0</v>
      </c>
      <c r="G471" s="36" t="str">
        <f t="shared" si="12"/>
        <v>Victoria</v>
      </c>
    </row>
    <row r="472" spans="1:7" x14ac:dyDescent="0.2">
      <c r="A472" s="444" t="s">
        <v>159</v>
      </c>
      <c r="B472" s="2715"/>
      <c r="C472" s="59" t="s">
        <v>179</v>
      </c>
      <c r="D472" s="60" t="s">
        <v>180</v>
      </c>
      <c r="E472" s="867">
        <v>38.510000000000005</v>
      </c>
      <c r="F472" s="867">
        <v>63.989999999999988</v>
      </c>
      <c r="G472" s="36" t="str">
        <f t="shared" si="12"/>
        <v>Victoria</v>
      </c>
    </row>
    <row r="473" spans="1:7" x14ac:dyDescent="0.2">
      <c r="A473" s="444" t="s">
        <v>159</v>
      </c>
      <c r="B473" s="2715"/>
      <c r="C473" s="59" t="s">
        <v>181</v>
      </c>
      <c r="D473" s="60" t="s">
        <v>182</v>
      </c>
      <c r="E473" s="867">
        <v>0</v>
      </c>
      <c r="F473" s="867">
        <v>2.92</v>
      </c>
      <c r="G473" s="36" t="str">
        <f t="shared" si="12"/>
        <v>Victoria</v>
      </c>
    </row>
    <row r="474" spans="1:7" x14ac:dyDescent="0.2">
      <c r="A474" s="444" t="s">
        <v>159</v>
      </c>
      <c r="B474" s="2715"/>
      <c r="C474" s="59" t="s">
        <v>183</v>
      </c>
      <c r="D474" s="60" t="s">
        <v>184</v>
      </c>
      <c r="E474" s="867">
        <v>16.2</v>
      </c>
      <c r="F474" s="867">
        <v>3.3200000000000003</v>
      </c>
      <c r="G474" s="36" t="str">
        <f t="shared" si="12"/>
        <v>Victoria</v>
      </c>
    </row>
    <row r="475" spans="1:7" x14ac:dyDescent="0.2">
      <c r="A475" s="444" t="s">
        <v>159</v>
      </c>
      <c r="B475" s="2715"/>
      <c r="C475" s="59" t="s">
        <v>185</v>
      </c>
      <c r="D475" s="60" t="s">
        <v>186</v>
      </c>
      <c r="E475" s="867">
        <v>3663</v>
      </c>
      <c r="F475" s="867">
        <v>4316.5320000000002</v>
      </c>
      <c r="G475" s="36" t="str">
        <f t="shared" si="12"/>
        <v>Victoria</v>
      </c>
    </row>
    <row r="476" spans="1:7" x14ac:dyDescent="0.2">
      <c r="A476" s="444" t="s">
        <v>159</v>
      </c>
      <c r="B476" s="2715"/>
      <c r="C476" s="59" t="s">
        <v>187</v>
      </c>
      <c r="D476" s="60" t="s">
        <v>188</v>
      </c>
      <c r="E476" s="867">
        <v>147.29</v>
      </c>
      <c r="F476" s="867">
        <v>24.18</v>
      </c>
      <c r="G476" s="36" t="str">
        <f t="shared" si="12"/>
        <v>Victoria</v>
      </c>
    </row>
    <row r="477" spans="1:7" x14ac:dyDescent="0.2">
      <c r="A477" s="444" t="s">
        <v>159</v>
      </c>
      <c r="B477" s="2715"/>
      <c r="C477" s="59" t="s">
        <v>189</v>
      </c>
      <c r="D477" s="60" t="s">
        <v>190</v>
      </c>
      <c r="E477" s="867">
        <v>0</v>
      </c>
      <c r="F477" s="867">
        <v>0</v>
      </c>
      <c r="G477" s="36" t="str">
        <f t="shared" si="12"/>
        <v>Victoria</v>
      </c>
    </row>
    <row r="478" spans="1:7" x14ac:dyDescent="0.2">
      <c r="A478" s="444" t="s">
        <v>159</v>
      </c>
      <c r="B478" s="2715"/>
      <c r="C478" s="59" t="s">
        <v>191</v>
      </c>
      <c r="D478" s="60" t="s">
        <v>192</v>
      </c>
      <c r="E478" s="867"/>
      <c r="F478" s="867"/>
      <c r="G478" s="36" t="str">
        <f t="shared" si="12"/>
        <v>Victoria</v>
      </c>
    </row>
    <row r="479" spans="1:7" x14ac:dyDescent="0.2">
      <c r="A479" s="444" t="s">
        <v>159</v>
      </c>
      <c r="B479" s="2715"/>
      <c r="C479" s="59" t="s">
        <v>193</v>
      </c>
      <c r="D479" s="60" t="s">
        <v>194</v>
      </c>
      <c r="E479" s="867"/>
      <c r="F479" s="867"/>
      <c r="G479" s="36" t="str">
        <f t="shared" si="12"/>
        <v>Victoria</v>
      </c>
    </row>
    <row r="480" spans="1:7" x14ac:dyDescent="0.2">
      <c r="A480" s="444" t="s">
        <v>159</v>
      </c>
      <c r="B480" s="2715"/>
      <c r="C480" s="59" t="s">
        <v>195</v>
      </c>
      <c r="D480" s="60" t="s">
        <v>196</v>
      </c>
      <c r="E480" s="867">
        <v>0.16999999999999998</v>
      </c>
      <c r="F480" s="867">
        <v>0</v>
      </c>
      <c r="G480" s="36" t="str">
        <f t="shared" si="12"/>
        <v>Victoria</v>
      </c>
    </row>
    <row r="481" spans="1:7" x14ac:dyDescent="0.2">
      <c r="A481" s="444" t="s">
        <v>159</v>
      </c>
      <c r="B481" s="2715"/>
      <c r="C481" s="59" t="s">
        <v>197</v>
      </c>
      <c r="D481" s="60" t="s">
        <v>198</v>
      </c>
      <c r="E481" s="867">
        <v>2718.5009999999997</v>
      </c>
      <c r="F481" s="867">
        <v>566.33100000000002</v>
      </c>
      <c r="G481" s="36" t="str">
        <f t="shared" si="12"/>
        <v>Victoria</v>
      </c>
    </row>
    <row r="482" spans="1:7" x14ac:dyDescent="0.2">
      <c r="A482" s="444" t="s">
        <v>159</v>
      </c>
      <c r="B482" s="2715"/>
      <c r="C482" s="59" t="s">
        <v>199</v>
      </c>
      <c r="D482" s="60" t="s">
        <v>200</v>
      </c>
      <c r="E482" s="867">
        <v>2.2400000000000002</v>
      </c>
      <c r="F482" s="867">
        <v>0</v>
      </c>
      <c r="G482" s="36" t="str">
        <f t="shared" si="12"/>
        <v>Victoria</v>
      </c>
    </row>
    <row r="483" spans="1:7" x14ac:dyDescent="0.2">
      <c r="A483" s="444" t="s">
        <v>159</v>
      </c>
      <c r="B483" s="2715"/>
      <c r="C483" s="59" t="s">
        <v>201</v>
      </c>
      <c r="D483" s="60" t="s">
        <v>202</v>
      </c>
      <c r="E483" s="867">
        <v>0</v>
      </c>
      <c r="F483" s="867">
        <v>0.36000000000000004</v>
      </c>
      <c r="G483" s="36" t="str">
        <f t="shared" si="12"/>
        <v>Victoria</v>
      </c>
    </row>
    <row r="484" spans="1:7" x14ac:dyDescent="0.2">
      <c r="A484" s="444" t="s">
        <v>159</v>
      </c>
      <c r="B484" s="2715"/>
      <c r="C484" s="59" t="s">
        <v>203</v>
      </c>
      <c r="D484" s="60" t="s">
        <v>204</v>
      </c>
      <c r="E484" s="867">
        <v>7.0000000000000007E-2</v>
      </c>
      <c r="F484" s="867">
        <v>0.01</v>
      </c>
      <c r="G484" s="36" t="str">
        <f t="shared" si="12"/>
        <v>Victoria</v>
      </c>
    </row>
    <row r="485" spans="1:7" x14ac:dyDescent="0.2">
      <c r="A485" s="444" t="s">
        <v>159</v>
      </c>
      <c r="B485" s="2715"/>
      <c r="C485" s="59" t="s">
        <v>205</v>
      </c>
      <c r="D485" s="60" t="s">
        <v>206</v>
      </c>
      <c r="E485" s="867">
        <v>7.0000000000000007E-2</v>
      </c>
      <c r="F485" s="867">
        <v>0.01</v>
      </c>
      <c r="G485" s="36" t="str">
        <f t="shared" si="12"/>
        <v>Victoria</v>
      </c>
    </row>
    <row r="486" spans="1:7" x14ac:dyDescent="0.2">
      <c r="A486" s="444" t="s">
        <v>159</v>
      </c>
      <c r="B486" s="2714"/>
      <c r="C486" s="59" t="s">
        <v>207</v>
      </c>
      <c r="D486" s="60" t="s">
        <v>208</v>
      </c>
      <c r="E486" s="867">
        <v>0</v>
      </c>
      <c r="F486" s="867">
        <v>0</v>
      </c>
      <c r="G486" s="36" t="str">
        <f t="shared" si="12"/>
        <v>Victoria</v>
      </c>
    </row>
    <row r="487" spans="1:7" x14ac:dyDescent="0.2">
      <c r="A487" s="444" t="s">
        <v>209</v>
      </c>
      <c r="B487" s="56" t="s">
        <v>210</v>
      </c>
      <c r="C487" s="59" t="s">
        <v>211</v>
      </c>
      <c r="D487" s="60" t="s">
        <v>212</v>
      </c>
      <c r="E487" s="867">
        <v>1.635</v>
      </c>
      <c r="F487" s="867">
        <v>9.5449999999999999</v>
      </c>
      <c r="G487" s="36" t="str">
        <f t="shared" si="12"/>
        <v>Victoria</v>
      </c>
    </row>
    <row r="488" spans="1:7" x14ac:dyDescent="0.2">
      <c r="A488" s="444" t="s">
        <v>213</v>
      </c>
      <c r="B488" s="2713" t="s">
        <v>214</v>
      </c>
      <c r="C488" s="59" t="s">
        <v>215</v>
      </c>
      <c r="D488" s="60" t="s">
        <v>216</v>
      </c>
      <c r="E488" s="867">
        <v>7345.5739999999969</v>
      </c>
      <c r="F488" s="867">
        <v>6323.3169999999909</v>
      </c>
      <c r="G488" s="36" t="str">
        <f t="shared" si="12"/>
        <v>Victoria</v>
      </c>
    </row>
    <row r="489" spans="1:7" x14ac:dyDescent="0.2">
      <c r="A489" s="444" t="s">
        <v>213</v>
      </c>
      <c r="B489" s="2714"/>
      <c r="C489" s="59" t="s">
        <v>217</v>
      </c>
      <c r="D489" s="60" t="s">
        <v>218</v>
      </c>
      <c r="E489" s="867">
        <v>798.27200000000016</v>
      </c>
      <c r="F489" s="867">
        <v>703.48899999999969</v>
      </c>
      <c r="G489" s="36" t="str">
        <f t="shared" si="12"/>
        <v>Victoria</v>
      </c>
    </row>
    <row r="490" spans="1:7" x14ac:dyDescent="0.2">
      <c r="A490" s="444" t="s">
        <v>219</v>
      </c>
      <c r="B490" s="2713" t="s">
        <v>220</v>
      </c>
      <c r="C490" s="59" t="s">
        <v>221</v>
      </c>
      <c r="D490" s="60" t="s">
        <v>222</v>
      </c>
      <c r="E490" s="867">
        <v>446.18999999999994</v>
      </c>
      <c r="F490" s="867">
        <v>378.97999999999996</v>
      </c>
      <c r="G490" s="36" t="str">
        <f t="shared" si="12"/>
        <v>Victoria</v>
      </c>
    </row>
    <row r="491" spans="1:7" x14ac:dyDescent="0.2">
      <c r="A491" s="444" t="s">
        <v>219</v>
      </c>
      <c r="B491" s="2715"/>
      <c r="C491" s="59" t="s">
        <v>223</v>
      </c>
      <c r="D491" s="60" t="s">
        <v>224</v>
      </c>
      <c r="E491" s="867">
        <v>575.69000000000005</v>
      </c>
      <c r="F491" s="867">
        <v>497.35900000000004</v>
      </c>
      <c r="G491" s="36" t="str">
        <f t="shared" si="12"/>
        <v>Victoria</v>
      </c>
    </row>
    <row r="492" spans="1:7" x14ac:dyDescent="0.2">
      <c r="A492" s="444" t="s">
        <v>219</v>
      </c>
      <c r="B492" s="2715"/>
      <c r="C492" s="59" t="s">
        <v>225</v>
      </c>
      <c r="D492" s="60" t="s">
        <v>226</v>
      </c>
      <c r="E492" s="867">
        <v>35.520000000000003</v>
      </c>
      <c r="F492" s="867">
        <v>49.992000000000004</v>
      </c>
      <c r="G492" s="36" t="str">
        <f t="shared" si="12"/>
        <v>Victoria</v>
      </c>
    </row>
    <row r="493" spans="1:7" x14ac:dyDescent="0.2">
      <c r="A493" s="444" t="s">
        <v>219</v>
      </c>
      <c r="B493" s="2714"/>
      <c r="C493" s="59" t="s">
        <v>227</v>
      </c>
      <c r="D493" s="60" t="s">
        <v>228</v>
      </c>
      <c r="E493" s="867">
        <v>1017.22</v>
      </c>
      <c r="F493" s="867">
        <v>336.29500000000041</v>
      </c>
      <c r="G493" s="36" t="str">
        <f t="shared" si="12"/>
        <v>Victoria</v>
      </c>
    </row>
    <row r="494" spans="1:7" x14ac:dyDescent="0.2">
      <c r="A494" s="444" t="s">
        <v>229</v>
      </c>
      <c r="B494" s="2713" t="s">
        <v>230</v>
      </c>
      <c r="C494" s="59" t="s">
        <v>231</v>
      </c>
      <c r="D494" s="60" t="s">
        <v>232</v>
      </c>
      <c r="E494" s="867">
        <v>841.78099999999995</v>
      </c>
      <c r="F494" s="867">
        <v>366.07</v>
      </c>
      <c r="G494" s="36" t="str">
        <f t="shared" si="12"/>
        <v>Victoria</v>
      </c>
    </row>
    <row r="495" spans="1:7" x14ac:dyDescent="0.2">
      <c r="A495" s="444" t="s">
        <v>229</v>
      </c>
      <c r="B495" s="2715"/>
      <c r="C495" s="59" t="s">
        <v>233</v>
      </c>
      <c r="D495" s="60" t="s">
        <v>234</v>
      </c>
      <c r="E495" s="867">
        <v>0.81</v>
      </c>
      <c r="F495" s="867">
        <v>0</v>
      </c>
      <c r="G495" s="36" t="str">
        <f t="shared" si="12"/>
        <v>Victoria</v>
      </c>
    </row>
    <row r="496" spans="1:7" x14ac:dyDescent="0.2">
      <c r="A496" s="444" t="s">
        <v>229</v>
      </c>
      <c r="B496" s="2714"/>
      <c r="C496" s="59" t="s">
        <v>235</v>
      </c>
      <c r="D496" s="60" t="s">
        <v>236</v>
      </c>
      <c r="E496" s="867">
        <v>5.8800000000000008</v>
      </c>
      <c r="F496" s="867">
        <v>5.6199999999999992</v>
      </c>
      <c r="G496" s="36" t="str">
        <f t="shared" si="12"/>
        <v>Victoria</v>
      </c>
    </row>
    <row r="497" spans="1:7" x14ac:dyDescent="0.2">
      <c r="A497" s="444" t="s">
        <v>237</v>
      </c>
      <c r="B497" s="2713" t="s">
        <v>238</v>
      </c>
      <c r="C497" s="59" t="s">
        <v>239</v>
      </c>
      <c r="D497" s="60" t="s">
        <v>240</v>
      </c>
      <c r="E497" s="867">
        <v>12759.48000000001</v>
      </c>
      <c r="F497" s="867">
        <v>11676.812000000009</v>
      </c>
      <c r="G497" s="36" t="str">
        <f t="shared" si="12"/>
        <v>Victoria</v>
      </c>
    </row>
    <row r="498" spans="1:7" x14ac:dyDescent="0.2">
      <c r="A498" s="444" t="s">
        <v>237</v>
      </c>
      <c r="B498" s="2715"/>
      <c r="C498" s="59" t="s">
        <v>241</v>
      </c>
      <c r="D498" s="60" t="s">
        <v>242</v>
      </c>
      <c r="E498" s="867">
        <v>30109.676000000061</v>
      </c>
      <c r="F498" s="867">
        <v>25305.399999999994</v>
      </c>
      <c r="G498" s="36" t="str">
        <f t="shared" si="12"/>
        <v>Victoria</v>
      </c>
    </row>
    <row r="499" spans="1:7" x14ac:dyDescent="0.2">
      <c r="A499" s="444" t="s">
        <v>237</v>
      </c>
      <c r="B499" s="2714"/>
      <c r="C499" s="59" t="s">
        <v>243</v>
      </c>
      <c r="D499" s="60" t="s">
        <v>244</v>
      </c>
      <c r="E499" s="867">
        <v>36</v>
      </c>
      <c r="F499" s="867">
        <v>109.68000000000002</v>
      </c>
      <c r="G499" s="36" t="str">
        <f t="shared" si="12"/>
        <v>Victoria</v>
      </c>
    </row>
    <row r="500" spans="1:7" x14ac:dyDescent="0.2">
      <c r="A500" s="444" t="s">
        <v>245</v>
      </c>
      <c r="B500" s="2713" t="s">
        <v>246</v>
      </c>
      <c r="C500" s="59" t="s">
        <v>247</v>
      </c>
      <c r="D500" s="60" t="s">
        <v>248</v>
      </c>
      <c r="E500" s="867">
        <v>18107.495999999985</v>
      </c>
      <c r="F500" s="867">
        <v>23466.570000000025</v>
      </c>
      <c r="G500" s="36" t="str">
        <f t="shared" si="12"/>
        <v>Victoria</v>
      </c>
    </row>
    <row r="501" spans="1:7" x14ac:dyDescent="0.2">
      <c r="A501" s="444" t="s">
        <v>245</v>
      </c>
      <c r="B501" s="2715"/>
      <c r="C501" s="59" t="s">
        <v>249</v>
      </c>
      <c r="D501" s="60" t="s">
        <v>250</v>
      </c>
      <c r="E501" s="867">
        <v>56916.530999999617</v>
      </c>
      <c r="F501" s="867">
        <v>60891.269999999706</v>
      </c>
      <c r="G501" s="36" t="str">
        <f t="shared" si="12"/>
        <v>Victoria</v>
      </c>
    </row>
    <row r="502" spans="1:7" x14ac:dyDescent="0.2">
      <c r="A502" s="444" t="s">
        <v>245</v>
      </c>
      <c r="B502" s="2715"/>
      <c r="C502" s="59" t="s">
        <v>251</v>
      </c>
      <c r="D502" s="60" t="s">
        <v>252</v>
      </c>
      <c r="E502" s="867">
        <v>418.78999999999996</v>
      </c>
      <c r="F502" s="867">
        <v>595.11</v>
      </c>
      <c r="G502" s="36" t="str">
        <f t="shared" si="12"/>
        <v>Victoria</v>
      </c>
    </row>
    <row r="503" spans="1:7" x14ac:dyDescent="0.2">
      <c r="A503" s="444" t="s">
        <v>245</v>
      </c>
      <c r="B503" s="2714"/>
      <c r="C503" s="59" t="s">
        <v>253</v>
      </c>
      <c r="D503" s="60" t="s">
        <v>254</v>
      </c>
      <c r="E503" s="867">
        <v>418.78999999999996</v>
      </c>
      <c r="F503" s="867">
        <v>595.11</v>
      </c>
      <c r="G503" s="36" t="str">
        <f t="shared" si="12"/>
        <v>Victoria</v>
      </c>
    </row>
    <row r="504" spans="1:7" ht="25.5" x14ac:dyDescent="0.2">
      <c r="A504" s="444" t="s">
        <v>255</v>
      </c>
      <c r="B504" s="2713" t="s">
        <v>256</v>
      </c>
      <c r="C504" s="59" t="s">
        <v>257</v>
      </c>
      <c r="D504" s="61" t="s">
        <v>258</v>
      </c>
      <c r="E504" s="867">
        <v>17399.349999999999</v>
      </c>
      <c r="F504" s="867">
        <v>357.64099999999996</v>
      </c>
      <c r="G504" s="36" t="str">
        <f t="shared" si="12"/>
        <v>Victoria</v>
      </c>
    </row>
    <row r="505" spans="1:7" x14ac:dyDescent="0.2">
      <c r="A505" s="444" t="s">
        <v>255</v>
      </c>
      <c r="B505" s="2715"/>
      <c r="C505" s="59" t="s">
        <v>259</v>
      </c>
      <c r="D505" s="60" t="s">
        <v>260</v>
      </c>
      <c r="E505" s="867">
        <v>3.01</v>
      </c>
      <c r="F505" s="867">
        <v>0.02</v>
      </c>
      <c r="G505" s="36" t="str">
        <f t="shared" si="12"/>
        <v>Victoria</v>
      </c>
    </row>
    <row r="506" spans="1:7" x14ac:dyDescent="0.2">
      <c r="A506" s="444" t="s">
        <v>255</v>
      </c>
      <c r="B506" s="2715"/>
      <c r="C506" s="59" t="s">
        <v>261</v>
      </c>
      <c r="D506" s="60" t="s">
        <v>262</v>
      </c>
      <c r="E506" s="867">
        <v>30.060000000000002</v>
      </c>
      <c r="F506" s="867">
        <v>0.2</v>
      </c>
      <c r="G506" s="36" t="str">
        <f t="shared" si="12"/>
        <v>Victoria</v>
      </c>
    </row>
    <row r="507" spans="1:7" x14ac:dyDescent="0.2">
      <c r="A507" s="444" t="s">
        <v>255</v>
      </c>
      <c r="B507" s="2715"/>
      <c r="C507" s="59" t="s">
        <v>263</v>
      </c>
      <c r="D507" s="60" t="s">
        <v>264</v>
      </c>
      <c r="E507" s="867"/>
      <c r="F507" s="867"/>
      <c r="G507" s="36" t="str">
        <f t="shared" si="12"/>
        <v>Victoria</v>
      </c>
    </row>
    <row r="508" spans="1:7" x14ac:dyDescent="0.2">
      <c r="A508" s="444" t="s">
        <v>255</v>
      </c>
      <c r="B508" s="2715"/>
      <c r="C508" s="59" t="s">
        <v>265</v>
      </c>
      <c r="D508" s="60" t="s">
        <v>266</v>
      </c>
      <c r="E508" s="867"/>
      <c r="F508" s="867"/>
      <c r="G508" s="36" t="str">
        <f t="shared" si="12"/>
        <v>Victoria</v>
      </c>
    </row>
    <row r="509" spans="1:7" x14ac:dyDescent="0.2">
      <c r="A509" s="444" t="s">
        <v>255</v>
      </c>
      <c r="B509" s="2715"/>
      <c r="C509" s="59" t="s">
        <v>267</v>
      </c>
      <c r="D509" s="60" t="s">
        <v>268</v>
      </c>
      <c r="E509" s="867"/>
      <c r="F509" s="867"/>
      <c r="G509" s="36" t="str">
        <f t="shared" si="12"/>
        <v>Victoria</v>
      </c>
    </row>
    <row r="510" spans="1:7" x14ac:dyDescent="0.2">
      <c r="A510" s="444" t="s">
        <v>255</v>
      </c>
      <c r="B510" s="2715"/>
      <c r="C510" s="59" t="s">
        <v>269</v>
      </c>
      <c r="D510" s="60" t="s">
        <v>270</v>
      </c>
      <c r="E510" s="867">
        <v>20.18</v>
      </c>
      <c r="F510" s="867">
        <v>33.041000000000011</v>
      </c>
      <c r="G510" s="36" t="str">
        <f t="shared" si="12"/>
        <v>Victoria</v>
      </c>
    </row>
    <row r="511" spans="1:7" x14ac:dyDescent="0.2">
      <c r="A511" s="444" t="s">
        <v>255</v>
      </c>
      <c r="B511" s="2715"/>
      <c r="C511" s="59" t="s">
        <v>271</v>
      </c>
      <c r="D511" s="60" t="s">
        <v>272</v>
      </c>
      <c r="E511" s="867">
        <v>22.34</v>
      </c>
      <c r="F511" s="867">
        <v>14.530000000000001</v>
      </c>
      <c r="G511" s="36" t="str">
        <f t="shared" si="12"/>
        <v>Victoria</v>
      </c>
    </row>
    <row r="512" spans="1:7" ht="25.5" x14ac:dyDescent="0.2">
      <c r="A512" s="444" t="s">
        <v>255</v>
      </c>
      <c r="B512" s="2715"/>
      <c r="C512" s="59" t="s">
        <v>273</v>
      </c>
      <c r="D512" s="61" t="s">
        <v>274</v>
      </c>
      <c r="E512" s="867">
        <v>103.94399999999999</v>
      </c>
      <c r="F512" s="867">
        <v>98.42</v>
      </c>
      <c r="G512" s="36" t="str">
        <f t="shared" si="12"/>
        <v>Victoria</v>
      </c>
    </row>
    <row r="513" spans="1:7" x14ac:dyDescent="0.2">
      <c r="A513" s="444" t="s">
        <v>255</v>
      </c>
      <c r="B513" s="2714"/>
      <c r="C513" s="59" t="s">
        <v>275</v>
      </c>
      <c r="D513" s="60" t="s">
        <v>276</v>
      </c>
      <c r="E513" s="867">
        <v>0.01</v>
      </c>
      <c r="F513" s="867">
        <v>0</v>
      </c>
      <c r="G513" s="36" t="str">
        <f t="shared" si="12"/>
        <v>Victoria</v>
      </c>
    </row>
    <row r="514" spans="1:7" x14ac:dyDescent="0.2">
      <c r="A514" s="444" t="s">
        <v>277</v>
      </c>
      <c r="B514" s="2713" t="s">
        <v>278</v>
      </c>
      <c r="C514" s="59" t="s">
        <v>279</v>
      </c>
      <c r="D514" s="60" t="s">
        <v>280</v>
      </c>
      <c r="E514" s="867">
        <v>5042.3990000000049</v>
      </c>
      <c r="F514" s="867">
        <v>5059.3860000000022</v>
      </c>
      <c r="G514" s="36" t="str">
        <f t="shared" si="12"/>
        <v>Victoria</v>
      </c>
    </row>
    <row r="515" spans="1:7" x14ac:dyDescent="0.2">
      <c r="A515" s="444" t="s">
        <v>277</v>
      </c>
      <c r="B515" s="2715"/>
      <c r="C515" s="59" t="s">
        <v>281</v>
      </c>
      <c r="D515" s="60" t="s">
        <v>282</v>
      </c>
      <c r="E515" s="867">
        <v>188980.27599999987</v>
      </c>
      <c r="F515" s="867">
        <v>171288.3290000002</v>
      </c>
      <c r="G515" s="36" t="str">
        <f t="shared" si="12"/>
        <v>Victoria</v>
      </c>
    </row>
    <row r="516" spans="1:7" x14ac:dyDescent="0.2">
      <c r="A516" s="444" t="s">
        <v>277</v>
      </c>
      <c r="B516" s="2715"/>
      <c r="C516" s="59" t="s">
        <v>283</v>
      </c>
      <c r="D516" s="60" t="s">
        <v>284</v>
      </c>
      <c r="E516" s="867">
        <v>46.98</v>
      </c>
      <c r="F516" s="867">
        <v>53.160000000000004</v>
      </c>
      <c r="G516" s="36" t="str">
        <f t="shared" si="12"/>
        <v>Victoria</v>
      </c>
    </row>
    <row r="517" spans="1:7" x14ac:dyDescent="0.2">
      <c r="A517" s="444" t="s">
        <v>277</v>
      </c>
      <c r="B517" s="2715"/>
      <c r="C517" s="59" t="s">
        <v>285</v>
      </c>
      <c r="D517" s="60" t="s">
        <v>286</v>
      </c>
      <c r="E517" s="867">
        <v>49.009999999999984</v>
      </c>
      <c r="F517" s="867">
        <v>144.34999999999997</v>
      </c>
      <c r="G517" s="36" t="str">
        <f t="shared" si="12"/>
        <v>Victoria</v>
      </c>
    </row>
    <row r="518" spans="1:7" x14ac:dyDescent="0.2">
      <c r="A518" s="444" t="s">
        <v>277</v>
      </c>
      <c r="B518" s="2715"/>
      <c r="C518" s="59" t="s">
        <v>287</v>
      </c>
      <c r="D518" s="60" t="s">
        <v>288</v>
      </c>
      <c r="E518" s="867">
        <v>9357.551999999996</v>
      </c>
      <c r="F518" s="867">
        <v>3478.5299999999997</v>
      </c>
      <c r="G518" s="36" t="str">
        <f t="shared" si="12"/>
        <v>Victoria</v>
      </c>
    </row>
    <row r="519" spans="1:7" x14ac:dyDescent="0.2">
      <c r="A519" s="444" t="s">
        <v>277</v>
      </c>
      <c r="B519" s="2715"/>
      <c r="C519" s="59" t="s">
        <v>289</v>
      </c>
      <c r="D519" s="60" t="s">
        <v>290</v>
      </c>
      <c r="E519" s="867">
        <v>2107.9700000000007</v>
      </c>
      <c r="F519" s="867">
        <v>1352.0949999999998</v>
      </c>
      <c r="G519" s="36" t="str">
        <f t="shared" si="12"/>
        <v>Victoria</v>
      </c>
    </row>
    <row r="520" spans="1:7" x14ac:dyDescent="0.2">
      <c r="A520" s="444" t="s">
        <v>277</v>
      </c>
      <c r="B520" s="2715"/>
      <c r="C520" s="59" t="s">
        <v>291</v>
      </c>
      <c r="D520" s="60" t="s">
        <v>292</v>
      </c>
      <c r="E520" s="867">
        <v>221203.89090700136</v>
      </c>
      <c r="F520" s="867">
        <v>215129.82404761904</v>
      </c>
      <c r="G520" s="36" t="str">
        <f t="shared" si="12"/>
        <v>Victoria</v>
      </c>
    </row>
    <row r="521" spans="1:7" x14ac:dyDescent="0.2">
      <c r="A521" s="444" t="s">
        <v>277</v>
      </c>
      <c r="B521" s="2715"/>
      <c r="C521" s="59" t="s">
        <v>293</v>
      </c>
      <c r="D521" s="60" t="s">
        <v>97</v>
      </c>
      <c r="E521" s="867">
        <v>44188.370999999963</v>
      </c>
      <c r="F521" s="867">
        <v>35889.965000000033</v>
      </c>
      <c r="G521" s="36" t="str">
        <f t="shared" si="12"/>
        <v>Victoria</v>
      </c>
    </row>
    <row r="522" spans="1:7" x14ac:dyDescent="0.2">
      <c r="A522" s="444" t="s">
        <v>277</v>
      </c>
      <c r="B522" s="2714"/>
      <c r="C522" s="59" t="s">
        <v>294</v>
      </c>
      <c r="D522" s="60" t="s">
        <v>295</v>
      </c>
      <c r="E522" s="867">
        <v>50.099999999999987</v>
      </c>
      <c r="F522" s="867">
        <v>77.200000000000017</v>
      </c>
      <c r="G522" s="36" t="str">
        <f t="shared" si="12"/>
        <v>Victoria</v>
      </c>
    </row>
    <row r="523" spans="1:7" x14ac:dyDescent="0.2">
      <c r="A523" s="444" t="s">
        <v>296</v>
      </c>
      <c r="B523" s="2713" t="s">
        <v>297</v>
      </c>
      <c r="C523" s="59" t="s">
        <v>298</v>
      </c>
      <c r="D523" s="60" t="s">
        <v>299</v>
      </c>
      <c r="E523" s="867">
        <v>6215.2310000000143</v>
      </c>
      <c r="F523" s="867">
        <v>4958.0570000000253</v>
      </c>
      <c r="G523" s="36" t="str">
        <f t="shared" si="12"/>
        <v>Victoria</v>
      </c>
    </row>
    <row r="524" spans="1:7" x14ac:dyDescent="0.2">
      <c r="A524" s="444" t="s">
        <v>296</v>
      </c>
      <c r="B524" s="2715"/>
      <c r="C524" s="59" t="s">
        <v>300</v>
      </c>
      <c r="D524" s="60" t="s">
        <v>150</v>
      </c>
      <c r="E524" s="867">
        <v>263.83199999999999</v>
      </c>
      <c r="F524" s="867">
        <v>375.51599999999934</v>
      </c>
      <c r="G524" s="36" t="str">
        <f t="shared" ref="G524:G529" si="13">G523</f>
        <v>Victoria</v>
      </c>
    </row>
    <row r="525" spans="1:7" x14ac:dyDescent="0.2">
      <c r="A525" s="444" t="s">
        <v>296</v>
      </c>
      <c r="B525" s="2714"/>
      <c r="C525" s="59" t="s">
        <v>301</v>
      </c>
      <c r="D525" s="60" t="s">
        <v>302</v>
      </c>
      <c r="E525" s="867">
        <v>204.23900000000009</v>
      </c>
      <c r="F525" s="867">
        <v>186.88200000000012</v>
      </c>
      <c r="G525" s="36" t="str">
        <f t="shared" si="13"/>
        <v>Victoria</v>
      </c>
    </row>
    <row r="526" spans="1:7" ht="38.25" x14ac:dyDescent="0.2">
      <c r="A526" s="444" t="s">
        <v>303</v>
      </c>
      <c r="B526" s="2713" t="s">
        <v>304</v>
      </c>
      <c r="C526" s="59" t="s">
        <v>305</v>
      </c>
      <c r="D526" s="61" t="s">
        <v>306</v>
      </c>
      <c r="E526" s="867">
        <v>34.897999999999989</v>
      </c>
      <c r="F526" s="867">
        <v>78.921000000000021</v>
      </c>
      <c r="G526" s="36" t="str">
        <f t="shared" si="13"/>
        <v>Victoria</v>
      </c>
    </row>
    <row r="527" spans="1:7" x14ac:dyDescent="0.2">
      <c r="A527" s="444" t="s">
        <v>303</v>
      </c>
      <c r="B527" s="2715"/>
      <c r="C527" s="59" t="s">
        <v>307</v>
      </c>
      <c r="D527" s="60" t="s">
        <v>308</v>
      </c>
      <c r="E527" s="867">
        <v>180.49799999999996</v>
      </c>
      <c r="F527" s="867">
        <v>184.52999999999992</v>
      </c>
      <c r="G527" s="36" t="str">
        <f t="shared" si="13"/>
        <v>Victoria</v>
      </c>
    </row>
    <row r="528" spans="1:7" x14ac:dyDescent="0.2">
      <c r="A528" s="444" t="s">
        <v>303</v>
      </c>
      <c r="B528" s="2715"/>
      <c r="C528" s="59" t="s">
        <v>309</v>
      </c>
      <c r="D528" s="60" t="s">
        <v>39</v>
      </c>
      <c r="E528" s="867">
        <v>45395.5</v>
      </c>
      <c r="F528" s="867">
        <v>46422.96011697279</v>
      </c>
      <c r="G528" s="36" t="str">
        <f t="shared" si="13"/>
        <v>Victoria</v>
      </c>
    </row>
    <row r="529" spans="1:9" x14ac:dyDescent="0.2">
      <c r="A529" s="444" t="s">
        <v>303</v>
      </c>
      <c r="B529" s="2714"/>
      <c r="C529" s="59" t="s">
        <v>310</v>
      </c>
      <c r="D529" s="60" t="s">
        <v>311</v>
      </c>
      <c r="E529" s="867">
        <v>9.4</v>
      </c>
      <c r="F529" s="867">
        <v>0</v>
      </c>
      <c r="G529" s="36" t="str">
        <f t="shared" si="13"/>
        <v>Victoria</v>
      </c>
      <c r="I529" s="267"/>
    </row>
    <row r="530" spans="1:9" x14ac:dyDescent="0.2">
      <c r="E530" s="220"/>
      <c r="F530" s="220"/>
    </row>
    <row r="531" spans="1:9" s="52" customFormat="1" ht="15.75" x14ac:dyDescent="0.25">
      <c r="A531" s="52" t="s">
        <v>318</v>
      </c>
      <c r="E531" s="868"/>
      <c r="F531" s="868"/>
      <c r="G531" s="359"/>
    </row>
    <row r="532" spans="1:9" x14ac:dyDescent="0.2">
      <c r="E532" s="220"/>
      <c r="F532" s="220"/>
    </row>
    <row r="533" spans="1:9" x14ac:dyDescent="0.2">
      <c r="A533" s="444" t="s">
        <v>142</v>
      </c>
      <c r="B533" s="2710" t="s">
        <v>143</v>
      </c>
      <c r="C533" s="53" t="s">
        <v>144</v>
      </c>
      <c r="D533" s="57" t="s">
        <v>145</v>
      </c>
      <c r="E533" s="867">
        <v>1373.7139999999999</v>
      </c>
      <c r="F533" s="867">
        <v>1402.1061961612504</v>
      </c>
      <c r="G533" s="36" t="str">
        <f>WA!B1</f>
        <v>Western Australia</v>
      </c>
    </row>
    <row r="534" spans="1:9" x14ac:dyDescent="0.2">
      <c r="A534" s="444" t="s">
        <v>142</v>
      </c>
      <c r="B534" s="2711"/>
      <c r="C534" s="53" t="s">
        <v>146</v>
      </c>
      <c r="D534" s="57" t="s">
        <v>147</v>
      </c>
      <c r="E534" s="867">
        <v>3.0019</v>
      </c>
      <c r="F534" s="867">
        <v>0</v>
      </c>
      <c r="G534" s="36" t="str">
        <f>G533</f>
        <v>Western Australia</v>
      </c>
    </row>
    <row r="535" spans="1:9" x14ac:dyDescent="0.2">
      <c r="A535" s="444" t="s">
        <v>142</v>
      </c>
      <c r="B535" s="2712"/>
      <c r="C535" s="53" t="s">
        <v>148</v>
      </c>
      <c r="D535" s="57" t="s">
        <v>149</v>
      </c>
      <c r="E535" s="867">
        <v>13.002373907622022</v>
      </c>
      <c r="F535" s="867">
        <v>1.4368902407588804</v>
      </c>
      <c r="G535" s="36" t="str">
        <f t="shared" ref="G535:G598" si="14">G534</f>
        <v>Western Australia</v>
      </c>
    </row>
    <row r="536" spans="1:9" x14ac:dyDescent="0.2">
      <c r="A536" s="444" t="s">
        <v>151</v>
      </c>
      <c r="B536" s="54" t="s">
        <v>152</v>
      </c>
      <c r="C536" s="53" t="s">
        <v>153</v>
      </c>
      <c r="D536" s="57" t="s">
        <v>154</v>
      </c>
      <c r="E536" s="867">
        <v>567.73141105119953</v>
      </c>
      <c r="F536" s="867">
        <v>1020.4015979337986</v>
      </c>
      <c r="G536" s="36" t="str">
        <f t="shared" si="14"/>
        <v>Western Australia</v>
      </c>
    </row>
    <row r="537" spans="1:9" x14ac:dyDescent="0.2">
      <c r="A537" s="444" t="s">
        <v>155</v>
      </c>
      <c r="B537" s="54" t="s">
        <v>156</v>
      </c>
      <c r="C537" s="53" t="s">
        <v>157</v>
      </c>
      <c r="D537" s="57" t="s">
        <v>158</v>
      </c>
      <c r="E537" s="867">
        <v>42593.530264757275</v>
      </c>
      <c r="F537" s="867">
        <v>41667.054405217757</v>
      </c>
      <c r="G537" s="36" t="str">
        <f t="shared" si="14"/>
        <v>Western Australia</v>
      </c>
    </row>
    <row r="538" spans="1:9" x14ac:dyDescent="0.2">
      <c r="A538" s="444" t="s">
        <v>159</v>
      </c>
      <c r="B538" s="2710" t="s">
        <v>160</v>
      </c>
      <c r="C538" s="53" t="s">
        <v>161</v>
      </c>
      <c r="D538" s="57" t="s">
        <v>162</v>
      </c>
      <c r="E538" s="867">
        <v>9.3981258286728278E-2</v>
      </c>
      <c r="F538" s="867">
        <v>56.273366478660989</v>
      </c>
      <c r="G538" s="36" t="str">
        <f t="shared" si="14"/>
        <v>Western Australia</v>
      </c>
    </row>
    <row r="539" spans="1:9" x14ac:dyDescent="0.2">
      <c r="A539" s="444" t="s">
        <v>159</v>
      </c>
      <c r="B539" s="2711"/>
      <c r="C539" s="53" t="s">
        <v>163</v>
      </c>
      <c r="D539" s="57" t="s">
        <v>164</v>
      </c>
      <c r="E539" s="867">
        <v>10.785692319231924</v>
      </c>
      <c r="F539" s="867">
        <v>1.6464774539507163</v>
      </c>
      <c r="G539" s="36" t="str">
        <f t="shared" si="14"/>
        <v>Western Australia</v>
      </c>
    </row>
    <row r="540" spans="1:9" x14ac:dyDescent="0.2">
      <c r="A540" s="444" t="s">
        <v>159</v>
      </c>
      <c r="B540" s="2711"/>
      <c r="C540" s="53" t="s">
        <v>165</v>
      </c>
      <c r="D540" s="57" t="s">
        <v>166</v>
      </c>
      <c r="E540" s="867">
        <v>85.953241622914334</v>
      </c>
      <c r="F540" s="867">
        <v>86.350033165965499</v>
      </c>
      <c r="G540" s="36" t="str">
        <f t="shared" si="14"/>
        <v>Western Australia</v>
      </c>
    </row>
    <row r="541" spans="1:9" x14ac:dyDescent="0.2">
      <c r="A541" s="444" t="s">
        <v>159</v>
      </c>
      <c r="B541" s="2711"/>
      <c r="C541" s="53" t="s">
        <v>167</v>
      </c>
      <c r="D541" s="57" t="s">
        <v>168</v>
      </c>
      <c r="E541" s="867">
        <v>5.2489881496492252</v>
      </c>
      <c r="F541" s="867">
        <v>0</v>
      </c>
      <c r="G541" s="36" t="str">
        <f t="shared" si="14"/>
        <v>Western Australia</v>
      </c>
    </row>
    <row r="542" spans="1:9" x14ac:dyDescent="0.2">
      <c r="A542" s="444" t="s">
        <v>159</v>
      </c>
      <c r="B542" s="2711"/>
      <c r="C542" s="53" t="s">
        <v>169</v>
      </c>
      <c r="D542" s="57" t="s">
        <v>170</v>
      </c>
      <c r="E542" s="867" t="s">
        <v>319</v>
      </c>
      <c r="F542" s="867">
        <v>36.974950837977651</v>
      </c>
      <c r="G542" s="36" t="str">
        <f t="shared" si="14"/>
        <v>Western Australia</v>
      </c>
    </row>
    <row r="543" spans="1:9" x14ac:dyDescent="0.2">
      <c r="A543" s="444" t="s">
        <v>159</v>
      </c>
      <c r="B543" s="2711"/>
      <c r="C543" s="53" t="s">
        <v>171</v>
      </c>
      <c r="D543" s="57" t="s">
        <v>172</v>
      </c>
      <c r="E543" s="867" t="s">
        <v>319</v>
      </c>
      <c r="F543" s="867">
        <v>4.8551686893944019</v>
      </c>
      <c r="G543" s="36" t="str">
        <f t="shared" si="14"/>
        <v>Western Australia</v>
      </c>
    </row>
    <row r="544" spans="1:9" x14ac:dyDescent="0.2">
      <c r="A544" s="444" t="s">
        <v>159</v>
      </c>
      <c r="B544" s="2711"/>
      <c r="C544" s="53" t="s">
        <v>173</v>
      </c>
      <c r="D544" s="57" t="s">
        <v>174</v>
      </c>
      <c r="E544" s="867">
        <v>3.5427830596369927E-3</v>
      </c>
      <c r="F544" s="867">
        <v>0.36419271039805984</v>
      </c>
      <c r="G544" s="36" t="str">
        <f t="shared" si="14"/>
        <v>Western Australia</v>
      </c>
    </row>
    <row r="545" spans="1:7" x14ac:dyDescent="0.2">
      <c r="A545" s="444" t="s">
        <v>159</v>
      </c>
      <c r="B545" s="2711"/>
      <c r="C545" s="53" t="s">
        <v>175</v>
      </c>
      <c r="D545" s="57" t="s">
        <v>176</v>
      </c>
      <c r="E545" s="867">
        <v>0.24</v>
      </c>
      <c r="F545" s="867">
        <v>0</v>
      </c>
      <c r="G545" s="36" t="str">
        <f t="shared" si="14"/>
        <v>Western Australia</v>
      </c>
    </row>
    <row r="546" spans="1:7" x14ac:dyDescent="0.2">
      <c r="A546" s="444" t="s">
        <v>159</v>
      </c>
      <c r="B546" s="2711"/>
      <c r="C546" s="53" t="s">
        <v>177</v>
      </c>
      <c r="D546" s="57" t="s">
        <v>178</v>
      </c>
      <c r="E546" s="867" t="s">
        <v>319</v>
      </c>
      <c r="F546" s="867">
        <v>0</v>
      </c>
      <c r="G546" s="36" t="str">
        <f t="shared" si="14"/>
        <v>Western Australia</v>
      </c>
    </row>
    <row r="547" spans="1:7" x14ac:dyDescent="0.2">
      <c r="A547" s="444" t="s">
        <v>159</v>
      </c>
      <c r="B547" s="2711"/>
      <c r="C547" s="53" t="s">
        <v>179</v>
      </c>
      <c r="D547" s="57" t="s">
        <v>180</v>
      </c>
      <c r="E547" s="867">
        <v>0.30873441512096278</v>
      </c>
      <c r="F547" s="867">
        <v>11.582301254238558</v>
      </c>
      <c r="G547" s="36" t="str">
        <f t="shared" si="14"/>
        <v>Western Australia</v>
      </c>
    </row>
    <row r="548" spans="1:7" x14ac:dyDescent="0.2">
      <c r="A548" s="444" t="s">
        <v>159</v>
      </c>
      <c r="B548" s="2711"/>
      <c r="C548" s="53" t="s">
        <v>181</v>
      </c>
      <c r="D548" s="57" t="s">
        <v>182</v>
      </c>
      <c r="E548" s="867">
        <v>3.7499999999999992E-2</v>
      </c>
      <c r="F548" s="867">
        <v>0.33</v>
      </c>
      <c r="G548" s="36" t="str">
        <f t="shared" si="14"/>
        <v>Western Australia</v>
      </c>
    </row>
    <row r="549" spans="1:7" x14ac:dyDescent="0.2">
      <c r="A549" s="444" t="s">
        <v>159</v>
      </c>
      <c r="B549" s="2711"/>
      <c r="C549" s="53" t="s">
        <v>183</v>
      </c>
      <c r="D549" s="57" t="s">
        <v>184</v>
      </c>
      <c r="E549" s="867">
        <v>2.4984565385693474</v>
      </c>
      <c r="F549" s="867">
        <v>6.306904064887803</v>
      </c>
      <c r="G549" s="36" t="str">
        <f t="shared" si="14"/>
        <v>Western Australia</v>
      </c>
    </row>
    <row r="550" spans="1:7" x14ac:dyDescent="0.2">
      <c r="A550" s="444" t="s">
        <v>159</v>
      </c>
      <c r="B550" s="2711"/>
      <c r="C550" s="53" t="s">
        <v>185</v>
      </c>
      <c r="D550" s="57" t="s">
        <v>186</v>
      </c>
      <c r="E550" s="867">
        <v>588.62963490001562</v>
      </c>
      <c r="F550" s="867">
        <v>824.05077989947551</v>
      </c>
      <c r="G550" s="36" t="str">
        <f t="shared" si="14"/>
        <v>Western Australia</v>
      </c>
    </row>
    <row r="551" spans="1:7" x14ac:dyDescent="0.2">
      <c r="A551" s="444" t="s">
        <v>159</v>
      </c>
      <c r="B551" s="2711"/>
      <c r="C551" s="53" t="s">
        <v>187</v>
      </c>
      <c r="D551" s="57" t="s">
        <v>188</v>
      </c>
      <c r="E551" s="867">
        <v>321.53300000000002</v>
      </c>
      <c r="F551" s="867">
        <v>219.38843593106381</v>
      </c>
      <c r="G551" s="36" t="str">
        <f t="shared" si="14"/>
        <v>Western Australia</v>
      </c>
    </row>
    <row r="552" spans="1:7" x14ac:dyDescent="0.2">
      <c r="A552" s="444" t="s">
        <v>159</v>
      </c>
      <c r="B552" s="2711"/>
      <c r="C552" s="53" t="s">
        <v>189</v>
      </c>
      <c r="D552" s="57" t="s">
        <v>190</v>
      </c>
      <c r="E552" s="867" t="s">
        <v>319</v>
      </c>
      <c r="F552" s="867">
        <v>0.04</v>
      </c>
      <c r="G552" s="36" t="str">
        <f t="shared" si="14"/>
        <v>Western Australia</v>
      </c>
    </row>
    <row r="553" spans="1:7" x14ac:dyDescent="0.2">
      <c r="A553" s="444" t="s">
        <v>159</v>
      </c>
      <c r="B553" s="2711"/>
      <c r="C553" s="53" t="s">
        <v>191</v>
      </c>
      <c r="D553" s="57" t="s">
        <v>192</v>
      </c>
      <c r="E553" s="867" t="s">
        <v>319</v>
      </c>
      <c r="F553" s="867">
        <v>0</v>
      </c>
      <c r="G553" s="36" t="str">
        <f t="shared" si="14"/>
        <v>Western Australia</v>
      </c>
    </row>
    <row r="554" spans="1:7" x14ac:dyDescent="0.2">
      <c r="A554" s="444" t="s">
        <v>159</v>
      </c>
      <c r="B554" s="2711"/>
      <c r="C554" s="53" t="s">
        <v>193</v>
      </c>
      <c r="D554" s="57" t="s">
        <v>194</v>
      </c>
      <c r="E554" s="867" t="s">
        <v>319</v>
      </c>
      <c r="F554" s="867">
        <v>0</v>
      </c>
      <c r="G554" s="36" t="str">
        <f t="shared" si="14"/>
        <v>Western Australia</v>
      </c>
    </row>
    <row r="555" spans="1:7" x14ac:dyDescent="0.2">
      <c r="A555" s="444" t="s">
        <v>159</v>
      </c>
      <c r="B555" s="2711"/>
      <c r="C555" s="53" t="s">
        <v>195</v>
      </c>
      <c r="D555" s="57" t="s">
        <v>196</v>
      </c>
      <c r="E555" s="867">
        <v>2.1175291375291376</v>
      </c>
      <c r="F555" s="867">
        <v>0.28000000000000003</v>
      </c>
      <c r="G555" s="36" t="str">
        <f t="shared" si="14"/>
        <v>Western Australia</v>
      </c>
    </row>
    <row r="556" spans="1:7" x14ac:dyDescent="0.2">
      <c r="A556" s="444" t="s">
        <v>159</v>
      </c>
      <c r="B556" s="2711"/>
      <c r="C556" s="53" t="s">
        <v>197</v>
      </c>
      <c r="D556" s="57" t="s">
        <v>198</v>
      </c>
      <c r="E556" s="867">
        <v>4177.2899518733875</v>
      </c>
      <c r="F556" s="867">
        <v>1750.834571279054</v>
      </c>
      <c r="G556" s="36" t="str">
        <f t="shared" si="14"/>
        <v>Western Australia</v>
      </c>
    </row>
    <row r="557" spans="1:7" x14ac:dyDescent="0.2">
      <c r="A557" s="444" t="s">
        <v>159</v>
      </c>
      <c r="B557" s="2711"/>
      <c r="C557" s="53" t="s">
        <v>199</v>
      </c>
      <c r="D557" s="57" t="s">
        <v>200</v>
      </c>
      <c r="E557" s="867" t="s">
        <v>319</v>
      </c>
      <c r="F557" s="867">
        <v>0.71903700401248316</v>
      </c>
      <c r="G557" s="36" t="str">
        <f t="shared" si="14"/>
        <v>Western Australia</v>
      </c>
    </row>
    <row r="558" spans="1:7" x14ac:dyDescent="0.2">
      <c r="A558" s="444" t="s">
        <v>159</v>
      </c>
      <c r="B558" s="2711"/>
      <c r="C558" s="53" t="s">
        <v>201</v>
      </c>
      <c r="D558" s="57" t="s">
        <v>202</v>
      </c>
      <c r="E558" s="867">
        <v>17.398840498619901</v>
      </c>
      <c r="F558" s="867">
        <v>21.824940788123616</v>
      </c>
      <c r="G558" s="36" t="str">
        <f t="shared" si="14"/>
        <v>Western Australia</v>
      </c>
    </row>
    <row r="559" spans="1:7" x14ac:dyDescent="0.2">
      <c r="A559" s="444" t="s">
        <v>159</v>
      </c>
      <c r="B559" s="2711"/>
      <c r="C559" s="53" t="s">
        <v>203</v>
      </c>
      <c r="D559" s="57" t="s">
        <v>204</v>
      </c>
      <c r="E559" s="867">
        <v>0.9463139931740614</v>
      </c>
      <c r="F559" s="867">
        <v>8.7112477581347877E-3</v>
      </c>
      <c r="G559" s="36" t="str">
        <f t="shared" si="14"/>
        <v>Western Australia</v>
      </c>
    </row>
    <row r="560" spans="1:7" x14ac:dyDescent="0.2">
      <c r="A560" s="444" t="s">
        <v>159</v>
      </c>
      <c r="B560" s="2711"/>
      <c r="C560" s="53" t="s">
        <v>205</v>
      </c>
      <c r="D560" s="57" t="s">
        <v>206</v>
      </c>
      <c r="E560" s="867">
        <v>3.8819498094300031</v>
      </c>
      <c r="F560" s="867">
        <v>1.8585935662581337</v>
      </c>
      <c r="G560" s="36" t="str">
        <f t="shared" si="14"/>
        <v>Western Australia</v>
      </c>
    </row>
    <row r="561" spans="1:7" x14ac:dyDescent="0.2">
      <c r="A561" s="444" t="s">
        <v>159</v>
      </c>
      <c r="B561" s="2712"/>
      <c r="C561" s="53" t="s">
        <v>207</v>
      </c>
      <c r="D561" s="57" t="s">
        <v>208</v>
      </c>
      <c r="E561" s="867">
        <v>7.263922449833669</v>
      </c>
      <c r="F561" s="867">
        <v>82.807770308012806</v>
      </c>
      <c r="G561" s="36" t="str">
        <f t="shared" si="14"/>
        <v>Western Australia</v>
      </c>
    </row>
    <row r="562" spans="1:7" x14ac:dyDescent="0.2">
      <c r="A562" s="444" t="s">
        <v>209</v>
      </c>
      <c r="B562" s="54" t="s">
        <v>210</v>
      </c>
      <c r="C562" s="53" t="s">
        <v>211</v>
      </c>
      <c r="D562" s="57" t="s">
        <v>212</v>
      </c>
      <c r="E562" s="867">
        <v>1.1841533502717547</v>
      </c>
      <c r="F562" s="867">
        <v>63.687693651084352</v>
      </c>
      <c r="G562" s="36" t="str">
        <f t="shared" si="14"/>
        <v>Western Australia</v>
      </c>
    </row>
    <row r="563" spans="1:7" x14ac:dyDescent="0.2">
      <c r="A563" s="444" t="s">
        <v>213</v>
      </c>
      <c r="B563" s="2710" t="s">
        <v>214</v>
      </c>
      <c r="C563" s="53" t="s">
        <v>215</v>
      </c>
      <c r="D563" s="57" t="s">
        <v>216</v>
      </c>
      <c r="E563" s="867">
        <v>846.39746288393951</v>
      </c>
      <c r="F563" s="867">
        <v>2138.8434902138024</v>
      </c>
      <c r="G563" s="36" t="str">
        <f t="shared" si="14"/>
        <v>Western Australia</v>
      </c>
    </row>
    <row r="564" spans="1:7" x14ac:dyDescent="0.2">
      <c r="A564" s="444" t="s">
        <v>213</v>
      </c>
      <c r="B564" s="2712"/>
      <c r="C564" s="53" t="s">
        <v>217</v>
      </c>
      <c r="D564" s="57" t="s">
        <v>218</v>
      </c>
      <c r="E564" s="867">
        <v>485.463118572756</v>
      </c>
      <c r="F564" s="867">
        <v>876.73026238887155</v>
      </c>
      <c r="G564" s="36" t="str">
        <f t="shared" si="14"/>
        <v>Western Australia</v>
      </c>
    </row>
    <row r="565" spans="1:7" x14ac:dyDescent="0.2">
      <c r="A565" s="444" t="s">
        <v>219</v>
      </c>
      <c r="B565" s="2710" t="s">
        <v>220</v>
      </c>
      <c r="C565" s="53" t="s">
        <v>221</v>
      </c>
      <c r="D565" s="57" t="s">
        <v>222</v>
      </c>
      <c r="E565" s="867">
        <v>75.287011655516082</v>
      </c>
      <c r="F565" s="867">
        <v>86.999924979405748</v>
      </c>
      <c r="G565" s="36" t="str">
        <f t="shared" si="14"/>
        <v>Western Australia</v>
      </c>
    </row>
    <row r="566" spans="1:7" x14ac:dyDescent="0.2">
      <c r="A566" s="444" t="s">
        <v>219</v>
      </c>
      <c r="B566" s="2711"/>
      <c r="C566" s="53" t="s">
        <v>223</v>
      </c>
      <c r="D566" s="57" t="s">
        <v>224</v>
      </c>
      <c r="E566" s="867">
        <v>1806.687233092933</v>
      </c>
      <c r="F566" s="867">
        <v>1747.0928494885059</v>
      </c>
      <c r="G566" s="36" t="str">
        <f t="shared" si="14"/>
        <v>Western Australia</v>
      </c>
    </row>
    <row r="567" spans="1:7" x14ac:dyDescent="0.2">
      <c r="A567" s="444" t="s">
        <v>219</v>
      </c>
      <c r="B567" s="2711"/>
      <c r="C567" s="53" t="s">
        <v>225</v>
      </c>
      <c r="D567" s="57" t="s">
        <v>226</v>
      </c>
      <c r="E567" s="867">
        <v>17.286539203972715</v>
      </c>
      <c r="F567" s="867">
        <v>15.969983909653553</v>
      </c>
      <c r="G567" s="36" t="str">
        <f t="shared" si="14"/>
        <v>Western Australia</v>
      </c>
    </row>
    <row r="568" spans="1:7" x14ac:dyDescent="0.2">
      <c r="A568" s="444" t="s">
        <v>219</v>
      </c>
      <c r="B568" s="2712"/>
      <c r="C568" s="53" t="s">
        <v>227</v>
      </c>
      <c r="D568" s="57" t="s">
        <v>228</v>
      </c>
      <c r="E568" s="867">
        <v>22.430703023127013</v>
      </c>
      <c r="F568" s="867">
        <v>56.257491393175989</v>
      </c>
      <c r="G568" s="36" t="str">
        <f t="shared" si="14"/>
        <v>Western Australia</v>
      </c>
    </row>
    <row r="569" spans="1:7" x14ac:dyDescent="0.2">
      <c r="A569" s="444" t="s">
        <v>229</v>
      </c>
      <c r="B569" s="2710" t="s">
        <v>230</v>
      </c>
      <c r="C569" s="53" t="s">
        <v>231</v>
      </c>
      <c r="D569" s="57" t="s">
        <v>232</v>
      </c>
      <c r="E569" s="867">
        <v>909.03395376190417</v>
      </c>
      <c r="F569" s="867">
        <v>390.33296477215441</v>
      </c>
      <c r="G569" s="36" t="str">
        <f t="shared" si="14"/>
        <v>Western Australia</v>
      </c>
    </row>
    <row r="570" spans="1:7" x14ac:dyDescent="0.2">
      <c r="A570" s="444" t="s">
        <v>229</v>
      </c>
      <c r="B570" s="2711"/>
      <c r="C570" s="53" t="s">
        <v>233</v>
      </c>
      <c r="D570" s="57" t="s">
        <v>234</v>
      </c>
      <c r="E570" s="867">
        <v>155.58367056961723</v>
      </c>
      <c r="F570" s="867">
        <v>0.99161377952755925</v>
      </c>
      <c r="G570" s="36" t="str">
        <f t="shared" si="14"/>
        <v>Western Australia</v>
      </c>
    </row>
    <row r="571" spans="1:7" x14ac:dyDescent="0.2">
      <c r="A571" s="444" t="s">
        <v>229</v>
      </c>
      <c r="B571" s="2712"/>
      <c r="C571" s="53" t="s">
        <v>235</v>
      </c>
      <c r="D571" s="57" t="s">
        <v>236</v>
      </c>
      <c r="E571" s="867">
        <v>18.350000000000001</v>
      </c>
      <c r="F571" s="867">
        <v>9.2745660394616127</v>
      </c>
      <c r="G571" s="36" t="str">
        <f t="shared" si="14"/>
        <v>Western Australia</v>
      </c>
    </row>
    <row r="572" spans="1:7" x14ac:dyDescent="0.2">
      <c r="A572" s="444" t="s">
        <v>237</v>
      </c>
      <c r="B572" s="2710" t="s">
        <v>238</v>
      </c>
      <c r="C572" s="53" t="s">
        <v>239</v>
      </c>
      <c r="D572" s="57" t="s">
        <v>240</v>
      </c>
      <c r="E572" s="867">
        <v>29804.101454788673</v>
      </c>
      <c r="F572" s="867">
        <v>36192.401937289105</v>
      </c>
      <c r="G572" s="36" t="str">
        <f t="shared" si="14"/>
        <v>Western Australia</v>
      </c>
    </row>
    <row r="573" spans="1:7" x14ac:dyDescent="0.2">
      <c r="A573" s="444" t="s">
        <v>237</v>
      </c>
      <c r="B573" s="2711"/>
      <c r="C573" s="53" t="s">
        <v>241</v>
      </c>
      <c r="D573" s="57" t="s">
        <v>242</v>
      </c>
      <c r="E573" s="867">
        <v>21946.018845031365</v>
      </c>
      <c r="F573" s="867">
        <v>11219.38016383703</v>
      </c>
      <c r="G573" s="36" t="str">
        <f t="shared" si="14"/>
        <v>Western Australia</v>
      </c>
    </row>
    <row r="574" spans="1:7" x14ac:dyDescent="0.2">
      <c r="A574" s="444" t="s">
        <v>237</v>
      </c>
      <c r="B574" s="2712"/>
      <c r="C574" s="53" t="s">
        <v>243</v>
      </c>
      <c r="D574" s="57" t="s">
        <v>244</v>
      </c>
      <c r="E574" s="867">
        <v>52.637645666543548</v>
      </c>
      <c r="F574" s="867">
        <v>17.034274871101346</v>
      </c>
      <c r="G574" s="36" t="str">
        <f t="shared" si="14"/>
        <v>Western Australia</v>
      </c>
    </row>
    <row r="575" spans="1:7" x14ac:dyDescent="0.2">
      <c r="A575" s="444" t="s">
        <v>245</v>
      </c>
      <c r="B575" s="2710" t="s">
        <v>246</v>
      </c>
      <c r="C575" s="53" t="s">
        <v>247</v>
      </c>
      <c r="D575" s="57" t="s">
        <v>248</v>
      </c>
      <c r="E575" s="867">
        <v>17744.647133312239</v>
      </c>
      <c r="F575" s="867">
        <v>9650.697622182437</v>
      </c>
      <c r="G575" s="36" t="str">
        <f t="shared" si="14"/>
        <v>Western Australia</v>
      </c>
    </row>
    <row r="576" spans="1:7" x14ac:dyDescent="0.2">
      <c r="A576" s="444" t="s">
        <v>245</v>
      </c>
      <c r="B576" s="2711"/>
      <c r="C576" s="53" t="s">
        <v>249</v>
      </c>
      <c r="D576" s="57" t="s">
        <v>250</v>
      </c>
      <c r="E576" s="867">
        <v>42473.84150686155</v>
      </c>
      <c r="F576" s="867">
        <v>35368.967844997365</v>
      </c>
      <c r="G576" s="36" t="str">
        <f t="shared" si="14"/>
        <v>Western Australia</v>
      </c>
    </row>
    <row r="577" spans="1:7" x14ac:dyDescent="0.2">
      <c r="A577" s="444" t="s">
        <v>245</v>
      </c>
      <c r="B577" s="2711"/>
      <c r="C577" s="53" t="s">
        <v>251</v>
      </c>
      <c r="D577" s="57" t="s">
        <v>252</v>
      </c>
      <c r="E577" s="867">
        <v>16.244403997952322</v>
      </c>
      <c r="F577" s="867">
        <v>0</v>
      </c>
      <c r="G577" s="36" t="str">
        <f t="shared" si="14"/>
        <v>Western Australia</v>
      </c>
    </row>
    <row r="578" spans="1:7" x14ac:dyDescent="0.2">
      <c r="A578" s="444" t="s">
        <v>245</v>
      </c>
      <c r="B578" s="2712"/>
      <c r="C578" s="53" t="s">
        <v>253</v>
      </c>
      <c r="D578" s="57" t="s">
        <v>254</v>
      </c>
      <c r="E578" s="867" t="s">
        <v>319</v>
      </c>
      <c r="F578" s="867">
        <v>0</v>
      </c>
      <c r="G578" s="36" t="str">
        <f t="shared" si="14"/>
        <v>Western Australia</v>
      </c>
    </row>
    <row r="579" spans="1:7" ht="25.5" x14ac:dyDescent="0.2">
      <c r="A579" s="444" t="s">
        <v>255</v>
      </c>
      <c r="B579" s="2710" t="s">
        <v>256</v>
      </c>
      <c r="C579" s="53" t="s">
        <v>257</v>
      </c>
      <c r="D579" s="58" t="s">
        <v>258</v>
      </c>
      <c r="E579" s="867">
        <v>23.106597163455017</v>
      </c>
      <c r="F579" s="867">
        <v>53.771480581489278</v>
      </c>
      <c r="G579" s="36" t="str">
        <f t="shared" si="14"/>
        <v>Western Australia</v>
      </c>
    </row>
    <row r="580" spans="1:7" x14ac:dyDescent="0.2">
      <c r="A580" s="444" t="s">
        <v>255</v>
      </c>
      <c r="B580" s="2711"/>
      <c r="C580" s="53" t="s">
        <v>259</v>
      </c>
      <c r="D580" s="57" t="s">
        <v>260</v>
      </c>
      <c r="E580" s="867">
        <v>19.700042158641331</v>
      </c>
      <c r="F580" s="867">
        <v>19.413030098636831</v>
      </c>
      <c r="G580" s="36" t="str">
        <f t="shared" si="14"/>
        <v>Western Australia</v>
      </c>
    </row>
    <row r="581" spans="1:7" x14ac:dyDescent="0.2">
      <c r="A581" s="444" t="s">
        <v>255</v>
      </c>
      <c r="B581" s="2711"/>
      <c r="C581" s="53" t="s">
        <v>261</v>
      </c>
      <c r="D581" s="57" t="s">
        <v>262</v>
      </c>
      <c r="E581" s="867">
        <v>1.6864608503709064</v>
      </c>
      <c r="F581" s="867">
        <v>1.2865194221055238</v>
      </c>
      <c r="G581" s="36" t="str">
        <f t="shared" si="14"/>
        <v>Western Australia</v>
      </c>
    </row>
    <row r="582" spans="1:7" x14ac:dyDescent="0.2">
      <c r="A582" s="444" t="s">
        <v>255</v>
      </c>
      <c r="B582" s="2711"/>
      <c r="C582" s="53" t="s">
        <v>263</v>
      </c>
      <c r="D582" s="57" t="s">
        <v>264</v>
      </c>
      <c r="E582" s="867">
        <v>0.20499999999999999</v>
      </c>
      <c r="F582" s="867">
        <v>0.41</v>
      </c>
      <c r="G582" s="36" t="str">
        <f t="shared" si="14"/>
        <v>Western Australia</v>
      </c>
    </row>
    <row r="583" spans="1:7" x14ac:dyDescent="0.2">
      <c r="A583" s="444" t="s">
        <v>255</v>
      </c>
      <c r="B583" s="2711"/>
      <c r="C583" s="53" t="s">
        <v>265</v>
      </c>
      <c r="D583" s="57" t="s">
        <v>266</v>
      </c>
      <c r="E583" s="867" t="s">
        <v>319</v>
      </c>
      <c r="F583" s="867">
        <v>0</v>
      </c>
      <c r="G583" s="36" t="str">
        <f t="shared" si="14"/>
        <v>Western Australia</v>
      </c>
    </row>
    <row r="584" spans="1:7" x14ac:dyDescent="0.2">
      <c r="A584" s="444" t="s">
        <v>255</v>
      </c>
      <c r="B584" s="2711"/>
      <c r="C584" s="53" t="s">
        <v>267</v>
      </c>
      <c r="D584" s="57" t="s">
        <v>268</v>
      </c>
      <c r="E584" s="867">
        <v>26.085000000000001</v>
      </c>
      <c r="F584" s="867">
        <v>4.8831999999999995</v>
      </c>
      <c r="G584" s="36" t="str">
        <f t="shared" si="14"/>
        <v>Western Australia</v>
      </c>
    </row>
    <row r="585" spans="1:7" x14ac:dyDescent="0.2">
      <c r="A585" s="444" t="s">
        <v>255</v>
      </c>
      <c r="B585" s="2711"/>
      <c r="C585" s="53" t="s">
        <v>269</v>
      </c>
      <c r="D585" s="57" t="s">
        <v>270</v>
      </c>
      <c r="E585" s="867">
        <v>7.150253781759436</v>
      </c>
      <c r="F585" s="867">
        <v>46.303662055993492</v>
      </c>
      <c r="G585" s="36" t="str">
        <f t="shared" si="14"/>
        <v>Western Australia</v>
      </c>
    </row>
    <row r="586" spans="1:7" x14ac:dyDescent="0.2">
      <c r="A586" s="444" t="s">
        <v>255</v>
      </c>
      <c r="B586" s="2711"/>
      <c r="C586" s="53" t="s">
        <v>271</v>
      </c>
      <c r="D586" s="57" t="s">
        <v>272</v>
      </c>
      <c r="E586" s="867">
        <v>182.93387400105064</v>
      </c>
      <c r="F586" s="867">
        <v>10.286238198983298</v>
      </c>
      <c r="G586" s="36" t="str">
        <f t="shared" si="14"/>
        <v>Western Australia</v>
      </c>
    </row>
    <row r="587" spans="1:7" ht="25.5" x14ac:dyDescent="0.2">
      <c r="A587" s="444" t="s">
        <v>255</v>
      </c>
      <c r="B587" s="2711"/>
      <c r="C587" s="53" t="s">
        <v>273</v>
      </c>
      <c r="D587" s="58" t="s">
        <v>274</v>
      </c>
      <c r="E587" s="867">
        <v>161.92278624159849</v>
      </c>
      <c r="F587" s="867">
        <v>537.31946885308992</v>
      </c>
      <c r="G587" s="36" t="str">
        <f t="shared" si="14"/>
        <v>Western Australia</v>
      </c>
    </row>
    <row r="588" spans="1:7" x14ac:dyDescent="0.2">
      <c r="A588" s="444" t="s">
        <v>255</v>
      </c>
      <c r="B588" s="2712"/>
      <c r="C588" s="53" t="s">
        <v>275</v>
      </c>
      <c r="D588" s="57" t="s">
        <v>276</v>
      </c>
      <c r="E588" s="867">
        <v>6.4919373144807072E-2</v>
      </c>
      <c r="F588" s="867">
        <v>0.216</v>
      </c>
      <c r="G588" s="36" t="str">
        <f t="shared" si="14"/>
        <v>Western Australia</v>
      </c>
    </row>
    <row r="589" spans="1:7" x14ac:dyDescent="0.2">
      <c r="A589" s="444" t="s">
        <v>277</v>
      </c>
      <c r="B589" s="2710" t="s">
        <v>278</v>
      </c>
      <c r="C589" s="53" t="s">
        <v>279</v>
      </c>
      <c r="D589" s="57" t="s">
        <v>280</v>
      </c>
      <c r="E589" s="867">
        <v>772.28417720546531</v>
      </c>
      <c r="F589" s="867">
        <v>336.66816101992185</v>
      </c>
      <c r="G589" s="36" t="str">
        <f t="shared" si="14"/>
        <v>Western Australia</v>
      </c>
    </row>
    <row r="590" spans="1:7" x14ac:dyDescent="0.2">
      <c r="A590" s="444" t="s">
        <v>277</v>
      </c>
      <c r="B590" s="2711"/>
      <c r="C590" s="53" t="s">
        <v>281</v>
      </c>
      <c r="D590" s="57" t="s">
        <v>282</v>
      </c>
      <c r="E590" s="867">
        <v>4721.189721680712</v>
      </c>
      <c r="F590" s="867">
        <v>7445.2144270514063</v>
      </c>
      <c r="G590" s="36" t="str">
        <f t="shared" si="14"/>
        <v>Western Australia</v>
      </c>
    </row>
    <row r="591" spans="1:7" x14ac:dyDescent="0.2">
      <c r="A591" s="444" t="s">
        <v>277</v>
      </c>
      <c r="B591" s="2711"/>
      <c r="C591" s="53" t="s">
        <v>283</v>
      </c>
      <c r="D591" s="57" t="s">
        <v>284</v>
      </c>
      <c r="E591" s="867">
        <v>54.001714285714293</v>
      </c>
      <c r="F591" s="867">
        <v>1.6428261282821093</v>
      </c>
      <c r="G591" s="36" t="str">
        <f t="shared" si="14"/>
        <v>Western Australia</v>
      </c>
    </row>
    <row r="592" spans="1:7" x14ac:dyDescent="0.2">
      <c r="A592" s="444" t="s">
        <v>277</v>
      </c>
      <c r="B592" s="2711"/>
      <c r="C592" s="53" t="s">
        <v>285</v>
      </c>
      <c r="D592" s="57" t="s">
        <v>286</v>
      </c>
      <c r="E592" s="867">
        <v>81.442928147606281</v>
      </c>
      <c r="F592" s="867">
        <v>39.923630409393148</v>
      </c>
      <c r="G592" s="36" t="str">
        <f t="shared" si="14"/>
        <v>Western Australia</v>
      </c>
    </row>
    <row r="593" spans="1:7" x14ac:dyDescent="0.2">
      <c r="A593" s="444" t="s">
        <v>277</v>
      </c>
      <c r="B593" s="2711"/>
      <c r="C593" s="53" t="s">
        <v>287</v>
      </c>
      <c r="D593" s="57" t="s">
        <v>288</v>
      </c>
      <c r="E593" s="867">
        <v>312.41542500754929</v>
      </c>
      <c r="F593" s="867">
        <v>399.16754971086351</v>
      </c>
      <c r="G593" s="36" t="str">
        <f t="shared" si="14"/>
        <v>Western Australia</v>
      </c>
    </row>
    <row r="594" spans="1:7" x14ac:dyDescent="0.2">
      <c r="A594" s="444" t="s">
        <v>277</v>
      </c>
      <c r="B594" s="2711"/>
      <c r="C594" s="53" t="s">
        <v>289</v>
      </c>
      <c r="D594" s="57" t="s">
        <v>290</v>
      </c>
      <c r="E594" s="867">
        <v>79.16</v>
      </c>
      <c r="F594" s="867">
        <v>88.562786040831924</v>
      </c>
      <c r="G594" s="36" t="str">
        <f t="shared" si="14"/>
        <v>Western Australia</v>
      </c>
    </row>
    <row r="595" spans="1:7" x14ac:dyDescent="0.2">
      <c r="A595" s="444" t="s">
        <v>277</v>
      </c>
      <c r="B595" s="2711"/>
      <c r="C595" s="53" t="s">
        <v>291</v>
      </c>
      <c r="D595" s="57" t="s">
        <v>292</v>
      </c>
      <c r="E595" s="867">
        <v>66109.757343438527</v>
      </c>
      <c r="F595" s="867">
        <v>60074.002328119052</v>
      </c>
      <c r="G595" s="36" t="str">
        <f t="shared" si="14"/>
        <v>Western Australia</v>
      </c>
    </row>
    <row r="596" spans="1:7" x14ac:dyDescent="0.2">
      <c r="A596" s="444" t="s">
        <v>277</v>
      </c>
      <c r="B596" s="2711"/>
      <c r="C596" s="53" t="s">
        <v>293</v>
      </c>
      <c r="D596" s="57" t="s">
        <v>97</v>
      </c>
      <c r="E596" s="867">
        <v>19795.957295081407</v>
      </c>
      <c r="F596" s="867">
        <v>38780.76266923816</v>
      </c>
      <c r="G596" s="36" t="str">
        <f t="shared" si="14"/>
        <v>Western Australia</v>
      </c>
    </row>
    <row r="597" spans="1:7" x14ac:dyDescent="0.2">
      <c r="A597" s="444" t="s">
        <v>277</v>
      </c>
      <c r="B597" s="2712"/>
      <c r="C597" s="53" t="s">
        <v>294</v>
      </c>
      <c r="D597" s="57" t="s">
        <v>295</v>
      </c>
      <c r="E597" s="867">
        <v>8.1295912620070805</v>
      </c>
      <c r="F597" s="867">
        <v>4.9028227348611333</v>
      </c>
      <c r="G597" s="36" t="str">
        <f t="shared" si="14"/>
        <v>Western Australia</v>
      </c>
    </row>
    <row r="598" spans="1:7" x14ac:dyDescent="0.2">
      <c r="A598" s="444" t="s">
        <v>296</v>
      </c>
      <c r="B598" s="2710" t="s">
        <v>297</v>
      </c>
      <c r="C598" s="53" t="s">
        <v>298</v>
      </c>
      <c r="D598" s="57" t="s">
        <v>299</v>
      </c>
      <c r="E598" s="867">
        <v>1321.2568198226627</v>
      </c>
      <c r="F598" s="867">
        <v>970.9176232554712</v>
      </c>
      <c r="G598" s="36" t="str">
        <f t="shared" si="14"/>
        <v>Western Australia</v>
      </c>
    </row>
    <row r="599" spans="1:7" x14ac:dyDescent="0.2">
      <c r="A599" s="444" t="s">
        <v>296</v>
      </c>
      <c r="B599" s="2711"/>
      <c r="C599" s="53" t="s">
        <v>300</v>
      </c>
      <c r="D599" s="57" t="s">
        <v>150</v>
      </c>
      <c r="E599" s="867">
        <v>12.777296554781064</v>
      </c>
      <c r="F599" s="867">
        <v>18.50434023677678</v>
      </c>
      <c r="G599" s="36" t="str">
        <f t="shared" ref="G599:G604" si="15">G598</f>
        <v>Western Australia</v>
      </c>
    </row>
    <row r="600" spans="1:7" x14ac:dyDescent="0.2">
      <c r="A600" s="444" t="s">
        <v>296</v>
      </c>
      <c r="B600" s="2712"/>
      <c r="C600" s="53" t="s">
        <v>301</v>
      </c>
      <c r="D600" s="57" t="s">
        <v>302</v>
      </c>
      <c r="E600" s="867">
        <v>9.9201822293925197</v>
      </c>
      <c r="F600" s="867">
        <v>28.592858780232657</v>
      </c>
      <c r="G600" s="36" t="str">
        <f t="shared" si="15"/>
        <v>Western Australia</v>
      </c>
    </row>
    <row r="601" spans="1:7" ht="38.25" x14ac:dyDescent="0.2">
      <c r="A601" s="444" t="s">
        <v>303</v>
      </c>
      <c r="B601" s="2710" t="s">
        <v>304</v>
      </c>
      <c r="C601" s="53" t="s">
        <v>305</v>
      </c>
      <c r="D601" s="58" t="s">
        <v>306</v>
      </c>
      <c r="E601" s="867">
        <v>89.351531831726717</v>
      </c>
      <c r="F601" s="867">
        <v>100.1873765873795</v>
      </c>
      <c r="G601" s="36" t="str">
        <f t="shared" si="15"/>
        <v>Western Australia</v>
      </c>
    </row>
    <row r="602" spans="1:7" x14ac:dyDescent="0.2">
      <c r="A602" s="444" t="s">
        <v>303</v>
      </c>
      <c r="B602" s="2711"/>
      <c r="C602" s="53" t="s">
        <v>307</v>
      </c>
      <c r="D602" s="57" t="s">
        <v>308</v>
      </c>
      <c r="E602" s="867">
        <v>23.948066124618826</v>
      </c>
      <c r="F602" s="867">
        <v>43.373663630748794</v>
      </c>
      <c r="G602" s="36" t="str">
        <f t="shared" si="15"/>
        <v>Western Australia</v>
      </c>
    </row>
    <row r="603" spans="1:7" x14ac:dyDescent="0.2">
      <c r="A603" s="444" t="s">
        <v>303</v>
      </c>
      <c r="B603" s="2711"/>
      <c r="C603" s="53" t="s">
        <v>309</v>
      </c>
      <c r="D603" s="57" t="s">
        <v>39</v>
      </c>
      <c r="E603" s="867">
        <v>34535.5</v>
      </c>
      <c r="F603" s="867">
        <v>35095.99959601822</v>
      </c>
      <c r="G603" s="36" t="str">
        <f t="shared" si="15"/>
        <v>Western Australia</v>
      </c>
    </row>
    <row r="604" spans="1:7" x14ac:dyDescent="0.2">
      <c r="A604" s="444" t="s">
        <v>303</v>
      </c>
      <c r="B604" s="2712"/>
      <c r="C604" s="53" t="s">
        <v>310</v>
      </c>
      <c r="D604" s="57" t="s">
        <v>311</v>
      </c>
      <c r="E604" s="867" t="s">
        <v>319</v>
      </c>
      <c r="F604" s="867">
        <v>37.823250000000002</v>
      </c>
      <c r="G604" s="36" t="str">
        <f t="shared" si="15"/>
        <v>Western Australia</v>
      </c>
    </row>
  </sheetData>
  <sheetProtection sheet="1" objects="1" scenarios="1"/>
  <mergeCells count="89">
    <mergeCell ref="B54:B63"/>
    <mergeCell ref="E3:F3"/>
    <mergeCell ref="B8:B10"/>
    <mergeCell ref="B13:B36"/>
    <mergeCell ref="B38:B39"/>
    <mergeCell ref="B40:B43"/>
    <mergeCell ref="B44:B46"/>
    <mergeCell ref="B47:B49"/>
    <mergeCell ref="B50:B53"/>
    <mergeCell ref="B139:B147"/>
    <mergeCell ref="B64:B72"/>
    <mergeCell ref="B73:B75"/>
    <mergeCell ref="B76:B79"/>
    <mergeCell ref="B83:B85"/>
    <mergeCell ref="B88:B111"/>
    <mergeCell ref="B113:B114"/>
    <mergeCell ref="B115:B118"/>
    <mergeCell ref="B119:B121"/>
    <mergeCell ref="B122:B124"/>
    <mergeCell ref="B125:B128"/>
    <mergeCell ref="B129:B138"/>
    <mergeCell ref="B223:B225"/>
    <mergeCell ref="B148:B150"/>
    <mergeCell ref="B151:B154"/>
    <mergeCell ref="B158:B160"/>
    <mergeCell ref="B163:B186"/>
    <mergeCell ref="B188:B189"/>
    <mergeCell ref="B190:B193"/>
    <mergeCell ref="B194:B196"/>
    <mergeCell ref="B197:B199"/>
    <mergeCell ref="B200:B203"/>
    <mergeCell ref="B204:B213"/>
    <mergeCell ref="B214:B222"/>
    <mergeCell ref="B301:B304"/>
    <mergeCell ref="B226:B229"/>
    <mergeCell ref="B233:B235"/>
    <mergeCell ref="B238:B261"/>
    <mergeCell ref="B263:B264"/>
    <mergeCell ref="B265:B268"/>
    <mergeCell ref="B269:B271"/>
    <mergeCell ref="B272:B274"/>
    <mergeCell ref="B275:B278"/>
    <mergeCell ref="B279:B288"/>
    <mergeCell ref="B289:B297"/>
    <mergeCell ref="B298:B300"/>
    <mergeCell ref="B383:B385"/>
    <mergeCell ref="B308:B310"/>
    <mergeCell ref="B313:B336"/>
    <mergeCell ref="B338:B339"/>
    <mergeCell ref="B340:B343"/>
    <mergeCell ref="B344:B346"/>
    <mergeCell ref="B347:B349"/>
    <mergeCell ref="B350:B353"/>
    <mergeCell ref="B354:B363"/>
    <mergeCell ref="B364:B372"/>
    <mergeCell ref="B373:B375"/>
    <mergeCell ref="B376:B379"/>
    <mergeCell ref="B463:B486"/>
    <mergeCell ref="B388:B411"/>
    <mergeCell ref="B413:B414"/>
    <mergeCell ref="B415:B418"/>
    <mergeCell ref="B419:B421"/>
    <mergeCell ref="B422:B424"/>
    <mergeCell ref="B425:B428"/>
    <mergeCell ref="B429:B438"/>
    <mergeCell ref="B439:B447"/>
    <mergeCell ref="B448:B450"/>
    <mergeCell ref="B451:B454"/>
    <mergeCell ref="B458:B460"/>
    <mergeCell ref="B563:B564"/>
    <mergeCell ref="B488:B489"/>
    <mergeCell ref="B490:B493"/>
    <mergeCell ref="B494:B496"/>
    <mergeCell ref="B497:B499"/>
    <mergeCell ref="B500:B503"/>
    <mergeCell ref="B504:B513"/>
    <mergeCell ref="B514:B522"/>
    <mergeCell ref="B523:B525"/>
    <mergeCell ref="B526:B529"/>
    <mergeCell ref="B533:B535"/>
    <mergeCell ref="B538:B561"/>
    <mergeCell ref="B598:B600"/>
    <mergeCell ref="B601:B604"/>
    <mergeCell ref="B565:B568"/>
    <mergeCell ref="B569:B571"/>
    <mergeCell ref="B572:B574"/>
    <mergeCell ref="B575:B578"/>
    <mergeCell ref="B579:B588"/>
    <mergeCell ref="B589:B59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P486"/>
  <sheetViews>
    <sheetView zoomScale="90" zoomScaleNormal="90" workbookViewId="0">
      <pane ySplit="7" topLeftCell="A8" activePane="bottomLeft" state="frozen"/>
      <selection activeCell="M26" sqref="M26"/>
      <selection pane="bottomLeft" activeCell="A8" sqref="A8"/>
    </sheetView>
  </sheetViews>
  <sheetFormatPr defaultColWidth="9.140625" defaultRowHeight="12.75" x14ac:dyDescent="0.25"/>
  <cols>
    <col min="1" max="1" width="1.7109375" style="7" customWidth="1"/>
    <col min="2" max="2" width="25.85546875" style="5" customWidth="1"/>
    <col min="3" max="3" width="49.42578125" style="10" customWidth="1"/>
    <col min="4" max="4" width="10.5703125" style="10" customWidth="1"/>
    <col min="5" max="5" width="2.5703125" style="10" customWidth="1"/>
    <col min="6" max="6" width="25.28515625" style="5" customWidth="1"/>
    <col min="7" max="7" width="10" style="10" customWidth="1"/>
    <col min="8" max="8" width="10.42578125" style="10" customWidth="1"/>
    <col min="9" max="11" width="9.5703125" style="7" customWidth="1"/>
    <col min="12" max="12" width="9.7109375" style="7" customWidth="1"/>
    <col min="13" max="13" width="11" style="7" customWidth="1"/>
    <col min="14" max="14" width="9.5703125" style="7" customWidth="1"/>
    <col min="15" max="15" width="9.42578125" style="7" customWidth="1"/>
    <col min="16" max="16" width="3.28515625" style="7" customWidth="1"/>
    <col min="17" max="17" width="21.7109375" style="7" customWidth="1"/>
    <col min="18" max="18" width="62.28515625" style="7" customWidth="1"/>
    <col min="19" max="19" width="11.5703125" style="7" customWidth="1"/>
    <col min="20" max="20" width="49.28515625" style="7" customWidth="1"/>
    <col min="21" max="22" width="11" style="7" customWidth="1"/>
    <col min="23" max="24" width="9.140625" style="7"/>
    <col min="25" max="25" width="10.7109375" style="7" customWidth="1"/>
    <col min="26" max="27" width="9.140625" style="7"/>
    <col min="28" max="28" width="11" style="7" customWidth="1"/>
    <col min="29" max="16384" width="9.140625" style="7"/>
  </cols>
  <sheetData>
    <row r="1" spans="1:19" s="22" customFormat="1" ht="18.75" x14ac:dyDescent="0.25">
      <c r="A1" s="20"/>
      <c r="B1" s="20" t="s">
        <v>340</v>
      </c>
      <c r="C1" s="21" t="s">
        <v>958</v>
      </c>
      <c r="D1" s="21"/>
      <c r="E1" s="21"/>
      <c r="F1" s="20"/>
      <c r="G1" s="21"/>
      <c r="H1" s="21"/>
    </row>
    <row r="2" spans="1:19" ht="15" x14ac:dyDescent="0.25">
      <c r="B2" s="6" t="s">
        <v>415</v>
      </c>
      <c r="C2" s="330" t="str">
        <f>B9</f>
        <v>Waste to landfill - average composition</v>
      </c>
      <c r="D2" s="305" t="str">
        <f>B373</f>
        <v>Biosolids disposal and recycling (Biosolids Partnership)</v>
      </c>
      <c r="E2" s="7"/>
      <c r="K2" s="6" t="s">
        <v>12</v>
      </c>
      <c r="L2" s="10"/>
      <c r="M2" s="124" t="s">
        <v>13</v>
      </c>
      <c r="N2" s="1511" t="s">
        <v>1137</v>
      </c>
      <c r="Q2" s="1511"/>
      <c r="R2" s="1511"/>
    </row>
    <row r="3" spans="1:19" ht="15" x14ac:dyDescent="0.25">
      <c r="B3" s="7"/>
      <c r="C3" s="305" t="str">
        <f>B44</f>
        <v>C&amp;I recycling - average composition</v>
      </c>
      <c r="D3" s="329" t="str">
        <f>B153</f>
        <v>Organic waste energy recovery in landfills</v>
      </c>
      <c r="E3" s="7"/>
      <c r="G3" s="7"/>
      <c r="H3" s="7"/>
      <c r="K3" s="1237"/>
      <c r="L3" s="5"/>
      <c r="M3" s="8" t="s">
        <v>14</v>
      </c>
      <c r="N3" s="1511" t="s">
        <v>363</v>
      </c>
    </row>
    <row r="4" spans="1:19" ht="15" x14ac:dyDescent="0.25">
      <c r="C4" s="330" t="s">
        <v>1026</v>
      </c>
      <c r="D4" s="305" t="str">
        <f>B355</f>
        <v>Organic waste energy recovery (excl. landfills) (CEC &amp; others)</v>
      </c>
      <c r="E4" s="14"/>
      <c r="G4" s="14"/>
      <c r="H4" s="14"/>
      <c r="I4" s="18"/>
      <c r="K4" s="1237"/>
      <c r="M4" s="9" t="s">
        <v>15</v>
      </c>
      <c r="N4" s="1511" t="s">
        <v>1135</v>
      </c>
    </row>
    <row r="5" spans="1:19" s="176" customFormat="1" ht="15" x14ac:dyDescent="0.25">
      <c r="B5" s="177"/>
      <c r="C5" s="305" t="str">
        <f>B96</f>
        <v>Plastic waste recycling</v>
      </c>
      <c r="D5" s="1067" t="str">
        <f>B418</f>
        <v>Hazardous waste data and assumptions</v>
      </c>
      <c r="E5" s="178"/>
      <c r="F5" s="5"/>
      <c r="G5" s="178"/>
      <c r="H5" s="178"/>
      <c r="I5" s="179"/>
      <c r="M5" s="1515"/>
      <c r="N5" s="1511" t="s">
        <v>1136</v>
      </c>
    </row>
    <row r="6" spans="1:19" s="176" customFormat="1" ht="15" x14ac:dyDescent="0.25">
      <c r="B6" s="177"/>
      <c r="C6" s="305" t="str">
        <f>B119</f>
        <v>Fly ash disposal and recycling (ADAA)</v>
      </c>
      <c r="D6" s="1067" t="str">
        <f>B465</f>
        <v>Population data</v>
      </c>
      <c r="E6" s="178"/>
      <c r="F6" s="5"/>
      <c r="G6" s="178"/>
      <c r="H6" s="178"/>
      <c r="I6" s="179"/>
    </row>
    <row r="7" spans="1:19" s="105" customFormat="1" ht="15.75" x14ac:dyDescent="0.25">
      <c r="A7" s="103"/>
      <c r="B7" s="3" t="s">
        <v>322</v>
      </c>
      <c r="C7" s="4"/>
      <c r="D7" s="4"/>
      <c r="E7" s="104"/>
      <c r="F7" s="136" t="s">
        <v>328</v>
      </c>
      <c r="G7" s="73"/>
      <c r="H7" s="73"/>
      <c r="I7" s="73"/>
      <c r="J7" s="73"/>
      <c r="K7" s="73"/>
      <c r="L7" s="73"/>
      <c r="M7" s="154"/>
      <c r="N7" s="73"/>
      <c r="O7" s="73"/>
      <c r="Q7" s="154" t="s">
        <v>321</v>
      </c>
      <c r="R7" s="73"/>
    </row>
    <row r="8" spans="1:19" x14ac:dyDescent="0.25">
      <c r="B8" s="156"/>
      <c r="C8" s="156"/>
      <c r="D8" s="155"/>
      <c r="E8" s="155"/>
      <c r="F8" s="155"/>
      <c r="G8" s="155"/>
      <c r="H8" s="155"/>
      <c r="I8" s="155"/>
      <c r="J8" s="155"/>
      <c r="K8" s="155"/>
      <c r="L8" s="155"/>
      <c r="M8" s="155"/>
      <c r="N8" s="155"/>
      <c r="O8" s="155"/>
      <c r="P8" s="155"/>
      <c r="Q8" s="155"/>
      <c r="R8" s="155"/>
      <c r="S8" s="155"/>
    </row>
    <row r="9" spans="1:19" ht="15.75" x14ac:dyDescent="0.25">
      <c r="B9" s="166" t="s">
        <v>691</v>
      </c>
      <c r="C9" s="167"/>
      <c r="D9" s="167"/>
      <c r="E9" s="167"/>
      <c r="F9" s="167"/>
      <c r="G9" s="167"/>
      <c r="H9" s="167"/>
      <c r="I9" s="167"/>
      <c r="J9" s="167"/>
      <c r="K9" s="167"/>
      <c r="L9" s="167"/>
      <c r="M9" s="167"/>
      <c r="N9" s="167"/>
      <c r="O9" s="167"/>
      <c r="P9" s="167"/>
      <c r="Q9" s="167"/>
      <c r="R9" s="167"/>
      <c r="S9" s="155"/>
    </row>
    <row r="10" spans="1:19" ht="13.5" customHeight="1" x14ac:dyDescent="0.25"/>
    <row r="11" spans="1:19" ht="13.5" customHeight="1" x14ac:dyDescent="0.2">
      <c r="B11" s="1118" t="s">
        <v>125</v>
      </c>
      <c r="C11" s="2720" t="s">
        <v>692</v>
      </c>
      <c r="F11" s="2109" t="s">
        <v>668</v>
      </c>
      <c r="G11" s="2110" t="s">
        <v>3</v>
      </c>
      <c r="H11" s="2111" t="s">
        <v>4</v>
      </c>
      <c r="I11" s="1100" t="s">
        <v>7</v>
      </c>
      <c r="J11" s="1100" t="s">
        <v>9</v>
      </c>
      <c r="K11" s="2112" t="s">
        <v>558</v>
      </c>
      <c r="L11" s="2113"/>
      <c r="M11" s="2114"/>
    </row>
    <row r="12" spans="1:19" ht="13.5" customHeight="1" x14ac:dyDescent="0.25">
      <c r="B12" s="1764"/>
      <c r="C12" s="2721"/>
      <c r="F12" s="2115" t="s">
        <v>560</v>
      </c>
      <c r="G12" s="2116">
        <f>'Other national data'!$G$468/1000000</f>
        <v>0.38774199999999998</v>
      </c>
      <c r="H12" s="2117">
        <f>'Other national data'!$H$468/1000000</f>
        <v>7.5646259999999996</v>
      </c>
      <c r="I12" s="2118">
        <f>'Other national data'!$K$468/1000000</f>
        <v>1.691605</v>
      </c>
      <c r="J12" s="2118">
        <f>'Other national data'!$M$468/1000000</f>
        <v>5.8865550000000004</v>
      </c>
      <c r="K12" s="2112"/>
      <c r="L12" s="2112" t="s">
        <v>667</v>
      </c>
      <c r="M12" s="2119"/>
    </row>
    <row r="13" spans="1:19" ht="13.5" customHeight="1" x14ac:dyDescent="0.25">
      <c r="B13" s="450"/>
      <c r="C13" s="2721"/>
      <c r="F13" s="2120" t="s">
        <v>16</v>
      </c>
      <c r="G13" s="2105"/>
      <c r="H13" s="2106"/>
      <c r="I13" s="2121"/>
      <c r="J13" s="2121"/>
      <c r="K13" s="2122"/>
      <c r="L13" s="2122"/>
      <c r="M13" s="1752" t="s">
        <v>386</v>
      </c>
    </row>
    <row r="14" spans="1:19" ht="12.75" customHeight="1" x14ac:dyDescent="0.25">
      <c r="B14" s="451"/>
      <c r="C14" s="2722"/>
      <c r="F14" s="548" t="s">
        <v>25</v>
      </c>
      <c r="G14" s="2103">
        <f>'Inert fraction composn - hide'!H$8</f>
        <v>2.844141069397042E-2</v>
      </c>
      <c r="H14" s="2104">
        <f>'Inert fraction composn - hide'!H$22</f>
        <v>1.2929754546104219E-2</v>
      </c>
      <c r="I14" s="2104">
        <f>'Inert fraction composn - hide'!H$36</f>
        <v>1.5856451422500296E-2</v>
      </c>
      <c r="J14" s="2104">
        <f>'Inert fraction composn - hide'!H$52</f>
        <v>1.7955801104972375E-2</v>
      </c>
      <c r="K14" s="2123">
        <f>SUMPRODUCT(G$12:J$12,G14:J14)/SUM(G$12:J$12)</f>
        <v>1.554083352223562E-2</v>
      </c>
      <c r="L14" s="2123">
        <f>K14/SUM($K$14:$K$17)</f>
        <v>7.5925957564866892E-2</v>
      </c>
      <c r="M14" s="223"/>
    </row>
    <row r="15" spans="1:19" ht="13.5" customHeight="1" x14ac:dyDescent="0.25">
      <c r="B15" s="1730" t="s">
        <v>323</v>
      </c>
      <c r="C15" s="2731" t="s">
        <v>909</v>
      </c>
      <c r="F15" s="548" t="s">
        <v>28</v>
      </c>
      <c r="G15" s="2103">
        <f>'Inert fraction composn - hide'!H$9</f>
        <v>2.5028441410693967E-2</v>
      </c>
      <c r="H15" s="2104">
        <f>'Inert fraction composn - hide'!H$23</f>
        <v>2.6057937748224794E-2</v>
      </c>
      <c r="I15" s="2104">
        <f>'Inert fraction composn - hide'!H$37</f>
        <v>3.5726596623775225E-2</v>
      </c>
      <c r="J15" s="2104">
        <f>'Inert fraction composn - hide'!H$53</f>
        <v>2.3480662983425417E-2</v>
      </c>
      <c r="K15" s="2123">
        <f>SUMPRODUCT(G$12:J$12,G15:J15)/SUM(G$12:J$12)</f>
        <v>2.6108489994430783E-2</v>
      </c>
      <c r="L15" s="2123">
        <f>K15/SUM($K$14:$K$17)</f>
        <v>0.12755506971769806</v>
      </c>
      <c r="M15" s="223"/>
    </row>
    <row r="16" spans="1:19" ht="13.5" customHeight="1" x14ac:dyDescent="0.25">
      <c r="B16" s="450"/>
      <c r="C16" s="2732"/>
      <c r="F16" s="550" t="s">
        <v>32</v>
      </c>
      <c r="G16" s="2103">
        <f>'Inert fraction composn - hide'!H$10</f>
        <v>0.13310580204778155</v>
      </c>
      <c r="H16" s="2104">
        <f>'Inert fraction composn - hide'!H$24</f>
        <v>0.12371830314676253</v>
      </c>
      <c r="I16" s="2104">
        <f>'Inert fraction composn - hide'!H$38</f>
        <v>8.8135993389210229E-2</v>
      </c>
      <c r="J16" s="2104">
        <f>'Inert fraction composn - hide'!H$54</f>
        <v>0.12845303867403315</v>
      </c>
      <c r="K16" s="2123">
        <f>SUMPRODUCT(G$12:J$12,G16:J16)/SUM(G$12:J$12)</f>
        <v>0.12187161741870405</v>
      </c>
      <c r="L16" s="2123">
        <f>K16/SUM($K$14:$K$17)</f>
        <v>0.59541331803437902</v>
      </c>
      <c r="M16" s="223"/>
    </row>
    <row r="17" spans="2:18" ht="13.5" customHeight="1" x14ac:dyDescent="0.25">
      <c r="B17" s="450"/>
      <c r="C17" s="2732"/>
      <c r="F17" s="548" t="s">
        <v>30</v>
      </c>
      <c r="G17" s="2103">
        <f>'Inert fraction composn - hide'!H$11</f>
        <v>4.8350398179749704E-2</v>
      </c>
      <c r="H17" s="2104">
        <f>'Inert fraction composn - hide'!H$25</f>
        <v>4.3319091547077623E-2</v>
      </c>
      <c r="I17" s="2104">
        <f>'Inert fraction composn - hide'!H$39</f>
        <v>3.8536182268917474E-2</v>
      </c>
      <c r="J17" s="2104">
        <f>'Inert fraction composn - hide'!H$55</f>
        <v>3.8674033149171276E-2</v>
      </c>
      <c r="K17" s="2124">
        <f>SUMPRODUCT(G$12:J$12,G17:J17)/SUM(G$12:J$12)</f>
        <v>4.1163122600586931E-2</v>
      </c>
      <c r="L17" s="2124">
        <f>K17/SUM($K$14:$K$17)</f>
        <v>0.20110565468305594</v>
      </c>
      <c r="M17" s="2125">
        <f>SUM(L14:L17)</f>
        <v>0.99999999999999989</v>
      </c>
    </row>
    <row r="18" spans="2:18" ht="13.5" customHeight="1" x14ac:dyDescent="0.25">
      <c r="B18" s="450"/>
      <c r="C18" s="2731" t="s">
        <v>665</v>
      </c>
      <c r="F18" s="2120" t="s">
        <v>17</v>
      </c>
      <c r="G18" s="2105"/>
      <c r="H18" s="2106"/>
      <c r="I18" s="2121"/>
      <c r="J18" s="2121"/>
      <c r="K18" s="2122"/>
      <c r="L18" s="2122"/>
      <c r="M18" s="2126"/>
    </row>
    <row r="19" spans="2:18" ht="13.5" customHeight="1" x14ac:dyDescent="0.25">
      <c r="B19" s="450"/>
      <c r="C19" s="2732"/>
      <c r="F19" s="548" t="s">
        <v>25</v>
      </c>
      <c r="G19" s="2103">
        <f>'Inert fraction composn - hide'!I$8</f>
        <v>2.674226785893417E-2</v>
      </c>
      <c r="H19" s="2104">
        <f>'Inert fraction composn - hide'!I$22</f>
        <v>0.17186560275196477</v>
      </c>
      <c r="I19" s="2104">
        <f>'Inert fraction composn - hide'!I$36</f>
        <v>8.1908831908831914E-2</v>
      </c>
      <c r="J19" s="2104">
        <f>'Inert fraction composn - hide'!I$52</f>
        <v>0.12236286919831225</v>
      </c>
      <c r="K19" s="2123">
        <f>SUMPRODUCT(G$12:J$12,G19:J19)/SUM(G$12:J$12)</f>
        <v>0.13968110141536422</v>
      </c>
      <c r="L19" s="2123">
        <f>K19/SUM($K$19:$K$22)</f>
        <v>0.39657395379993976</v>
      </c>
      <c r="M19" s="2127"/>
    </row>
    <row r="20" spans="2:18" ht="13.5" customHeight="1" x14ac:dyDescent="0.25">
      <c r="B20" s="450"/>
      <c r="C20" s="2732"/>
      <c r="F20" s="548" t="s">
        <v>28</v>
      </c>
      <c r="G20" s="2103">
        <f>'Inert fraction composn - hide'!I$9</f>
        <v>2.0022523407121021E-2</v>
      </c>
      <c r="H20" s="2104">
        <f>'Inert fraction composn - hide'!I$23</f>
        <v>3.1721649832956389E-2</v>
      </c>
      <c r="I20" s="2104">
        <f>'Inert fraction composn - hide'!I$37</f>
        <v>2.1426875593542258E-2</v>
      </c>
      <c r="J20" s="2104">
        <f>'Inert fraction composn - hide'!I$53</f>
        <v>2.3206751054852322E-2</v>
      </c>
      <c r="K20" s="2123">
        <f>SUMPRODUCT(G$12:J$12,G20:J20)/SUM(G$12:J$12)</f>
        <v>2.7080831811018388E-2</v>
      </c>
      <c r="L20" s="2123">
        <f>K20/SUM($K$19:$K$22)</f>
        <v>7.6886224655051641E-2</v>
      </c>
      <c r="M20" s="2127"/>
    </row>
    <row r="21" spans="2:18" ht="13.5" customHeight="1" x14ac:dyDescent="0.25">
      <c r="B21" s="450"/>
      <c r="C21" s="2732"/>
      <c r="F21" s="550" t="s">
        <v>32</v>
      </c>
      <c r="G21" s="2103">
        <f>'Inert fraction composn - hide'!I$10</f>
        <v>0.18503339273428346</v>
      </c>
      <c r="H21" s="2104">
        <f>'Inert fraction composn - hide'!I$24</f>
        <v>0.16658909889675855</v>
      </c>
      <c r="I21" s="2104">
        <f>'Inert fraction composn - hide'!I$38</f>
        <v>0.13111348528015193</v>
      </c>
      <c r="J21" s="2104">
        <f>'Inert fraction composn - hide'!I$54</f>
        <v>0.17088607594936708</v>
      </c>
      <c r="K21" s="2123">
        <f>SUMPRODUCT(G$12:J$12,G21:J21)/SUM(G$12:J$12)</f>
        <v>0.16481422644961108</v>
      </c>
      <c r="L21" s="2123">
        <f>K21/SUM($K$19:$K$22)</f>
        <v>0.46793036970147694</v>
      </c>
      <c r="M21" s="2127"/>
    </row>
    <row r="22" spans="2:18" ht="13.5" customHeight="1" x14ac:dyDescent="0.25">
      <c r="B22" s="450"/>
      <c r="C22" s="2733"/>
      <c r="F22" s="548" t="s">
        <v>30</v>
      </c>
      <c r="G22" s="2103">
        <f>'Inert fraction composn - hide'!I$11</f>
        <v>5.5831521778806265E-2</v>
      </c>
      <c r="H22" s="2104">
        <f>'Inert fraction composn - hide'!I$25</f>
        <v>2.0156450237684833E-2</v>
      </c>
      <c r="I22" s="2104">
        <f>'Inert fraction composn - hide'!I$39</f>
        <v>1.3176638176638177E-2</v>
      </c>
      <c r="J22" s="2104">
        <f>'Inert fraction composn - hide'!I$55</f>
        <v>2.1097046413502112E-2</v>
      </c>
      <c r="K22" s="2124">
        <f>SUMPRODUCT(G$12:J$12,G22:J22)/SUM(G$12:J$12)</f>
        <v>2.064339502988435E-2</v>
      </c>
      <c r="L22" s="2124">
        <f>K22/SUM($K$19:$K$22)</f>
        <v>5.8609451843531737E-2</v>
      </c>
      <c r="M22" s="2125">
        <f>SUM(L19:L22)</f>
        <v>1.0000000000000002</v>
      </c>
    </row>
    <row r="23" spans="2:18" ht="13.5" customHeight="1" x14ac:dyDescent="0.25">
      <c r="B23" s="447"/>
      <c r="F23" s="2120" t="s">
        <v>18</v>
      </c>
      <c r="G23" s="2105"/>
      <c r="H23" s="2106"/>
      <c r="I23" s="2121"/>
      <c r="J23" s="2121"/>
      <c r="K23" s="2122"/>
      <c r="L23" s="2122"/>
      <c r="M23" s="2126"/>
    </row>
    <row r="24" spans="2:18" ht="13.5" customHeight="1" x14ac:dyDescent="0.25">
      <c r="F24" s="548" t="s">
        <v>25</v>
      </c>
      <c r="G24" s="2103">
        <f>'Inert fraction composn - hide'!J$8</f>
        <v>0.48444373963317988</v>
      </c>
      <c r="H24" s="2104">
        <f>'Inert fraction composn - hide'!J$22</f>
        <v>0.5980672198011745</v>
      </c>
      <c r="I24" s="2104">
        <f>'Inert fraction composn - hide'!J$36</f>
        <v>0.63908872901678659</v>
      </c>
      <c r="J24" s="2104">
        <f>'Inert fraction composn - hide'!J$52</f>
        <v>0.80563947633434041</v>
      </c>
      <c r="K24" s="2123">
        <f>SUMPRODUCT(G$12:J$12,G24:J24)/SUM(G$12:J$12)</f>
        <v>0.67837492725361703</v>
      </c>
      <c r="L24" s="2123">
        <f>K24/SUM($K$24:$K$27)</f>
        <v>0.91241333276841075</v>
      </c>
      <c r="M24" s="2127"/>
    </row>
    <row r="25" spans="2:18" ht="13.5" customHeight="1" x14ac:dyDescent="0.25">
      <c r="F25" s="548" t="s">
        <v>28</v>
      </c>
      <c r="G25" s="2103">
        <f>'Inert fraction composn - hide'!J$9</f>
        <v>4.6857261858922382E-2</v>
      </c>
      <c r="H25" s="2104">
        <f>'Inert fraction composn - hide'!J$23</f>
        <v>6.2849129977280704E-2</v>
      </c>
      <c r="I25" s="2104">
        <f>'Inert fraction composn - hide'!J$37</f>
        <v>3.2673860911270988E-2</v>
      </c>
      <c r="J25" s="2104">
        <f>'Inert fraction composn - hide'!J$53</f>
        <v>7.0493454179254783E-3</v>
      </c>
      <c r="K25" s="2123">
        <f>SUMPRODUCT(G$12:J$12,G25:J25)/SUM(G$12:J$12)</f>
        <v>3.8013280497266169E-2</v>
      </c>
      <c r="L25" s="2123">
        <f>K25/SUM($K$24:$K$27)</f>
        <v>5.1127809349304228E-2</v>
      </c>
      <c r="M25" s="2127"/>
    </row>
    <row r="26" spans="2:18" ht="13.5" customHeight="1" x14ac:dyDescent="0.25">
      <c r="F26" s="550" t="s">
        <v>32</v>
      </c>
      <c r="G26" s="2103">
        <f>'Inert fraction composn - hide'!J$10</f>
        <v>5.4156330824024317E-2</v>
      </c>
      <c r="H26" s="2104">
        <f>'Inert fraction composn - hide'!J$24</f>
        <v>3.277572246907659E-2</v>
      </c>
      <c r="I26" s="2104">
        <f>'Inert fraction composn - hide'!J$38</f>
        <v>2.3081534772182263E-2</v>
      </c>
      <c r="J26" s="2104">
        <f>'Inert fraction composn - hide'!J$54</f>
        <v>1.9133937562940583E-2</v>
      </c>
      <c r="K26" s="2123">
        <f>SUMPRODUCT(G$12:J$12,G26:J26)/SUM(G$12:J$12)</f>
        <v>2.708295441364536E-2</v>
      </c>
      <c r="L26" s="2123">
        <f>K26/SUM($K$24:$K$27)</f>
        <v>3.6426535983295143E-2</v>
      </c>
      <c r="M26" s="2127"/>
    </row>
    <row r="27" spans="2:18" ht="13.5" customHeight="1" x14ac:dyDescent="0.25">
      <c r="F27" s="548" t="s">
        <v>30</v>
      </c>
      <c r="G27" s="2107">
        <f>'Inert fraction composn - hide'!J$11</f>
        <v>6.240091535157654E-3</v>
      </c>
      <c r="H27" s="2108">
        <f>'Inert fraction composn - hide'!J$25</f>
        <v>-1.5904271785629966E-3</v>
      </c>
      <c r="I27" s="2108">
        <f>'Inert fraction composn - hide'!J$39</f>
        <v>2.398081534772183E-3</v>
      </c>
      <c r="J27" s="2108">
        <f>'Inert fraction composn - hide'!J55</f>
        <v>1.0070493454179255E-3</v>
      </c>
      <c r="K27" s="2124">
        <f>SUMPRODUCT(G$12:J$12,G27:J27)/SUM(G$12:J$12)</f>
        <v>2.4031176538603818E-5</v>
      </c>
      <c r="L27" s="2124">
        <f>K27/SUM($K$24:$K$27)</f>
        <v>3.2321898989843069E-5</v>
      </c>
      <c r="M27" s="2125">
        <f>SUM(L24:L27)</f>
        <v>1</v>
      </c>
    </row>
    <row r="28" spans="2:18" ht="13.5" customHeight="1" x14ac:dyDescent="0.25"/>
    <row r="29" spans="2:18" ht="13.5" customHeight="1" x14ac:dyDescent="0.25">
      <c r="B29" s="223"/>
      <c r="C29" s="224"/>
      <c r="D29" s="224"/>
      <c r="E29" s="224"/>
      <c r="F29" s="318"/>
      <c r="G29" s="448"/>
      <c r="H29" s="448"/>
      <c r="I29" s="448"/>
      <c r="J29" s="448"/>
      <c r="K29" s="222"/>
      <c r="L29" s="222"/>
      <c r="M29" s="222"/>
      <c r="N29" s="222"/>
      <c r="O29" s="222"/>
      <c r="P29" s="222"/>
      <c r="Q29" s="222"/>
      <c r="R29" s="222"/>
    </row>
    <row r="30" spans="2:18" ht="13.5" customHeight="1" x14ac:dyDescent="0.25">
      <c r="B30" s="1729" t="s">
        <v>126</v>
      </c>
      <c r="C30" s="1789" t="s">
        <v>910</v>
      </c>
      <c r="D30" s="224"/>
      <c r="E30" s="224"/>
      <c r="F30" s="449"/>
      <c r="G30" s="313" t="s">
        <v>16</v>
      </c>
      <c r="H30" s="313" t="s">
        <v>17</v>
      </c>
      <c r="I30" s="313" t="s">
        <v>18</v>
      </c>
      <c r="J30" s="222"/>
      <c r="K30" s="313"/>
      <c r="L30" s="313"/>
      <c r="M30" s="313"/>
      <c r="N30" s="222"/>
      <c r="O30" s="222"/>
      <c r="P30" s="222"/>
      <c r="Q30" s="365" t="s">
        <v>393</v>
      </c>
      <c r="R30" s="2586" t="s">
        <v>890</v>
      </c>
    </row>
    <row r="31" spans="2:18" ht="12.75" customHeight="1" x14ac:dyDescent="0.25">
      <c r="B31" s="1727" t="s">
        <v>323</v>
      </c>
      <c r="C31" s="1779" t="s">
        <v>559</v>
      </c>
      <c r="D31" s="224"/>
      <c r="E31" s="224"/>
      <c r="F31" s="552" t="s">
        <v>664</v>
      </c>
      <c r="G31" s="1791">
        <f>G216</f>
        <v>0.28000000000000003</v>
      </c>
      <c r="H31" s="1792">
        <f>H216/(1-$H$213)</f>
        <v>0.38071065989847719</v>
      </c>
      <c r="I31" s="1793">
        <f>I216</f>
        <v>0.89</v>
      </c>
      <c r="J31" s="222"/>
      <c r="K31" s="313"/>
      <c r="L31" s="313"/>
      <c r="M31" s="313"/>
      <c r="N31" s="222"/>
      <c r="O31" s="222"/>
      <c r="P31" s="222"/>
      <c r="Q31" s="173"/>
      <c r="R31" s="2587"/>
    </row>
    <row r="32" spans="2:18" x14ac:dyDescent="0.25">
      <c r="B32" s="1728"/>
      <c r="C32" s="1790" t="str">
        <f>Nat_data_bioen_lfill</f>
        <v>Organic waste energy recovery in landfills</v>
      </c>
      <c r="D32" s="224"/>
      <c r="E32" s="224"/>
      <c r="F32" s="551" t="s">
        <v>103</v>
      </c>
      <c r="G32" s="5"/>
      <c r="H32" s="5"/>
      <c r="I32" s="445"/>
      <c r="J32" s="222"/>
      <c r="K32" s="313"/>
      <c r="L32" s="313"/>
      <c r="M32" s="313"/>
      <c r="N32" s="222"/>
      <c r="O32" s="222"/>
      <c r="P32" s="222"/>
      <c r="Q32" s="113" t="s">
        <v>100</v>
      </c>
      <c r="R32" s="37" t="s">
        <v>102</v>
      </c>
    </row>
    <row r="33" spans="2:19" ht="13.5" customHeight="1" x14ac:dyDescent="0.25">
      <c r="B33" s="1727" t="s">
        <v>714</v>
      </c>
      <c r="C33" s="2621" t="s">
        <v>911</v>
      </c>
      <c r="D33" s="224"/>
      <c r="E33" s="224"/>
      <c r="F33" s="548" t="s">
        <v>25</v>
      </c>
      <c r="G33" s="1794">
        <f>G$31*L14</f>
        <v>2.1259268118162731E-2</v>
      </c>
      <c r="H33" s="1794">
        <f>H$31*L19</f>
        <v>0.15097993164972326</v>
      </c>
      <c r="I33" s="1795">
        <f>I$31*L24</f>
        <v>0.81204786616388558</v>
      </c>
      <c r="J33" s="222"/>
      <c r="K33" s="542"/>
      <c r="L33" s="313"/>
      <c r="M33" s="313"/>
      <c r="N33" s="222"/>
      <c r="O33" s="222"/>
      <c r="P33" s="222"/>
      <c r="Q33" s="222"/>
      <c r="R33" s="222"/>
    </row>
    <row r="34" spans="2:19" ht="13.5" customHeight="1" x14ac:dyDescent="0.25">
      <c r="B34" s="208"/>
      <c r="C34" s="2662"/>
      <c r="D34" s="224"/>
      <c r="E34" s="224"/>
      <c r="F34" s="548" t="s">
        <v>28</v>
      </c>
      <c r="G34" s="1794">
        <f>G$31*L15</f>
        <v>3.5715419520955458E-2</v>
      </c>
      <c r="H34" s="1794">
        <f>H$31*L20</f>
        <v>2.9271405325527276E-2</v>
      </c>
      <c r="I34" s="1795">
        <f>I$31*L25</f>
        <v>4.5503750320880762E-2</v>
      </c>
      <c r="J34" s="222"/>
      <c r="K34" s="313"/>
      <c r="L34" s="313"/>
      <c r="M34" s="313"/>
      <c r="N34" s="222"/>
      <c r="O34" s="222"/>
      <c r="P34" s="222"/>
      <c r="Q34" s="222"/>
      <c r="R34" s="222"/>
    </row>
    <row r="35" spans="2:19" ht="13.5" customHeight="1" x14ac:dyDescent="0.25">
      <c r="B35" s="2121"/>
      <c r="C35" s="2265"/>
      <c r="D35" s="224"/>
      <c r="E35" s="224"/>
      <c r="F35" s="549" t="s">
        <v>61</v>
      </c>
      <c r="G35" s="1794">
        <f>G208</f>
        <v>0.35</v>
      </c>
      <c r="H35" s="1794">
        <f>H208/(1-$H$213)</f>
        <v>0.21827411167512689</v>
      </c>
      <c r="I35" s="1795">
        <f>I208</f>
        <v>0</v>
      </c>
      <c r="J35" s="222"/>
      <c r="K35" s="313"/>
      <c r="L35" s="313"/>
      <c r="M35" s="313"/>
      <c r="N35" s="222"/>
      <c r="O35" s="222"/>
      <c r="P35" s="222"/>
      <c r="Q35" s="812"/>
      <c r="R35" s="222"/>
    </row>
    <row r="36" spans="2:19" ht="13.5" customHeight="1" x14ac:dyDescent="0.25">
      <c r="B36" s="223"/>
      <c r="C36" s="224"/>
      <c r="D36" s="224"/>
      <c r="E36" s="224"/>
      <c r="F36" s="549" t="s">
        <v>63</v>
      </c>
      <c r="G36" s="1794">
        <f>G210</f>
        <v>0.16500000000000001</v>
      </c>
      <c r="H36" s="1794">
        <f>H210/(1-$H$213)</f>
        <v>4.0609137055837567E-2</v>
      </c>
      <c r="I36" s="1795">
        <f>I210</f>
        <v>0.02</v>
      </c>
      <c r="J36" s="222"/>
      <c r="K36" s="313"/>
      <c r="L36" s="313"/>
      <c r="M36" s="313"/>
      <c r="N36" s="222"/>
      <c r="O36" s="222"/>
      <c r="P36" s="222"/>
      <c r="Q36" s="222"/>
      <c r="R36" s="222"/>
    </row>
    <row r="37" spans="2:19" ht="13.5" customHeight="1" x14ac:dyDescent="0.25">
      <c r="B37" s="223"/>
      <c r="C37" s="224"/>
      <c r="D37" s="224"/>
      <c r="E37" s="224"/>
      <c r="F37" s="549" t="s">
        <v>67</v>
      </c>
      <c r="G37" s="1794">
        <f>G211</f>
        <v>0.01</v>
      </c>
      <c r="H37" s="1794">
        <f>H211/(1-$H$213)</f>
        <v>0.12690355329949238</v>
      </c>
      <c r="I37" s="1795">
        <f>I211</f>
        <v>0.06</v>
      </c>
      <c r="J37" s="222"/>
      <c r="K37" s="313"/>
      <c r="L37" s="313"/>
      <c r="M37" s="313"/>
      <c r="N37" s="222"/>
      <c r="O37" s="222"/>
      <c r="P37" s="222"/>
      <c r="Q37" s="222"/>
      <c r="R37" s="222"/>
    </row>
    <row r="38" spans="2:19" ht="13.5" customHeight="1" x14ac:dyDescent="0.25">
      <c r="B38" s="223"/>
      <c r="C38" s="224"/>
      <c r="D38" s="224"/>
      <c r="E38" s="224"/>
      <c r="F38" s="549" t="s">
        <v>889</v>
      </c>
      <c r="G38" s="1794">
        <f>G214</f>
        <v>0.04</v>
      </c>
      <c r="H38" s="1794">
        <f>H214/(1-$H$213)</f>
        <v>0</v>
      </c>
      <c r="I38" s="1795">
        <f>I214</f>
        <v>0</v>
      </c>
      <c r="J38" s="222"/>
      <c r="K38" s="313"/>
      <c r="L38" s="313"/>
      <c r="M38" s="313"/>
      <c r="N38" s="222"/>
      <c r="O38" s="222"/>
      <c r="P38" s="222"/>
      <c r="Q38" s="222"/>
      <c r="R38" s="222"/>
    </row>
    <row r="39" spans="2:19" ht="13.5" customHeight="1" x14ac:dyDescent="0.25">
      <c r="B39" s="223"/>
      <c r="C39" s="224"/>
      <c r="D39" s="224"/>
      <c r="E39" s="224"/>
      <c r="F39" s="548" t="s">
        <v>20</v>
      </c>
      <c r="G39" s="1794">
        <f>G209</f>
        <v>0.13</v>
      </c>
      <c r="H39" s="1794">
        <f>H209/(1-$H$213)</f>
        <v>0.15736040609137056</v>
      </c>
      <c r="I39" s="1795">
        <f>I209</f>
        <v>0.03</v>
      </c>
      <c r="J39" s="222"/>
      <c r="K39" s="313"/>
      <c r="L39" s="313"/>
      <c r="M39" s="313"/>
      <c r="N39" s="222"/>
      <c r="O39" s="222"/>
      <c r="P39" s="222"/>
      <c r="Q39" s="222"/>
      <c r="R39" s="222"/>
    </row>
    <row r="40" spans="2:19" ht="13.5" customHeight="1" x14ac:dyDescent="0.25">
      <c r="B40" s="223"/>
      <c r="C40" s="224"/>
      <c r="D40" s="224"/>
      <c r="E40" s="224"/>
      <c r="F40" s="550" t="s">
        <v>32</v>
      </c>
      <c r="G40" s="1794">
        <f>G$31*L16</f>
        <v>0.16671572904962614</v>
      </c>
      <c r="H40" s="1794">
        <f>H$31*L21</f>
        <v>0.1781460798355877</v>
      </c>
      <c r="I40" s="1795">
        <f>I$31*L26</f>
        <v>3.2419617025132678E-2</v>
      </c>
      <c r="J40" s="222"/>
      <c r="K40" s="313"/>
      <c r="L40" s="313"/>
      <c r="M40" s="313"/>
      <c r="N40" s="222"/>
      <c r="O40" s="222"/>
      <c r="P40" s="222"/>
      <c r="Q40" s="222"/>
      <c r="R40" s="222"/>
    </row>
    <row r="41" spans="2:19" ht="13.5" customHeight="1" x14ac:dyDescent="0.25">
      <c r="B41" s="223"/>
      <c r="C41" s="224"/>
      <c r="D41" s="224"/>
      <c r="E41" s="224"/>
      <c r="F41" s="548" t="s">
        <v>30</v>
      </c>
      <c r="G41" s="1794">
        <f>G$31*L17</f>
        <v>5.630958331125567E-2</v>
      </c>
      <c r="H41" s="1794">
        <f>H$31*L22</f>
        <v>2.231324308763899E-2</v>
      </c>
      <c r="I41" s="1795">
        <f>I$31*L27</f>
        <v>2.8766490100960333E-5</v>
      </c>
      <c r="J41" s="222"/>
      <c r="K41" s="313"/>
      <c r="L41" s="313"/>
      <c r="M41" s="313"/>
      <c r="N41" s="222"/>
      <c r="O41" s="222"/>
      <c r="P41" s="222"/>
      <c r="Q41" s="222"/>
      <c r="R41" s="222"/>
    </row>
    <row r="42" spans="2:19" ht="13.5" customHeight="1" x14ac:dyDescent="0.25">
      <c r="B42" s="223"/>
      <c r="C42" s="224"/>
      <c r="D42" s="224"/>
      <c r="E42" s="224"/>
      <c r="F42" s="548" t="s">
        <v>27</v>
      </c>
      <c r="G42" s="1796">
        <f>SUM(G212,G215)</f>
        <v>2.5000000000000001E-2</v>
      </c>
      <c r="H42" s="1796">
        <f>SUM(H212,H215)/(1-$H$213)</f>
        <v>7.6142131979695438E-2</v>
      </c>
      <c r="I42" s="1797">
        <f>SUM(I212,I215)</f>
        <v>0</v>
      </c>
      <c r="J42" s="222"/>
      <c r="K42" s="222"/>
      <c r="L42" s="222"/>
      <c r="M42" s="222"/>
      <c r="N42" s="222"/>
      <c r="O42" s="222"/>
      <c r="P42" s="222"/>
      <c r="Q42" s="222"/>
      <c r="R42" s="222"/>
    </row>
    <row r="43" spans="2:19" ht="13.5" customHeight="1" x14ac:dyDescent="0.25">
      <c r="B43" s="223"/>
      <c r="C43" s="224"/>
      <c r="D43" s="224"/>
      <c r="E43" s="224"/>
      <c r="F43" s="318" t="s">
        <v>397</v>
      </c>
      <c r="G43" s="541">
        <f>SUM(G33:G42)</f>
        <v>1</v>
      </c>
      <c r="H43" s="541">
        <f>SUM(H33:H42)</f>
        <v>1</v>
      </c>
      <c r="I43" s="541">
        <f>SUM(I33:I42)</f>
        <v>1</v>
      </c>
      <c r="J43" s="222"/>
      <c r="K43" s="222"/>
      <c r="L43" s="222"/>
      <c r="M43" s="222"/>
      <c r="N43" s="222"/>
      <c r="O43" s="222"/>
      <c r="P43" s="222"/>
      <c r="Q43" s="222"/>
      <c r="R43" s="222"/>
    </row>
    <row r="44" spans="2:19" ht="15.75" x14ac:dyDescent="0.25">
      <c r="B44" s="166" t="s">
        <v>690</v>
      </c>
      <c r="C44" s="167"/>
      <c r="D44" s="167"/>
      <c r="E44" s="167"/>
      <c r="F44" s="167"/>
      <c r="G44" s="167"/>
      <c r="H44" s="167"/>
      <c r="I44" s="167"/>
      <c r="J44" s="167"/>
      <c r="K44" s="167"/>
      <c r="L44" s="167"/>
      <c r="M44" s="167"/>
      <c r="N44" s="167"/>
      <c r="O44" s="167"/>
      <c r="P44" s="167"/>
      <c r="Q44" s="167"/>
      <c r="R44" s="167"/>
      <c r="S44" s="155"/>
    </row>
    <row r="46" spans="2:19" s="170" customFormat="1" x14ac:dyDescent="0.2">
      <c r="B46" s="2740" t="s">
        <v>125</v>
      </c>
      <c r="C46" s="2729" t="s">
        <v>663</v>
      </c>
      <c r="D46" s="169"/>
      <c r="E46" s="169"/>
      <c r="F46" s="553" t="s">
        <v>25</v>
      </c>
      <c r="G46" s="1977">
        <v>224</v>
      </c>
      <c r="H46" s="1978">
        <f>G46/SUM($G$46:$G$63)</f>
        <v>3.8855160450997399E-2</v>
      </c>
      <c r="Q46" s="184" t="s">
        <v>104</v>
      </c>
      <c r="R46" s="225" t="s">
        <v>409</v>
      </c>
    </row>
    <row r="47" spans="2:19" s="170" customFormat="1" x14ac:dyDescent="0.2">
      <c r="B47" s="2741"/>
      <c r="C47" s="2730"/>
      <c r="D47" s="169"/>
      <c r="E47" s="169"/>
      <c r="F47" s="553" t="s">
        <v>56</v>
      </c>
      <c r="G47" s="1979">
        <v>802</v>
      </c>
      <c r="H47" s="1980">
        <f>G47/SUM($G$46:$G$63)</f>
        <v>0.13911535125758889</v>
      </c>
      <c r="Q47" s="184" t="s">
        <v>100</v>
      </c>
      <c r="R47" s="225" t="s">
        <v>410</v>
      </c>
    </row>
    <row r="48" spans="2:19" s="170" customFormat="1" x14ac:dyDescent="0.2">
      <c r="B48" s="171"/>
      <c r="C48" s="169"/>
      <c r="D48" s="169"/>
      <c r="E48" s="169"/>
      <c r="F48" s="553" t="s">
        <v>52</v>
      </c>
      <c r="G48" s="1979">
        <v>90</v>
      </c>
      <c r="H48" s="1980">
        <f>G48/SUM($G$46:$G$63)</f>
        <v>1.5611448395490026E-2</v>
      </c>
      <c r="Q48" s="2726" t="s">
        <v>10</v>
      </c>
      <c r="R48" s="2723" t="s">
        <v>414</v>
      </c>
    </row>
    <row r="49" spans="2:18" s="170" customFormat="1" x14ac:dyDescent="0.2">
      <c r="B49" s="171"/>
      <c r="C49" s="169"/>
      <c r="D49" s="169"/>
      <c r="E49" s="169"/>
      <c r="F49" s="553" t="s">
        <v>402</v>
      </c>
      <c r="G49" s="1979" t="s">
        <v>408</v>
      </c>
      <c r="H49" s="1980">
        <v>0</v>
      </c>
      <c r="Q49" s="2727"/>
      <c r="R49" s="2724"/>
    </row>
    <row r="50" spans="2:18" s="170" customFormat="1" x14ac:dyDescent="0.2">
      <c r="B50" s="171"/>
      <c r="C50" s="169"/>
      <c r="D50" s="169"/>
      <c r="E50" s="169"/>
      <c r="F50" s="553" t="s">
        <v>61</v>
      </c>
      <c r="G50" s="1979">
        <v>416</v>
      </c>
      <c r="H50" s="1980">
        <f t="shared" ref="H50:H63" si="0">G50/SUM($G$46:$G$63)</f>
        <v>7.2159583694709456E-2</v>
      </c>
      <c r="Q50" s="2727"/>
      <c r="R50" s="2724"/>
    </row>
    <row r="51" spans="2:18" s="170" customFormat="1" x14ac:dyDescent="0.2">
      <c r="B51" s="171"/>
      <c r="C51" s="169"/>
      <c r="D51" s="169"/>
      <c r="E51" s="169"/>
      <c r="F51" s="553" t="s">
        <v>63</v>
      </c>
      <c r="G51" s="1979">
        <v>0</v>
      </c>
      <c r="H51" s="1980">
        <f t="shared" si="0"/>
        <v>0</v>
      </c>
      <c r="Q51" s="2728"/>
      <c r="R51" s="2725"/>
    </row>
    <row r="52" spans="2:18" s="170" customFormat="1" x14ac:dyDescent="0.2">
      <c r="B52" s="171"/>
      <c r="C52" s="169"/>
      <c r="D52" s="169"/>
      <c r="E52" s="169"/>
      <c r="F52" s="553" t="s">
        <v>67</v>
      </c>
      <c r="G52" s="1979">
        <v>278</v>
      </c>
      <c r="H52" s="1980">
        <f t="shared" si="0"/>
        <v>4.8222029488291414E-2</v>
      </c>
      <c r="Q52" s="184" t="s">
        <v>352</v>
      </c>
      <c r="R52" s="225" t="s">
        <v>388</v>
      </c>
    </row>
    <row r="53" spans="2:18" s="170" customFormat="1" x14ac:dyDescent="0.2">
      <c r="B53" s="171"/>
      <c r="C53" s="169"/>
      <c r="D53" s="169"/>
      <c r="E53" s="169"/>
      <c r="F53" s="553" t="s">
        <v>65</v>
      </c>
      <c r="G53" s="1979">
        <v>216</v>
      </c>
      <c r="H53" s="1980">
        <f t="shared" si="0"/>
        <v>3.746747614917606E-2</v>
      </c>
      <c r="Q53" s="184" t="s">
        <v>99</v>
      </c>
      <c r="R53" s="227">
        <v>42036</v>
      </c>
    </row>
    <row r="54" spans="2:18" s="170" customFormat="1" x14ac:dyDescent="0.2">
      <c r="B54" s="171"/>
      <c r="C54" s="169"/>
      <c r="D54" s="169"/>
      <c r="E54" s="169"/>
      <c r="F54" s="553" t="s">
        <v>74</v>
      </c>
      <c r="G54" s="1979">
        <v>1834</v>
      </c>
      <c r="H54" s="1980">
        <f t="shared" si="0"/>
        <v>0.31812662619254117</v>
      </c>
    </row>
    <row r="55" spans="2:18" s="170" customFormat="1" x14ac:dyDescent="0.2">
      <c r="B55" s="171"/>
      <c r="C55" s="169"/>
      <c r="D55" s="169"/>
      <c r="E55" s="169"/>
      <c r="F55" s="553" t="s">
        <v>79</v>
      </c>
      <c r="G55" s="1979">
        <v>704</v>
      </c>
      <c r="H55" s="1980">
        <f t="shared" si="0"/>
        <v>0.12211621856027753</v>
      </c>
    </row>
    <row r="56" spans="2:18" s="170" customFormat="1" x14ac:dyDescent="0.2">
      <c r="B56" s="171"/>
      <c r="C56" s="169"/>
      <c r="D56" s="169"/>
      <c r="E56" s="169"/>
      <c r="F56" s="553" t="s">
        <v>403</v>
      </c>
      <c r="G56" s="1979">
        <v>282</v>
      </c>
      <c r="H56" s="1980">
        <f t="shared" si="0"/>
        <v>4.891587163920208E-2</v>
      </c>
    </row>
    <row r="57" spans="2:18" s="170" customFormat="1" x14ac:dyDescent="0.2">
      <c r="B57" s="171"/>
      <c r="C57" s="169"/>
      <c r="D57" s="169"/>
      <c r="E57" s="169"/>
      <c r="F57" s="553" t="s">
        <v>404</v>
      </c>
      <c r="G57" s="1979">
        <v>41</v>
      </c>
      <c r="H57" s="1980">
        <f t="shared" si="0"/>
        <v>7.1118820468343454E-3</v>
      </c>
    </row>
    <row r="58" spans="2:18" s="170" customFormat="1" x14ac:dyDescent="0.2">
      <c r="B58" s="171"/>
      <c r="C58" s="169"/>
      <c r="D58" s="169"/>
      <c r="E58" s="169"/>
      <c r="F58" s="553" t="s">
        <v>96</v>
      </c>
      <c r="G58" s="1979">
        <v>76</v>
      </c>
      <c r="H58" s="1980">
        <f t="shared" si="0"/>
        <v>1.3183000867302688E-2</v>
      </c>
    </row>
    <row r="59" spans="2:18" s="170" customFormat="1" x14ac:dyDescent="0.2">
      <c r="B59" s="171"/>
      <c r="C59" s="169"/>
      <c r="D59" s="169"/>
      <c r="E59" s="169"/>
      <c r="F59" s="553" t="s">
        <v>405</v>
      </c>
      <c r="G59" s="1979">
        <v>54</v>
      </c>
      <c r="H59" s="1980">
        <f t="shared" si="0"/>
        <v>9.366869037294015E-3</v>
      </c>
    </row>
    <row r="60" spans="2:18" s="170" customFormat="1" x14ac:dyDescent="0.2">
      <c r="B60" s="171"/>
      <c r="C60" s="169"/>
      <c r="D60" s="169"/>
      <c r="E60" s="169"/>
      <c r="F60" s="553" t="s">
        <v>406</v>
      </c>
      <c r="G60" s="1979">
        <v>112</v>
      </c>
      <c r="H60" s="1980">
        <f t="shared" si="0"/>
        <v>1.9427580225498699E-2</v>
      </c>
    </row>
    <row r="61" spans="2:18" s="170" customFormat="1" x14ac:dyDescent="0.2">
      <c r="B61" s="171"/>
      <c r="C61" s="169"/>
      <c r="D61" s="169"/>
      <c r="E61" s="169"/>
      <c r="F61" s="553" t="s">
        <v>83</v>
      </c>
      <c r="G61" s="1979">
        <v>27</v>
      </c>
      <c r="H61" s="1980">
        <f t="shared" si="0"/>
        <v>4.6834345186470075E-3</v>
      </c>
    </row>
    <row r="62" spans="2:18" s="170" customFormat="1" x14ac:dyDescent="0.2">
      <c r="B62" s="171"/>
      <c r="C62" s="169"/>
      <c r="D62" s="169"/>
      <c r="E62" s="169"/>
      <c r="F62" s="553" t="s">
        <v>80</v>
      </c>
      <c r="G62" s="1979">
        <v>13</v>
      </c>
      <c r="H62" s="1980">
        <f t="shared" si="0"/>
        <v>2.2549869904596705E-3</v>
      </c>
    </row>
    <row r="63" spans="2:18" s="170" customFormat="1" x14ac:dyDescent="0.2">
      <c r="B63" s="171"/>
      <c r="C63" s="169"/>
      <c r="D63" s="169"/>
      <c r="E63" s="169"/>
      <c r="F63" s="553" t="s">
        <v>407</v>
      </c>
      <c r="G63" s="1981">
        <v>596</v>
      </c>
      <c r="H63" s="1982">
        <f t="shared" si="0"/>
        <v>0.1033824804856895</v>
      </c>
    </row>
    <row r="64" spans="2:18" s="170" customFormat="1" x14ac:dyDescent="0.2">
      <c r="B64" s="171"/>
      <c r="C64" s="169"/>
      <c r="D64" s="169"/>
      <c r="E64" s="169"/>
      <c r="F64" s="168"/>
      <c r="G64" s="175" t="s">
        <v>397</v>
      </c>
      <c r="H64" s="174">
        <f>SUM(H46:H63)</f>
        <v>1</v>
      </c>
    </row>
    <row r="65" spans="1:18" s="170" customFormat="1" x14ac:dyDescent="0.25">
      <c r="B65" s="350"/>
      <c r="C65" s="351"/>
      <c r="D65" s="351"/>
      <c r="E65" s="351"/>
      <c r="F65" s="352"/>
      <c r="G65" s="351"/>
      <c r="H65" s="313"/>
      <c r="I65" s="353"/>
      <c r="J65" s="353"/>
      <c r="K65" s="353"/>
      <c r="L65" s="353"/>
      <c r="M65" s="353"/>
      <c r="N65" s="353"/>
      <c r="O65" s="353"/>
      <c r="P65" s="353"/>
      <c r="Q65" s="353"/>
      <c r="R65" s="353"/>
    </row>
    <row r="66" spans="1:18" s="170" customFormat="1" x14ac:dyDescent="0.25">
      <c r="B66" s="350"/>
      <c r="C66" s="351"/>
      <c r="D66" s="351"/>
      <c r="E66" s="351"/>
      <c r="F66" s="352"/>
      <c r="G66" s="351"/>
      <c r="H66" s="313" t="s">
        <v>88</v>
      </c>
      <c r="I66" s="780" t="s">
        <v>776</v>
      </c>
      <c r="J66" s="353"/>
      <c r="K66" s="353"/>
      <c r="L66" s="353"/>
      <c r="M66" s="353"/>
      <c r="N66" s="353"/>
      <c r="O66" s="353"/>
      <c r="P66" s="353"/>
      <c r="Q66" s="353"/>
      <c r="R66" s="353"/>
    </row>
    <row r="67" spans="1:18" s="170" customFormat="1" x14ac:dyDescent="0.25">
      <c r="B67" s="1729" t="s">
        <v>126</v>
      </c>
      <c r="C67" s="2742" t="s">
        <v>133</v>
      </c>
      <c r="D67" s="351"/>
      <c r="E67" s="351"/>
      <c r="F67" s="554" t="s">
        <v>25</v>
      </c>
      <c r="G67" s="1798"/>
      <c r="H67" s="1799">
        <f t="shared" ref="H67:H77" si="1">H46/($H$64-$H$63)</f>
        <v>4.3335267943509385E-2</v>
      </c>
      <c r="I67" s="1800">
        <f>H67/(1-SUM($H$71:$H$74,$H$79))</f>
        <v>5.408015451472719E-2</v>
      </c>
      <c r="J67" s="353"/>
      <c r="K67" s="353"/>
      <c r="L67" s="353"/>
      <c r="M67" s="353"/>
      <c r="N67" s="353"/>
      <c r="O67" s="353"/>
      <c r="P67" s="353"/>
      <c r="Q67" s="353"/>
      <c r="R67" s="353"/>
    </row>
    <row r="68" spans="1:18" s="170" customFormat="1" x14ac:dyDescent="0.25">
      <c r="B68" s="1784"/>
      <c r="C68" s="2743"/>
      <c r="D68" s="351"/>
      <c r="E68" s="351"/>
      <c r="F68" s="554" t="s">
        <v>56</v>
      </c>
      <c r="G68" s="171"/>
      <c r="H68" s="1801">
        <f t="shared" si="1"/>
        <v>0.15515573611917199</v>
      </c>
      <c r="I68" s="1802">
        <f>H68/(1-SUM($H$71:$H$74,$H$79))</f>
        <v>0.19362626750362147</v>
      </c>
      <c r="J68" s="353"/>
      <c r="K68" s="353"/>
      <c r="L68" s="353"/>
      <c r="M68" s="353"/>
      <c r="N68" s="353"/>
      <c r="O68" s="353"/>
      <c r="P68" s="353"/>
      <c r="Q68" s="353"/>
      <c r="R68" s="353"/>
    </row>
    <row r="69" spans="1:18" s="170" customFormat="1" x14ac:dyDescent="0.25">
      <c r="B69" s="1727" t="s">
        <v>323</v>
      </c>
      <c r="C69" s="2596" t="s">
        <v>412</v>
      </c>
      <c r="D69" s="351"/>
      <c r="E69" s="351"/>
      <c r="F69" s="554" t="s">
        <v>52</v>
      </c>
      <c r="G69" s="171"/>
      <c r="H69" s="1801">
        <f t="shared" si="1"/>
        <v>1.7411491584445736E-2</v>
      </c>
      <c r="I69" s="1802">
        <f>H69/(1-SUM($H$71:$H$74,$H$79))</f>
        <v>2.172863351038146E-2</v>
      </c>
      <c r="J69" s="353"/>
      <c r="K69" s="353"/>
      <c r="L69" s="353"/>
      <c r="M69" s="353"/>
      <c r="N69" s="353"/>
      <c r="O69" s="353"/>
      <c r="P69" s="353"/>
      <c r="Q69" s="353"/>
      <c r="R69" s="353"/>
    </row>
    <row r="70" spans="1:18" s="170" customFormat="1" x14ac:dyDescent="0.25">
      <c r="B70" s="1784"/>
      <c r="C70" s="2597"/>
      <c r="D70" s="351"/>
      <c r="E70" s="351"/>
      <c r="F70" s="554" t="s">
        <v>402</v>
      </c>
      <c r="G70" s="171"/>
      <c r="H70" s="1801">
        <f t="shared" si="1"/>
        <v>0</v>
      </c>
      <c r="I70" s="1802">
        <f>H70/(1-SUM($H$71:$H$74,$H$79))</f>
        <v>0</v>
      </c>
      <c r="J70" s="353"/>
      <c r="K70" s="353"/>
      <c r="L70" s="353"/>
      <c r="M70" s="353"/>
      <c r="N70" s="353"/>
      <c r="O70" s="353"/>
      <c r="P70" s="353"/>
      <c r="Q70" s="353"/>
      <c r="R70" s="353"/>
    </row>
    <row r="71" spans="1:18" x14ac:dyDescent="0.25">
      <c r="A71" s="170"/>
      <c r="B71" s="1727" t="s">
        <v>324</v>
      </c>
      <c r="C71" s="1785"/>
      <c r="D71" s="224"/>
      <c r="E71" s="224"/>
      <c r="F71" s="554" t="s">
        <v>61</v>
      </c>
      <c r="G71" s="5"/>
      <c r="H71" s="1801">
        <f t="shared" si="1"/>
        <v>8.0479783323660292E-2</v>
      </c>
      <c r="I71" s="445"/>
      <c r="J71" s="222"/>
      <c r="K71" s="222"/>
      <c r="L71" s="222"/>
      <c r="M71" s="222"/>
      <c r="N71" s="353"/>
      <c r="O71" s="353"/>
      <c r="P71" s="353"/>
      <c r="Q71" s="353"/>
      <c r="R71" s="353"/>
    </row>
    <row r="72" spans="1:18" x14ac:dyDescent="0.25">
      <c r="A72" s="170"/>
      <c r="B72" s="67" t="s">
        <v>411</v>
      </c>
      <c r="C72" s="69" t="s">
        <v>122</v>
      </c>
      <c r="D72" s="224"/>
      <c r="E72" s="224"/>
      <c r="F72" s="554" t="s">
        <v>63</v>
      </c>
      <c r="G72" s="5"/>
      <c r="H72" s="1801">
        <f t="shared" si="1"/>
        <v>0</v>
      </c>
      <c r="I72" s="445"/>
      <c r="J72" s="222"/>
      <c r="K72" s="222"/>
      <c r="L72" s="222"/>
      <c r="M72" s="222"/>
      <c r="N72" s="353"/>
      <c r="O72" s="353"/>
      <c r="P72" s="353"/>
      <c r="Q72" s="353"/>
      <c r="R72" s="353"/>
    </row>
    <row r="73" spans="1:18" x14ac:dyDescent="0.25">
      <c r="A73" s="170"/>
      <c r="B73" s="1786" t="s">
        <v>403</v>
      </c>
      <c r="C73" s="1787" t="s">
        <v>89</v>
      </c>
      <c r="D73" s="224"/>
      <c r="E73" s="224"/>
      <c r="F73" s="554" t="s">
        <v>67</v>
      </c>
      <c r="G73" s="5"/>
      <c r="H73" s="1801">
        <f t="shared" si="1"/>
        <v>5.3782162894176824E-2</v>
      </c>
      <c r="I73" s="445"/>
      <c r="J73" s="222"/>
      <c r="K73" s="222"/>
      <c r="L73" s="222"/>
      <c r="M73" s="222"/>
      <c r="N73" s="353"/>
      <c r="O73" s="353"/>
      <c r="P73" s="353"/>
      <c r="Q73" s="353"/>
      <c r="R73" s="353"/>
    </row>
    <row r="74" spans="1:18" x14ac:dyDescent="0.25">
      <c r="A74" s="170"/>
      <c r="B74" s="1788"/>
      <c r="C74" s="66" t="s">
        <v>76</v>
      </c>
      <c r="D74" s="224"/>
      <c r="E74" s="224"/>
      <c r="F74" s="554" t="s">
        <v>65</v>
      </c>
      <c r="G74" s="5"/>
      <c r="H74" s="1801">
        <f t="shared" si="1"/>
        <v>4.1787579802669762E-2</v>
      </c>
      <c r="I74" s="445"/>
      <c r="J74" s="222"/>
      <c r="K74" s="222"/>
      <c r="L74" s="222"/>
      <c r="M74" s="222"/>
      <c r="N74" s="353"/>
      <c r="O74" s="353"/>
      <c r="P74" s="353"/>
      <c r="Q74" s="353"/>
      <c r="R74" s="353"/>
    </row>
    <row r="75" spans="1:18" x14ac:dyDescent="0.25">
      <c r="A75" s="170"/>
      <c r="B75" s="1786" t="s">
        <v>404</v>
      </c>
      <c r="C75" s="1787" t="s">
        <v>32</v>
      </c>
      <c r="D75" s="224"/>
      <c r="E75" s="224"/>
      <c r="F75" s="554" t="s">
        <v>74</v>
      </c>
      <c r="G75" s="5"/>
      <c r="H75" s="1801">
        <f t="shared" si="1"/>
        <v>0.35480750628748309</v>
      </c>
      <c r="I75" s="1802">
        <f>H75/(1-SUM($H$71:$H$74,$H$79))</f>
        <v>0.44278126508932886</v>
      </c>
      <c r="J75" s="222"/>
      <c r="K75" s="222"/>
      <c r="L75" s="222"/>
      <c r="M75" s="222"/>
      <c r="N75" s="353"/>
      <c r="O75" s="353"/>
      <c r="P75" s="353"/>
      <c r="Q75" s="353"/>
      <c r="R75" s="353"/>
    </row>
    <row r="76" spans="1:18" x14ac:dyDescent="0.25">
      <c r="A76" s="170"/>
      <c r="B76" s="1788" t="s">
        <v>96</v>
      </c>
      <c r="C76" s="66"/>
      <c r="D76" s="224"/>
      <c r="E76" s="224"/>
      <c r="F76" s="554" t="s">
        <v>79</v>
      </c>
      <c r="G76" s="5"/>
      <c r="H76" s="1801">
        <f t="shared" si="1"/>
        <v>0.13619655639388664</v>
      </c>
      <c r="I76" s="1802">
        <f>H76/(1-SUM($H$71:$H$74,$H$79))</f>
        <v>0.16996619990342832</v>
      </c>
      <c r="J76" s="222"/>
      <c r="K76" s="222"/>
      <c r="L76" s="222"/>
      <c r="M76" s="222"/>
      <c r="N76" s="353"/>
      <c r="O76" s="353"/>
      <c r="P76" s="353"/>
      <c r="Q76" s="353"/>
      <c r="R76" s="353"/>
    </row>
    <row r="77" spans="1:18" x14ac:dyDescent="0.25">
      <c r="A77" s="170"/>
      <c r="B77" s="1786" t="s">
        <v>405</v>
      </c>
      <c r="C77" s="1787" t="s">
        <v>30</v>
      </c>
      <c r="D77" s="224"/>
      <c r="E77" s="224"/>
      <c r="F77" s="554" t="s">
        <v>89</v>
      </c>
      <c r="G77" s="5"/>
      <c r="H77" s="2746">
        <f t="shared" si="1"/>
        <v>5.4556006964596636E-2</v>
      </c>
      <c r="I77" s="1802">
        <f>H77/(1-SUM($H$71:$H$74,$H$79))</f>
        <v>6.8083051665861913E-2</v>
      </c>
      <c r="J77" s="222"/>
      <c r="K77" s="222"/>
      <c r="L77" s="222"/>
      <c r="M77" s="222"/>
      <c r="N77" s="353"/>
      <c r="O77" s="353"/>
      <c r="P77" s="353"/>
      <c r="Q77" s="353"/>
      <c r="R77" s="353"/>
    </row>
    <row r="78" spans="1:18" x14ac:dyDescent="0.25">
      <c r="A78" s="170"/>
      <c r="B78" s="1788" t="s">
        <v>406</v>
      </c>
      <c r="C78" s="66"/>
      <c r="D78" s="224"/>
      <c r="E78" s="224"/>
      <c r="F78" s="554" t="s">
        <v>76</v>
      </c>
      <c r="G78" s="5"/>
      <c r="H78" s="2746"/>
      <c r="I78" s="1802">
        <f>H78/(1-SUM($H$71:$H$74,$H$79))</f>
        <v>0</v>
      </c>
      <c r="J78" s="222"/>
      <c r="K78" s="222"/>
      <c r="L78" s="222"/>
      <c r="M78" s="222"/>
      <c r="N78" s="353"/>
      <c r="O78" s="353"/>
      <c r="P78" s="353"/>
      <c r="Q78" s="353"/>
      <c r="R78" s="353"/>
    </row>
    <row r="79" spans="1:18" x14ac:dyDescent="0.25">
      <c r="A79" s="170"/>
      <c r="B79" s="2744" t="s">
        <v>407</v>
      </c>
      <c r="C79" s="2596" t="s">
        <v>413</v>
      </c>
      <c r="D79" s="224"/>
      <c r="E79" s="224"/>
      <c r="F79" s="554" t="s">
        <v>32</v>
      </c>
      <c r="G79" s="5"/>
      <c r="H79" s="1801">
        <f>SUM(H57:H58)/($H$64-$H$63)</f>
        <v>2.2634939059779455E-2</v>
      </c>
      <c r="I79" s="445"/>
      <c r="J79" s="222"/>
      <c r="K79" s="222"/>
      <c r="L79" s="222"/>
      <c r="M79" s="222"/>
      <c r="N79" s="353"/>
      <c r="O79" s="353"/>
      <c r="P79" s="353"/>
      <c r="Q79" s="353"/>
      <c r="R79" s="353"/>
    </row>
    <row r="80" spans="1:18" x14ac:dyDescent="0.25">
      <c r="A80" s="170"/>
      <c r="B80" s="2745"/>
      <c r="C80" s="2597"/>
      <c r="D80" s="224"/>
      <c r="E80" s="224"/>
      <c r="F80" s="554" t="s">
        <v>30</v>
      </c>
      <c r="G80" s="5"/>
      <c r="H80" s="1801">
        <f>SUM(H59:H60)/(H64-H63)</f>
        <v>3.2114528922422135E-2</v>
      </c>
      <c r="I80" s="1802">
        <f>H80/(1-SUM($H$71:$H$74,$H$79))</f>
        <v>4.0077257363592474E-2</v>
      </c>
      <c r="J80" s="222"/>
      <c r="K80" s="222"/>
      <c r="L80" s="222"/>
      <c r="M80" s="222"/>
      <c r="N80" s="353"/>
      <c r="O80" s="353"/>
      <c r="P80" s="353"/>
      <c r="Q80" s="353"/>
      <c r="R80" s="353"/>
    </row>
    <row r="81" spans="1:19" x14ac:dyDescent="0.25">
      <c r="A81" s="170"/>
      <c r="B81" s="223"/>
      <c r="C81" s="224"/>
      <c r="D81" s="224"/>
      <c r="E81" s="224"/>
      <c r="F81" s="554" t="s">
        <v>83</v>
      </c>
      <c r="G81" s="5"/>
      <c r="H81" s="1801">
        <f>H61/(H64-H63)</f>
        <v>5.2234474753337203E-3</v>
      </c>
      <c r="I81" s="1802">
        <f>H81/(1-SUM($H$71:$H$74,$H$79))</f>
        <v>6.5185900531144376E-3</v>
      </c>
      <c r="J81" s="222"/>
      <c r="K81" s="222"/>
      <c r="L81" s="222"/>
      <c r="M81" s="222"/>
      <c r="N81" s="353"/>
      <c r="O81" s="353"/>
      <c r="P81" s="353"/>
      <c r="Q81" s="353"/>
      <c r="R81" s="353"/>
    </row>
    <row r="82" spans="1:19" x14ac:dyDescent="0.25">
      <c r="A82" s="170"/>
      <c r="B82" s="223"/>
      <c r="C82" s="224"/>
      <c r="D82" s="224"/>
      <c r="E82" s="224"/>
      <c r="F82" s="554" t="s">
        <v>80</v>
      </c>
      <c r="G82" s="1497"/>
      <c r="H82" s="1803">
        <f>H62/(H64-H63)</f>
        <v>2.5149932288643841E-3</v>
      </c>
      <c r="I82" s="1804">
        <f>H82/(1-SUM($H$71:$H$74,$H$79))</f>
        <v>3.1385803959439892E-3</v>
      </c>
      <c r="J82" s="222"/>
      <c r="K82" s="222"/>
      <c r="L82" s="222"/>
      <c r="M82" s="222"/>
      <c r="N82" s="353"/>
      <c r="O82" s="353"/>
      <c r="P82" s="353"/>
      <c r="Q82" s="353"/>
      <c r="R82" s="353"/>
    </row>
    <row r="83" spans="1:19" x14ac:dyDescent="0.2">
      <c r="A83" s="170"/>
      <c r="B83" s="223"/>
      <c r="C83" s="224"/>
      <c r="D83" s="224"/>
      <c r="E83" s="224"/>
      <c r="F83" s="222"/>
      <c r="G83" s="354" t="s">
        <v>397</v>
      </c>
      <c r="H83" s="355">
        <f>SUM(H67:H82)</f>
        <v>1</v>
      </c>
      <c r="I83" s="355">
        <f>SUM(I67:I82)</f>
        <v>1</v>
      </c>
      <c r="J83" s="222"/>
      <c r="K83" s="222"/>
      <c r="L83" s="222"/>
      <c r="M83" s="222"/>
      <c r="N83" s="353"/>
      <c r="O83" s="353"/>
      <c r="P83" s="353"/>
      <c r="Q83" s="353"/>
      <c r="R83" s="353"/>
    </row>
    <row r="84" spans="1:19" ht="15.75" x14ac:dyDescent="0.25">
      <c r="A84" s="170"/>
      <c r="B84" s="166" t="s">
        <v>1025</v>
      </c>
      <c r="C84" s="167"/>
      <c r="D84" s="167"/>
      <c r="E84" s="167"/>
      <c r="F84" s="167"/>
      <c r="G84" s="167"/>
      <c r="H84" s="167"/>
      <c r="I84" s="167"/>
      <c r="J84" s="167"/>
      <c r="K84" s="167"/>
      <c r="L84" s="167"/>
      <c r="M84" s="167"/>
      <c r="N84" s="167"/>
      <c r="O84" s="167"/>
      <c r="P84" s="167"/>
      <c r="Q84" s="167"/>
      <c r="R84" s="167"/>
      <c r="S84" s="155"/>
    </row>
    <row r="85" spans="1:19" x14ac:dyDescent="0.2">
      <c r="A85" s="170"/>
      <c r="F85" s="7"/>
      <c r="G85" s="175"/>
      <c r="H85" s="174"/>
      <c r="I85" s="174"/>
      <c r="N85" s="170"/>
      <c r="O85" s="170"/>
      <c r="P85" s="170"/>
      <c r="Q85" s="170"/>
      <c r="R85" s="170"/>
    </row>
    <row r="86" spans="1:19" x14ac:dyDescent="0.2">
      <c r="A86" s="170"/>
      <c r="B86" s="1118" t="s">
        <v>125</v>
      </c>
      <c r="C86" s="2754" t="s">
        <v>1027</v>
      </c>
      <c r="F86" s="85"/>
      <c r="H86" s="102" t="s">
        <v>16</v>
      </c>
      <c r="I86" s="102" t="s">
        <v>17</v>
      </c>
      <c r="J86" s="102" t="s">
        <v>18</v>
      </c>
      <c r="K86" s="1094" t="s">
        <v>659</v>
      </c>
      <c r="N86" s="170"/>
      <c r="O86" s="170"/>
      <c r="P86" s="170"/>
      <c r="Q86" s="184" t="s">
        <v>104</v>
      </c>
      <c r="R86" s="225" t="s">
        <v>1028</v>
      </c>
    </row>
    <row r="87" spans="1:19" x14ac:dyDescent="0.2">
      <c r="A87" s="170"/>
      <c r="B87" s="451"/>
      <c r="C87" s="2755"/>
      <c r="F87" s="1583" t="s">
        <v>4</v>
      </c>
      <c r="H87" s="1969">
        <v>2271000</v>
      </c>
      <c r="I87" s="1970">
        <v>3062000</v>
      </c>
      <c r="J87" s="1971">
        <v>4384000</v>
      </c>
      <c r="N87" s="170"/>
      <c r="O87" s="170"/>
      <c r="P87" s="170"/>
      <c r="Q87" s="184" t="s">
        <v>100</v>
      </c>
      <c r="R87" s="225" t="s">
        <v>102</v>
      </c>
    </row>
    <row r="88" spans="1:19" x14ac:dyDescent="0.2">
      <c r="A88" s="170"/>
      <c r="F88" s="1583" t="s">
        <v>5</v>
      </c>
      <c r="H88" s="1972">
        <v>20067.492000000002</v>
      </c>
      <c r="I88" s="1973">
        <v>44.59</v>
      </c>
      <c r="J88" s="1954">
        <v>848.45</v>
      </c>
      <c r="N88" s="170"/>
      <c r="O88" s="170"/>
      <c r="P88" s="170"/>
      <c r="Q88" s="1730" t="s">
        <v>446</v>
      </c>
      <c r="R88" s="2723" t="s">
        <v>1024</v>
      </c>
    </row>
    <row r="89" spans="1:19" x14ac:dyDescent="0.2">
      <c r="A89" s="170"/>
      <c r="F89" s="1583" t="s">
        <v>7</v>
      </c>
      <c r="H89" s="1972">
        <v>437984.61538461503</v>
      </c>
      <c r="I89" s="1973">
        <v>1124503.4965035</v>
      </c>
      <c r="J89" s="1954">
        <v>1214411.888111888</v>
      </c>
      <c r="N89" s="170"/>
      <c r="O89" s="170"/>
      <c r="P89" s="170"/>
      <c r="Q89" s="1731"/>
      <c r="R89" s="2724"/>
    </row>
    <row r="90" spans="1:19" x14ac:dyDescent="0.2">
      <c r="A90" s="170"/>
      <c r="F90" s="1583" t="s">
        <v>8</v>
      </c>
      <c r="H90" s="1972">
        <v>79561.252238513058</v>
      </c>
      <c r="I90" s="1973">
        <v>73414.747761486957</v>
      </c>
      <c r="J90" s="1954">
        <v>0</v>
      </c>
      <c r="N90" s="170"/>
      <c r="O90" s="170"/>
      <c r="P90" s="170"/>
      <c r="Q90" s="184" t="s">
        <v>352</v>
      </c>
      <c r="R90" s="225" t="s">
        <v>388</v>
      </c>
    </row>
    <row r="91" spans="1:19" x14ac:dyDescent="0.2">
      <c r="A91" s="170"/>
      <c r="F91" s="1583" t="s">
        <v>9</v>
      </c>
      <c r="H91" s="1972">
        <v>1136149</v>
      </c>
      <c r="I91" s="1973">
        <v>2763168</v>
      </c>
      <c r="J91" s="1954">
        <v>2991772</v>
      </c>
      <c r="N91" s="170"/>
      <c r="O91" s="170"/>
      <c r="P91" s="170"/>
      <c r="Q91" s="184" t="s">
        <v>99</v>
      </c>
      <c r="R91" s="227">
        <v>42575</v>
      </c>
    </row>
    <row r="92" spans="1:19" x14ac:dyDescent="0.2">
      <c r="A92" s="170"/>
      <c r="F92" s="1583" t="s">
        <v>374</v>
      </c>
      <c r="H92" s="1974">
        <v>549860</v>
      </c>
      <c r="I92" s="1975">
        <v>766380</v>
      </c>
      <c r="J92" s="1976">
        <v>1210000</v>
      </c>
      <c r="N92" s="170"/>
      <c r="O92" s="170"/>
      <c r="P92" s="170"/>
      <c r="Q92" s="170"/>
      <c r="R92" s="170"/>
    </row>
    <row r="93" spans="1:19" x14ac:dyDescent="0.2">
      <c r="A93" s="170"/>
      <c r="F93" s="102" t="s">
        <v>88</v>
      </c>
      <c r="H93" s="1607">
        <f>SUM(H87:H92)</f>
        <v>4494622.3596231285</v>
      </c>
      <c r="I93" s="1607">
        <f>SUM(I87:I92)</f>
        <v>7789510.8342649871</v>
      </c>
      <c r="J93" s="1607">
        <f>SUM(J87:J92)</f>
        <v>9801032.3381118886</v>
      </c>
      <c r="K93" s="1093" t="str">
        <f>IF(SUM(H93:J93)=SUM(H87:J92),"Ok","Error")</f>
        <v>Ok</v>
      </c>
      <c r="N93" s="170"/>
      <c r="O93" s="170"/>
      <c r="P93" s="170"/>
      <c r="Q93" s="170"/>
      <c r="R93" s="170"/>
    </row>
    <row r="94" spans="1:19" x14ac:dyDescent="0.2">
      <c r="A94" s="170"/>
      <c r="F94" s="1513"/>
      <c r="H94" s="1608">
        <f>H93/SUM($H93:$J93)</f>
        <v>0.20351318413759253</v>
      </c>
      <c r="I94" s="1608">
        <f>I93/SUM($H93:$J93)</f>
        <v>0.35270330317327619</v>
      </c>
      <c r="J94" s="1608">
        <f>J93/SUM($H93:$J93)</f>
        <v>0.44378351268913124</v>
      </c>
      <c r="K94" s="1093" t="str">
        <f>IF(SUM(H94:J94)=1,"Ok","Error")</f>
        <v>Ok</v>
      </c>
      <c r="N94" s="170"/>
      <c r="O94" s="170"/>
      <c r="P94" s="170"/>
      <c r="Q94" s="170"/>
      <c r="R94" s="170"/>
    </row>
    <row r="95" spans="1:19" x14ac:dyDescent="0.25">
      <c r="A95" s="170"/>
      <c r="N95" s="170"/>
      <c r="O95" s="170"/>
      <c r="P95" s="170"/>
      <c r="Q95" s="170"/>
      <c r="R95" s="170"/>
    </row>
    <row r="96" spans="1:19" ht="15.75" x14ac:dyDescent="0.25">
      <c r="A96" s="170"/>
      <c r="B96" s="166" t="s">
        <v>1011</v>
      </c>
      <c r="C96" s="167"/>
      <c r="D96" s="167"/>
      <c r="E96" s="167"/>
      <c r="F96" s="167"/>
      <c r="G96" s="167"/>
      <c r="H96" s="167"/>
      <c r="I96" s="167"/>
      <c r="J96" s="167"/>
      <c r="K96" s="167"/>
      <c r="L96" s="167"/>
      <c r="M96" s="167"/>
      <c r="N96" s="167"/>
      <c r="O96" s="167"/>
      <c r="P96" s="167"/>
      <c r="Q96" s="167"/>
      <c r="R96" s="167"/>
      <c r="S96" s="155"/>
    </row>
    <row r="97" spans="1:18" s="218" customFormat="1" x14ac:dyDescent="0.2">
      <c r="A97" s="170"/>
      <c r="B97" s="64"/>
      <c r="C97" s="64"/>
      <c r="D97" s="64"/>
      <c r="E97" s="64"/>
      <c r="F97" s="64"/>
      <c r="G97" s="64"/>
      <c r="H97" s="229"/>
    </row>
    <row r="98" spans="1:18" s="218" customFormat="1" x14ac:dyDescent="0.2">
      <c r="A98" s="170"/>
      <c r="B98" s="312" t="s">
        <v>125</v>
      </c>
      <c r="C98" s="332" t="s">
        <v>441</v>
      </c>
      <c r="D98" s="64"/>
      <c r="E98" s="64"/>
      <c r="G98" s="232"/>
      <c r="H98" s="102" t="s">
        <v>16</v>
      </c>
      <c r="I98" s="102" t="s">
        <v>17</v>
      </c>
      <c r="J98" s="102" t="s">
        <v>18</v>
      </c>
      <c r="K98" s="1094" t="s">
        <v>659</v>
      </c>
      <c r="Q98" s="184" t="s">
        <v>104</v>
      </c>
      <c r="R98" s="225" t="s">
        <v>960</v>
      </c>
    </row>
    <row r="99" spans="1:18" s="218" customFormat="1" x14ac:dyDescent="0.2">
      <c r="A99" s="170"/>
      <c r="E99" s="230"/>
      <c r="F99" s="219" t="s">
        <v>3</v>
      </c>
      <c r="G99" s="1957">
        <v>2700</v>
      </c>
      <c r="H99" s="1958">
        <v>0.77777777777777779</v>
      </c>
      <c r="I99" s="1959">
        <v>0.22222222222222221</v>
      </c>
      <c r="J99" s="1960">
        <v>0</v>
      </c>
      <c r="K99" s="1093" t="str">
        <f t="shared" ref="K99:K106" si="2">IF(SUM(H99:J99)=1,"Ok","Error")</f>
        <v>Ok</v>
      </c>
      <c r="Q99" s="184" t="s">
        <v>100</v>
      </c>
      <c r="R99" s="225" t="s">
        <v>868</v>
      </c>
    </row>
    <row r="100" spans="1:18" s="218" customFormat="1" ht="12.75" customHeight="1" x14ac:dyDescent="0.2">
      <c r="A100" s="170"/>
      <c r="E100" s="230"/>
      <c r="F100" s="219" t="s">
        <v>4</v>
      </c>
      <c r="G100" s="1961">
        <v>91700</v>
      </c>
      <c r="H100" s="1962">
        <v>0.6423118865866958</v>
      </c>
      <c r="I100" s="1963">
        <v>0.34569247546346782</v>
      </c>
      <c r="J100" s="1964">
        <v>1.1995637949836423E-2</v>
      </c>
      <c r="K100" s="1093" t="str">
        <f t="shared" si="2"/>
        <v>Ok</v>
      </c>
      <c r="Q100" s="1730" t="s">
        <v>10</v>
      </c>
      <c r="R100" s="2723" t="s">
        <v>961</v>
      </c>
    </row>
    <row r="101" spans="1:18" s="218" customFormat="1" x14ac:dyDescent="0.2">
      <c r="A101" s="170"/>
      <c r="F101" s="1096" t="s">
        <v>5</v>
      </c>
      <c r="G101" s="1961">
        <v>300</v>
      </c>
      <c r="H101" s="1962">
        <v>0.66666666666666663</v>
      </c>
      <c r="I101" s="1963">
        <v>0.33333333333333331</v>
      </c>
      <c r="J101" s="1964">
        <v>0</v>
      </c>
      <c r="K101" s="1093" t="str">
        <f t="shared" si="2"/>
        <v>Ok</v>
      </c>
      <c r="Q101" s="1731"/>
      <c r="R101" s="2724"/>
    </row>
    <row r="102" spans="1:18" s="218" customFormat="1" x14ac:dyDescent="0.2">
      <c r="A102" s="170"/>
      <c r="F102" s="219" t="s">
        <v>6</v>
      </c>
      <c r="G102" s="1961">
        <v>36000</v>
      </c>
      <c r="H102" s="1962">
        <v>0.4861111111111111</v>
      </c>
      <c r="I102" s="1963">
        <v>0.48055555555555557</v>
      </c>
      <c r="J102" s="1964">
        <v>3.3333333333333333E-2</v>
      </c>
      <c r="K102" s="1093" t="str">
        <f t="shared" si="2"/>
        <v>Ok</v>
      </c>
      <c r="Q102" s="184" t="s">
        <v>352</v>
      </c>
      <c r="R102" s="225" t="s">
        <v>388</v>
      </c>
    </row>
    <row r="103" spans="1:18" s="218" customFormat="1" x14ac:dyDescent="0.2">
      <c r="A103" s="170"/>
      <c r="F103" s="219" t="s">
        <v>7</v>
      </c>
      <c r="G103" s="1961">
        <v>31300</v>
      </c>
      <c r="H103" s="1962">
        <v>0.37380191693290737</v>
      </c>
      <c r="I103" s="1963">
        <v>0.53035143769968052</v>
      </c>
      <c r="J103" s="1964">
        <v>9.5846645367412137E-2</v>
      </c>
      <c r="K103" s="1093" t="str">
        <f t="shared" si="2"/>
        <v>Ok</v>
      </c>
      <c r="M103" s="218" t="s">
        <v>329</v>
      </c>
      <c r="Q103" s="184" t="s">
        <v>99</v>
      </c>
      <c r="R103" s="227">
        <v>42562</v>
      </c>
    </row>
    <row r="104" spans="1:18" s="218" customFormat="1" x14ac:dyDescent="0.2">
      <c r="A104" s="170"/>
      <c r="F104" s="219" t="s">
        <v>8</v>
      </c>
      <c r="G104" s="1961">
        <v>2800</v>
      </c>
      <c r="H104" s="1962">
        <v>0.2857142857142857</v>
      </c>
      <c r="I104" s="1963">
        <v>0.7142857142857143</v>
      </c>
      <c r="J104" s="1964">
        <v>0</v>
      </c>
      <c r="K104" s="1093" t="str">
        <f t="shared" si="2"/>
        <v>Ok</v>
      </c>
    </row>
    <row r="105" spans="1:18" s="218" customFormat="1" x14ac:dyDescent="0.2">
      <c r="A105" s="170"/>
      <c r="F105" s="219" t="s">
        <v>9</v>
      </c>
      <c r="G105" s="1961">
        <v>160600</v>
      </c>
      <c r="H105" s="1962">
        <v>0.54420921544209211</v>
      </c>
      <c r="I105" s="1963">
        <v>0.44831880448318806</v>
      </c>
      <c r="J105" s="1964">
        <v>7.4719800747198011E-3</v>
      </c>
      <c r="K105" s="1093" t="str">
        <f t="shared" si="2"/>
        <v>Ok</v>
      </c>
    </row>
    <row r="106" spans="1:18" s="218" customFormat="1" x14ac:dyDescent="0.2">
      <c r="A106" s="170"/>
      <c r="F106" s="234" t="s">
        <v>374</v>
      </c>
      <c r="G106" s="1965">
        <v>16400</v>
      </c>
      <c r="H106" s="1966">
        <v>0.43292682926829268</v>
      </c>
      <c r="I106" s="1967">
        <v>0.56707317073170727</v>
      </c>
      <c r="J106" s="1968">
        <v>0</v>
      </c>
      <c r="K106" s="1093" t="str">
        <f t="shared" si="2"/>
        <v>Ok</v>
      </c>
    </row>
    <row r="107" spans="1:18" s="218" customFormat="1" x14ac:dyDescent="0.2">
      <c r="A107" s="170"/>
    </row>
    <row r="108" spans="1:18" s="218" customFormat="1" x14ac:dyDescent="0.2">
      <c r="A108" s="170"/>
      <c r="B108" s="215"/>
      <c r="C108" s="215"/>
      <c r="D108" s="215"/>
      <c r="E108" s="331"/>
      <c r="F108" s="215"/>
      <c r="G108" s="215"/>
      <c r="H108" s="215"/>
      <c r="I108" s="215"/>
      <c r="J108" s="215"/>
      <c r="K108" s="215"/>
      <c r="L108" s="215"/>
      <c r="M108" s="215"/>
      <c r="N108" s="215"/>
      <c r="O108" s="215"/>
      <c r="P108" s="215"/>
      <c r="Q108" s="215"/>
      <c r="R108" s="215"/>
    </row>
    <row r="109" spans="1:18" s="218" customFormat="1" x14ac:dyDescent="0.2">
      <c r="A109" s="170"/>
      <c r="B109" s="97" t="s">
        <v>126</v>
      </c>
      <c r="C109" s="198" t="s">
        <v>442</v>
      </c>
      <c r="D109" s="215"/>
      <c r="E109" s="333"/>
      <c r="F109" s="215"/>
      <c r="G109" s="215"/>
      <c r="H109" s="334" t="s">
        <v>16</v>
      </c>
      <c r="I109" s="334" t="s">
        <v>17</v>
      </c>
      <c r="J109" s="334" t="s">
        <v>18</v>
      </c>
      <c r="K109" s="215"/>
      <c r="L109" s="215"/>
      <c r="M109" s="215"/>
      <c r="N109" s="215"/>
      <c r="O109" s="215"/>
      <c r="P109" s="215"/>
      <c r="Q109" s="113" t="s">
        <v>393</v>
      </c>
      <c r="R109" s="37" t="s">
        <v>564</v>
      </c>
    </row>
    <row r="110" spans="1:18" s="188" customFormat="1" x14ac:dyDescent="0.2">
      <c r="A110" s="170"/>
      <c r="B110" s="163" t="s">
        <v>341</v>
      </c>
      <c r="C110" s="2596" t="s">
        <v>440</v>
      </c>
      <c r="D110" s="215"/>
      <c r="E110" s="336"/>
      <c r="F110" s="217" t="s">
        <v>3</v>
      </c>
      <c r="G110" s="311"/>
      <c r="H110" s="1805">
        <f t="shared" ref="H110:J111" si="3">$G99*H99</f>
        <v>2100</v>
      </c>
      <c r="I110" s="1806">
        <f t="shared" si="3"/>
        <v>600</v>
      </c>
      <c r="J110" s="1807">
        <f t="shared" si="3"/>
        <v>0</v>
      </c>
      <c r="K110" s="311"/>
      <c r="L110" s="311"/>
      <c r="M110" s="311"/>
      <c r="N110" s="311"/>
      <c r="O110" s="311"/>
      <c r="P110" s="311"/>
      <c r="Q110" s="113" t="s">
        <v>100</v>
      </c>
      <c r="R110" s="37" t="s">
        <v>102</v>
      </c>
    </row>
    <row r="111" spans="1:18" s="188" customFormat="1" x14ac:dyDescent="0.2">
      <c r="A111" s="170"/>
      <c r="B111" s="221"/>
      <c r="C111" s="2597"/>
      <c r="D111" s="316"/>
      <c r="E111" s="336"/>
      <c r="F111" s="217" t="s">
        <v>4</v>
      </c>
      <c r="G111" s="311"/>
      <c r="H111" s="1808">
        <f t="shared" si="3"/>
        <v>58900.000000000007</v>
      </c>
      <c r="I111" s="1809">
        <f t="shared" si="3"/>
        <v>31700</v>
      </c>
      <c r="J111" s="1810">
        <f t="shared" si="3"/>
        <v>1100</v>
      </c>
      <c r="K111" s="311"/>
      <c r="L111" s="311"/>
      <c r="M111" s="311"/>
      <c r="N111" s="311"/>
      <c r="O111" s="311"/>
      <c r="P111" s="311"/>
      <c r="Q111" s="311"/>
      <c r="R111" s="311"/>
    </row>
    <row r="112" spans="1:18" s="188" customFormat="1" x14ac:dyDescent="0.2">
      <c r="A112" s="170"/>
      <c r="B112" s="314"/>
      <c r="C112" s="316"/>
      <c r="D112" s="316"/>
      <c r="E112" s="336"/>
      <c r="F112" s="217" t="s">
        <v>6</v>
      </c>
      <c r="G112" s="311"/>
      <c r="H112" s="1808">
        <f t="shared" ref="H112:J113" si="4">$G102*H102</f>
        <v>17500</v>
      </c>
      <c r="I112" s="1809">
        <f t="shared" si="4"/>
        <v>17300</v>
      </c>
      <c r="J112" s="1810">
        <f t="shared" si="4"/>
        <v>1200</v>
      </c>
      <c r="K112" s="311"/>
      <c r="L112" s="311"/>
      <c r="M112" s="311"/>
      <c r="N112" s="311"/>
      <c r="O112" s="311"/>
      <c r="P112" s="311"/>
      <c r="Q112" s="311"/>
      <c r="R112" s="311"/>
    </row>
    <row r="113" spans="1:42" s="188" customFormat="1" x14ac:dyDescent="0.2">
      <c r="A113" s="170"/>
      <c r="B113" s="314"/>
      <c r="C113" s="316"/>
      <c r="D113" s="316"/>
      <c r="E113" s="336"/>
      <c r="F113" s="217" t="s">
        <v>7</v>
      </c>
      <c r="G113" s="311"/>
      <c r="H113" s="1808">
        <f t="shared" si="4"/>
        <v>11700</v>
      </c>
      <c r="I113" s="1809">
        <f t="shared" si="4"/>
        <v>16600</v>
      </c>
      <c r="J113" s="1810">
        <f t="shared" si="4"/>
        <v>3000</v>
      </c>
      <c r="K113" s="311"/>
      <c r="L113" s="311"/>
      <c r="M113" s="311"/>
      <c r="N113" s="311"/>
      <c r="O113" s="311"/>
      <c r="P113" s="311"/>
      <c r="Q113" s="311"/>
      <c r="R113" s="311"/>
    </row>
    <row r="114" spans="1:42" s="188" customFormat="1" x14ac:dyDescent="0.2">
      <c r="A114" s="170"/>
      <c r="B114" s="311"/>
      <c r="C114" s="311"/>
      <c r="D114" s="316"/>
      <c r="E114" s="336"/>
      <c r="F114" s="217" t="s">
        <v>8</v>
      </c>
      <c r="G114" s="311"/>
      <c r="H114" s="1808">
        <f>$G104*H104</f>
        <v>800</v>
      </c>
      <c r="I114" s="1809">
        <f>$G104*(I104+J104)</f>
        <v>2000</v>
      </c>
      <c r="J114" s="1810">
        <f>$G104*0</f>
        <v>0</v>
      </c>
      <c r="K114" s="311"/>
      <c r="L114" s="311"/>
      <c r="M114" s="311"/>
      <c r="N114" s="311"/>
      <c r="O114" s="311"/>
      <c r="P114" s="311"/>
      <c r="Q114" s="311"/>
      <c r="R114" s="311"/>
    </row>
    <row r="115" spans="1:42" s="188" customFormat="1" x14ac:dyDescent="0.2">
      <c r="A115" s="170"/>
      <c r="B115" s="314"/>
      <c r="C115" s="316"/>
      <c r="D115" s="316"/>
      <c r="E115" s="336"/>
      <c r="F115" s="217" t="s">
        <v>9</v>
      </c>
      <c r="G115" s="311"/>
      <c r="H115" s="1808">
        <f>$G105*H105</f>
        <v>87399.999999999985</v>
      </c>
      <c r="I115" s="1809">
        <f>$G105*I105</f>
        <v>72000</v>
      </c>
      <c r="J115" s="1810">
        <f>$G105*J105</f>
        <v>1200</v>
      </c>
      <c r="K115" s="311"/>
      <c r="L115" s="311"/>
      <c r="M115" s="311"/>
      <c r="N115" s="311"/>
      <c r="O115" s="311"/>
      <c r="P115" s="311"/>
      <c r="Q115" s="311"/>
      <c r="R115" s="311"/>
    </row>
    <row r="116" spans="1:42" s="188" customFormat="1" x14ac:dyDescent="0.2">
      <c r="A116" s="170"/>
      <c r="B116" s="314"/>
      <c r="C116" s="316"/>
      <c r="D116" s="316"/>
      <c r="E116" s="336"/>
      <c r="F116" s="1098" t="s">
        <v>374</v>
      </c>
      <c r="G116" s="311"/>
      <c r="H116" s="1811">
        <f>$G106*H106</f>
        <v>7100</v>
      </c>
      <c r="I116" s="1812">
        <f>$G106*I106</f>
        <v>9300</v>
      </c>
      <c r="J116" s="1813">
        <f>$G106*J106</f>
        <v>0</v>
      </c>
      <c r="K116" s="311"/>
      <c r="L116" s="311"/>
      <c r="M116" s="311"/>
      <c r="N116" s="311"/>
      <c r="O116" s="311"/>
      <c r="P116" s="311"/>
      <c r="Q116" s="311"/>
      <c r="R116" s="311"/>
    </row>
    <row r="117" spans="1:42" s="188" customFormat="1" x14ac:dyDescent="0.2">
      <c r="A117" s="170"/>
      <c r="B117" s="314"/>
      <c r="C117" s="316"/>
      <c r="D117" s="316"/>
      <c r="E117" s="336"/>
      <c r="F117" s="314"/>
      <c r="G117" s="316"/>
      <c r="H117" s="316"/>
      <c r="I117" s="311"/>
      <c r="J117" s="215"/>
      <c r="K117" s="311"/>
      <c r="L117" s="311"/>
      <c r="M117" s="311"/>
      <c r="N117" s="311"/>
      <c r="O117" s="311"/>
      <c r="P117" s="311"/>
      <c r="Q117" s="311"/>
      <c r="R117" s="311"/>
    </row>
    <row r="118" spans="1:42" s="188" customFormat="1" x14ac:dyDescent="0.25">
      <c r="A118" s="170"/>
      <c r="B118" s="191"/>
      <c r="C118" s="199"/>
      <c r="D118" s="199"/>
      <c r="E118" s="231"/>
      <c r="F118" s="191"/>
      <c r="G118" s="199"/>
      <c r="H118" s="199"/>
    </row>
    <row r="119" spans="1:42" ht="15.75" x14ac:dyDescent="0.25">
      <c r="A119" s="170"/>
      <c r="B119" s="166" t="s">
        <v>463</v>
      </c>
      <c r="C119" s="167"/>
      <c r="D119" s="167"/>
      <c r="E119" s="167"/>
      <c r="F119" s="167"/>
      <c r="G119" s="167"/>
      <c r="H119" s="167"/>
      <c r="I119" s="167"/>
      <c r="J119" s="167"/>
      <c r="K119" s="167"/>
      <c r="L119" s="167"/>
      <c r="M119" s="167"/>
      <c r="N119" s="167"/>
      <c r="O119" s="167"/>
      <c r="P119" s="167"/>
      <c r="Q119" s="167"/>
      <c r="R119" s="167"/>
      <c r="S119" s="155"/>
    </row>
    <row r="120" spans="1:42" s="188" customFormat="1" x14ac:dyDescent="0.2">
      <c r="A120" s="170"/>
      <c r="B120" s="218"/>
      <c r="C120" s="235"/>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row>
    <row r="121" spans="1:42" s="188" customFormat="1" x14ac:dyDescent="0.2">
      <c r="A121" s="170"/>
      <c r="B121" s="1118" t="s">
        <v>125</v>
      </c>
      <c r="C121" s="2738" t="s">
        <v>448</v>
      </c>
      <c r="D121" s="218"/>
      <c r="E121" s="218"/>
      <c r="F121" s="233"/>
      <c r="G121" s="559" t="s">
        <v>443</v>
      </c>
      <c r="H121" s="560" t="s">
        <v>447</v>
      </c>
      <c r="I121" s="218"/>
      <c r="J121" s="218"/>
      <c r="K121" s="218"/>
      <c r="L121" s="218"/>
      <c r="M121" s="218"/>
      <c r="N121" s="218"/>
      <c r="O121" s="218"/>
      <c r="P121" s="218"/>
      <c r="Q121" s="184" t="s">
        <v>104</v>
      </c>
      <c r="R121" s="225" t="s">
        <v>445</v>
      </c>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row>
    <row r="122" spans="1:42" s="188" customFormat="1" x14ac:dyDescent="0.2">
      <c r="A122" s="170"/>
      <c r="B122" s="226"/>
      <c r="C122" s="2739"/>
      <c r="D122" s="218"/>
      <c r="E122" s="218"/>
      <c r="F122" s="1510" t="s">
        <v>941</v>
      </c>
      <c r="G122" s="1953">
        <v>10966495</v>
      </c>
      <c r="H122" s="1954">
        <v>5414386</v>
      </c>
      <c r="I122" s="218"/>
      <c r="J122" s="218"/>
      <c r="K122" s="218"/>
      <c r="L122" s="218"/>
      <c r="M122" s="218"/>
      <c r="N122" s="218"/>
      <c r="O122" s="218"/>
      <c r="P122" s="218"/>
      <c r="Q122" s="184" t="s">
        <v>100</v>
      </c>
      <c r="R122" s="225" t="s">
        <v>102</v>
      </c>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row>
    <row r="123" spans="1:42" s="188" customFormat="1" ht="15" customHeight="1" x14ac:dyDescent="0.2">
      <c r="A123" s="170"/>
      <c r="D123" s="220"/>
      <c r="E123" s="218"/>
      <c r="F123" s="1510" t="s">
        <v>942</v>
      </c>
      <c r="G123" s="1953">
        <v>10740629</v>
      </c>
      <c r="H123" s="1954">
        <v>4416107</v>
      </c>
      <c r="I123" s="218"/>
      <c r="J123" s="218"/>
      <c r="K123" s="218"/>
      <c r="L123" s="218"/>
      <c r="M123" s="218"/>
      <c r="N123" s="218"/>
      <c r="O123" s="218"/>
      <c r="P123" s="218"/>
      <c r="Q123" s="1730" t="s">
        <v>446</v>
      </c>
      <c r="R123" s="2723" t="s">
        <v>943</v>
      </c>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row>
    <row r="124" spans="1:42" s="188" customFormat="1" x14ac:dyDescent="0.2">
      <c r="A124" s="170"/>
      <c r="B124" s="191"/>
      <c r="C124" s="199"/>
      <c r="D124" s="199"/>
      <c r="E124" s="218"/>
      <c r="F124" s="1510" t="s">
        <v>876</v>
      </c>
      <c r="G124" s="1955">
        <f>AVERAGE(G122:G123)</f>
        <v>10853562</v>
      </c>
      <c r="H124" s="1956">
        <f>AVERAGE(H122:H123)</f>
        <v>4915246.5</v>
      </c>
      <c r="I124" s="218"/>
      <c r="J124" s="218"/>
      <c r="K124" s="218"/>
      <c r="L124" s="218"/>
      <c r="M124" s="218"/>
      <c r="N124" s="218"/>
      <c r="O124" s="218"/>
      <c r="P124" s="218"/>
      <c r="Q124" s="1731"/>
      <c r="R124" s="2724"/>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row>
    <row r="125" spans="1:42" s="188" customFormat="1" x14ac:dyDescent="0.2">
      <c r="A125" s="170"/>
      <c r="B125" s="191"/>
      <c r="C125" s="199"/>
      <c r="D125" s="199"/>
      <c r="E125" s="218"/>
      <c r="F125" s="218"/>
      <c r="G125" s="218"/>
      <c r="H125" s="199"/>
      <c r="J125" s="218"/>
      <c r="K125" s="218"/>
      <c r="L125" s="218"/>
      <c r="M125" s="218"/>
      <c r="N125" s="218"/>
      <c r="O125" s="218"/>
      <c r="P125" s="218"/>
      <c r="Q125" s="1732"/>
      <c r="R125" s="2725"/>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row>
    <row r="126" spans="1:42" s="188" customFormat="1" x14ac:dyDescent="0.2">
      <c r="A126" s="170"/>
      <c r="B126" s="191"/>
      <c r="C126" s="199"/>
      <c r="D126" s="199"/>
      <c r="E126" s="218"/>
      <c r="F126" s="218"/>
      <c r="G126" s="218"/>
      <c r="H126" s="199"/>
      <c r="J126" s="218"/>
      <c r="K126" s="218"/>
      <c r="L126" s="218"/>
      <c r="M126" s="218"/>
      <c r="N126" s="218"/>
      <c r="O126" s="218"/>
      <c r="P126" s="218"/>
      <c r="Q126" s="184" t="s">
        <v>352</v>
      </c>
      <c r="R126" s="225" t="s">
        <v>388</v>
      </c>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row>
    <row r="127" spans="1:42" s="188" customFormat="1" x14ac:dyDescent="0.2">
      <c r="A127" s="170"/>
      <c r="B127" s="191"/>
      <c r="C127" s="199"/>
      <c r="D127" s="199"/>
      <c r="E127" s="218"/>
      <c r="F127" s="218"/>
      <c r="G127" s="218"/>
      <c r="H127" s="218"/>
      <c r="I127" s="218"/>
      <c r="J127" s="218"/>
      <c r="K127" s="218"/>
      <c r="L127" s="218"/>
      <c r="M127" s="218"/>
      <c r="N127" s="218"/>
      <c r="O127" s="218"/>
      <c r="P127" s="218"/>
      <c r="Q127" s="184" t="s">
        <v>99</v>
      </c>
      <c r="R127" s="227">
        <v>42558</v>
      </c>
      <c r="S127" s="218"/>
      <c r="T127" s="218"/>
      <c r="U127" s="218"/>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row>
    <row r="128" spans="1:42" s="188" customFormat="1" x14ac:dyDescent="0.2">
      <c r="A128" s="170"/>
      <c r="D128" s="218"/>
      <c r="E128" s="218"/>
      <c r="F128" s="218"/>
      <c r="G128" s="218"/>
      <c r="H128" s="218"/>
      <c r="I128" s="218"/>
      <c r="J128" s="218"/>
      <c r="K128" s="218"/>
      <c r="L128" s="218"/>
      <c r="M128" s="218"/>
      <c r="N128" s="218"/>
      <c r="O128" s="218"/>
      <c r="P128" s="218"/>
      <c r="S128" s="218"/>
      <c r="T128" s="218"/>
      <c r="U128" s="218"/>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row>
    <row r="129" spans="1:42" s="188" customFormat="1" x14ac:dyDescent="0.2">
      <c r="A129" s="170"/>
      <c r="B129" s="311"/>
      <c r="C129" s="311"/>
      <c r="D129" s="215"/>
      <c r="E129" s="215"/>
      <c r="F129" s="215"/>
      <c r="G129" s="215"/>
      <c r="H129" s="215"/>
      <c r="I129" s="215"/>
      <c r="J129" s="215"/>
      <c r="K129" s="215"/>
      <c r="L129" s="215"/>
      <c r="M129" s="215"/>
      <c r="N129" s="215"/>
      <c r="O129" s="215"/>
      <c r="P129" s="215"/>
      <c r="Q129" s="215"/>
      <c r="R129" s="215"/>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row>
    <row r="130" spans="1:42" s="188" customFormat="1" x14ac:dyDescent="0.2">
      <c r="A130" s="170"/>
      <c r="B130" s="1729" t="s">
        <v>126</v>
      </c>
      <c r="C130" s="2752" t="s">
        <v>449</v>
      </c>
      <c r="D130" s="215"/>
      <c r="E130" s="215"/>
      <c r="F130" s="331"/>
      <c r="G130" s="561" t="s">
        <v>7</v>
      </c>
      <c r="H130" s="561" t="s">
        <v>6</v>
      </c>
      <c r="I130" s="338"/>
      <c r="J130" s="338"/>
      <c r="K130" s="338"/>
      <c r="L130" s="215"/>
      <c r="M130" s="215"/>
      <c r="N130" s="215"/>
      <c r="O130" s="215"/>
      <c r="P130" s="215"/>
      <c r="Q130" s="113" t="s">
        <v>104</v>
      </c>
      <c r="R130" s="1581" t="s">
        <v>962</v>
      </c>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row>
    <row r="131" spans="1:42" s="188" customFormat="1" x14ac:dyDescent="0.2">
      <c r="A131" s="170"/>
      <c r="B131" s="221"/>
      <c r="C131" s="2753"/>
      <c r="D131" s="215"/>
      <c r="E131" s="215"/>
      <c r="F131" s="337" t="s">
        <v>444</v>
      </c>
      <c r="G131" s="2063">
        <f>SA!G20</f>
        <v>0</v>
      </c>
      <c r="H131" s="2065">
        <f>Qld!H22</f>
        <v>4332019</v>
      </c>
      <c r="I131" s="311"/>
      <c r="J131" s="331"/>
      <c r="K131" s="338"/>
      <c r="L131" s="215"/>
      <c r="M131" s="215"/>
      <c r="N131" s="215"/>
      <c r="O131" s="215"/>
      <c r="P131" s="215"/>
      <c r="Q131" s="113" t="s">
        <v>100</v>
      </c>
      <c r="R131" s="37" t="s">
        <v>102</v>
      </c>
      <c r="S131" s="218"/>
      <c r="T131" s="218"/>
      <c r="U131" s="218"/>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row>
    <row r="132" spans="1:42" s="188" customFormat="1" x14ac:dyDescent="0.2">
      <c r="A132" s="170"/>
      <c r="B132" s="311"/>
      <c r="C132" s="311"/>
      <c r="D132" s="215"/>
      <c r="E132" s="215"/>
      <c r="F132" s="337" t="s">
        <v>114</v>
      </c>
      <c r="G132" s="2064">
        <f>SA!H172</f>
        <v>146000</v>
      </c>
      <c r="H132" s="2066">
        <f>Qld!H82</f>
        <v>883622</v>
      </c>
      <c r="I132" s="311"/>
      <c r="J132" s="331"/>
      <c r="K132" s="338"/>
      <c r="L132" s="215"/>
      <c r="M132" s="215"/>
      <c r="N132" s="215"/>
      <c r="O132" s="215"/>
      <c r="P132" s="215"/>
      <c r="Q132" s="1727" t="s">
        <v>446</v>
      </c>
      <c r="R132" s="366" t="s">
        <v>450</v>
      </c>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row>
    <row r="133" spans="1:42" s="188" customFormat="1" x14ac:dyDescent="0.2">
      <c r="A133" s="170"/>
      <c r="B133" s="311"/>
      <c r="C133" s="311"/>
      <c r="D133" s="215"/>
      <c r="E133" s="215"/>
      <c r="F133" s="311"/>
      <c r="G133" s="311"/>
      <c r="H133" s="311"/>
      <c r="I133" s="311"/>
      <c r="J133" s="215"/>
      <c r="K133" s="338"/>
      <c r="L133" s="215"/>
      <c r="M133" s="215"/>
      <c r="N133" s="215"/>
      <c r="O133" s="215"/>
      <c r="P133" s="215"/>
      <c r="Q133" s="113" t="s">
        <v>352</v>
      </c>
      <c r="R133" s="37" t="s">
        <v>388</v>
      </c>
      <c r="S133" s="218"/>
      <c r="T133" s="218"/>
      <c r="U133" s="218"/>
      <c r="V133" s="218"/>
      <c r="W133" s="218"/>
      <c r="X133" s="218"/>
      <c r="Y133" s="218"/>
      <c r="Z133" s="218"/>
      <c r="AA133" s="218"/>
      <c r="AB133" s="218"/>
      <c r="AC133" s="218"/>
      <c r="AD133" s="218"/>
      <c r="AE133" s="218"/>
      <c r="AF133" s="218"/>
      <c r="AG133" s="218"/>
      <c r="AH133" s="218"/>
      <c r="AI133" s="218"/>
      <c r="AJ133" s="218"/>
      <c r="AK133" s="218"/>
      <c r="AL133" s="218"/>
      <c r="AM133" s="218"/>
      <c r="AN133" s="218"/>
      <c r="AO133" s="218"/>
      <c r="AP133" s="218"/>
    </row>
    <row r="134" spans="1:42" s="188" customFormat="1" x14ac:dyDescent="0.2">
      <c r="A134" s="170"/>
      <c r="B134" s="331"/>
      <c r="C134" s="339"/>
      <c r="D134" s="215"/>
      <c r="E134" s="215"/>
      <c r="F134" s="311"/>
      <c r="G134" s="311"/>
      <c r="H134" s="311"/>
      <c r="I134" s="311"/>
      <c r="J134" s="215"/>
      <c r="K134" s="338"/>
      <c r="L134" s="215"/>
      <c r="M134" s="215"/>
      <c r="N134" s="215"/>
      <c r="O134" s="215"/>
      <c r="P134" s="215"/>
      <c r="Q134" s="113" t="s">
        <v>99</v>
      </c>
      <c r="R134" s="161">
        <v>42036</v>
      </c>
      <c r="S134" s="218"/>
      <c r="T134" s="218"/>
      <c r="U134" s="218"/>
      <c r="V134" s="218"/>
      <c r="W134" s="218"/>
      <c r="X134" s="218"/>
      <c r="Y134" s="218"/>
      <c r="Z134" s="218"/>
      <c r="AA134" s="218"/>
      <c r="AB134" s="218"/>
      <c r="AC134" s="218"/>
      <c r="AD134" s="218"/>
      <c r="AE134" s="218"/>
      <c r="AF134" s="218"/>
      <c r="AG134" s="218"/>
      <c r="AH134" s="218"/>
      <c r="AI134" s="218"/>
      <c r="AJ134" s="218"/>
      <c r="AK134" s="218"/>
      <c r="AL134" s="218"/>
      <c r="AM134" s="218"/>
      <c r="AN134" s="218"/>
      <c r="AO134" s="218"/>
      <c r="AP134" s="218"/>
    </row>
    <row r="135" spans="1:42" s="188" customFormat="1" x14ac:dyDescent="0.2">
      <c r="A135" s="170"/>
      <c r="B135" s="311"/>
      <c r="C135" s="311"/>
      <c r="D135" s="215"/>
      <c r="E135" s="215"/>
      <c r="F135" s="215"/>
      <c r="G135" s="215"/>
      <c r="H135" s="215"/>
      <c r="I135" s="215"/>
      <c r="J135" s="215"/>
      <c r="K135" s="338"/>
      <c r="L135" s="215"/>
      <c r="M135" s="215"/>
      <c r="N135" s="215"/>
      <c r="O135" s="215"/>
      <c r="P135" s="215"/>
      <c r="Q135" s="311"/>
      <c r="R135" s="311"/>
      <c r="S135" s="218"/>
      <c r="T135" s="218"/>
      <c r="U135" s="218"/>
      <c r="V135" s="218"/>
      <c r="W135" s="218"/>
      <c r="X135" s="218"/>
      <c r="Y135" s="218"/>
      <c r="Z135" s="218"/>
      <c r="AA135" s="218"/>
      <c r="AB135" s="218"/>
      <c r="AC135" s="218"/>
      <c r="AD135" s="218"/>
      <c r="AE135" s="218"/>
      <c r="AF135" s="218"/>
      <c r="AG135" s="218"/>
      <c r="AH135" s="218"/>
      <c r="AI135" s="218"/>
      <c r="AJ135" s="218"/>
      <c r="AK135" s="218"/>
      <c r="AL135" s="218"/>
      <c r="AM135" s="218"/>
      <c r="AN135" s="218"/>
      <c r="AO135" s="218"/>
      <c r="AP135" s="218"/>
    </row>
    <row r="136" spans="1:42" s="188" customFormat="1" x14ac:dyDescent="0.2">
      <c r="A136" s="170"/>
      <c r="D136" s="218"/>
      <c r="E136" s="218"/>
      <c r="F136" s="218"/>
      <c r="G136" s="218"/>
      <c r="H136" s="218"/>
      <c r="I136" s="218"/>
      <c r="J136" s="218"/>
      <c r="K136" s="218"/>
      <c r="L136" s="218"/>
      <c r="M136" s="218"/>
      <c r="N136" s="218"/>
      <c r="O136" s="218"/>
      <c r="P136" s="218"/>
      <c r="S136" s="218"/>
      <c r="T136" s="218"/>
      <c r="U136" s="218"/>
      <c r="V136" s="218"/>
      <c r="W136" s="218"/>
      <c r="X136" s="218"/>
      <c r="Y136" s="218"/>
      <c r="Z136" s="218"/>
      <c r="AA136" s="218"/>
      <c r="AB136" s="218"/>
      <c r="AC136" s="218"/>
      <c r="AD136" s="218"/>
      <c r="AE136" s="218"/>
      <c r="AF136" s="218"/>
      <c r="AG136" s="218"/>
      <c r="AH136" s="218"/>
      <c r="AI136" s="218"/>
      <c r="AJ136" s="218"/>
      <c r="AK136" s="218"/>
      <c r="AL136" s="218"/>
      <c r="AM136" s="218"/>
      <c r="AN136" s="218"/>
      <c r="AO136" s="218"/>
      <c r="AP136" s="218"/>
    </row>
    <row r="137" spans="1:42" s="188" customFormat="1" x14ac:dyDescent="0.2">
      <c r="A137" s="170"/>
      <c r="B137" s="312" t="s">
        <v>127</v>
      </c>
      <c r="C137" s="332" t="s">
        <v>451</v>
      </c>
      <c r="D137" s="218"/>
      <c r="E137" s="218"/>
      <c r="F137" s="562"/>
      <c r="G137" s="180" t="s">
        <v>3</v>
      </c>
      <c r="H137" s="563" t="s">
        <v>4</v>
      </c>
      <c r="I137" s="563" t="s">
        <v>5</v>
      </c>
      <c r="J137" s="564" t="s">
        <v>8</v>
      </c>
      <c r="K137" s="563" t="s">
        <v>9</v>
      </c>
      <c r="L137" s="563" t="s">
        <v>374</v>
      </c>
      <c r="M137" s="218"/>
      <c r="N137" s="218"/>
      <c r="O137" s="218"/>
      <c r="P137" s="218"/>
      <c r="Q137" s="184" t="s">
        <v>104</v>
      </c>
      <c r="R137" s="225" t="s">
        <v>946</v>
      </c>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row>
    <row r="138" spans="1:42" s="188" customFormat="1" ht="12.75" customHeight="1" x14ac:dyDescent="0.2">
      <c r="A138" s="170"/>
      <c r="D138" s="218"/>
      <c r="E138" s="218"/>
      <c r="F138" s="1510" t="s">
        <v>945</v>
      </c>
      <c r="G138" s="1950">
        <v>0</v>
      </c>
      <c r="H138" s="1951">
        <v>54626.313421222199</v>
      </c>
      <c r="I138" s="1951">
        <v>0</v>
      </c>
      <c r="J138" s="1951">
        <v>0</v>
      </c>
      <c r="K138" s="1951">
        <v>43977.653055555602</v>
      </c>
      <c r="L138" s="1952">
        <v>10885.342133333301</v>
      </c>
      <c r="M138" s="218"/>
      <c r="N138" s="218"/>
      <c r="O138" s="218"/>
      <c r="P138" s="218"/>
      <c r="Q138" s="184" t="s">
        <v>100</v>
      </c>
      <c r="R138" s="225" t="s">
        <v>944</v>
      </c>
      <c r="S138" s="218"/>
      <c r="T138" s="218"/>
      <c r="U138" s="218"/>
      <c r="V138" s="218"/>
      <c r="W138" s="218"/>
      <c r="X138" s="218"/>
      <c r="Y138" s="218"/>
      <c r="Z138" s="218"/>
      <c r="AA138" s="218"/>
      <c r="AB138" s="218"/>
      <c r="AC138" s="218"/>
      <c r="AD138" s="218"/>
      <c r="AE138" s="218"/>
      <c r="AF138" s="218"/>
      <c r="AG138" s="218"/>
      <c r="AH138" s="218"/>
      <c r="AI138" s="218"/>
      <c r="AJ138" s="218"/>
      <c r="AK138" s="218"/>
      <c r="AL138" s="218"/>
      <c r="AM138" s="218"/>
      <c r="AN138" s="218"/>
      <c r="AO138" s="218"/>
      <c r="AP138" s="218"/>
    </row>
    <row r="139" spans="1:42" s="188" customFormat="1" ht="12.75" customHeight="1" x14ac:dyDescent="0.2">
      <c r="A139" s="170"/>
      <c r="M139" s="218"/>
      <c r="N139" s="218"/>
      <c r="O139" s="218"/>
      <c r="P139" s="218"/>
      <c r="Q139" s="1730" t="s">
        <v>10</v>
      </c>
      <c r="R139" s="2723" t="s">
        <v>947</v>
      </c>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row>
    <row r="140" spans="1:42" s="188" customFormat="1" x14ac:dyDescent="0.2">
      <c r="A140" s="170"/>
      <c r="M140" s="218"/>
      <c r="N140" s="218"/>
      <c r="O140" s="218"/>
      <c r="P140" s="218"/>
      <c r="Q140" s="872"/>
      <c r="R140" s="2724"/>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row>
    <row r="141" spans="1:42" s="188" customFormat="1" x14ac:dyDescent="0.2">
      <c r="A141" s="170"/>
      <c r="M141" s="218"/>
      <c r="N141" s="218"/>
      <c r="O141" s="218"/>
      <c r="P141" s="218"/>
      <c r="Q141" s="226"/>
      <c r="R141" s="2725"/>
      <c r="S141" s="218"/>
      <c r="T141" s="218"/>
      <c r="U141" s="218"/>
      <c r="V141" s="218"/>
      <c r="W141" s="218"/>
      <c r="X141" s="218"/>
      <c r="Y141" s="218"/>
      <c r="Z141" s="218"/>
      <c r="AA141" s="218"/>
      <c r="AB141" s="218"/>
      <c r="AC141" s="218"/>
      <c r="AD141" s="218"/>
      <c r="AE141" s="218"/>
      <c r="AF141" s="218"/>
      <c r="AG141" s="218"/>
      <c r="AH141" s="218"/>
      <c r="AI141" s="218"/>
      <c r="AJ141" s="218"/>
      <c r="AK141" s="218"/>
      <c r="AL141" s="218"/>
      <c r="AM141" s="218"/>
      <c r="AN141" s="218"/>
      <c r="AO141" s="218"/>
      <c r="AP141" s="218"/>
    </row>
    <row r="142" spans="1:42" s="188" customFormat="1" x14ac:dyDescent="0.2">
      <c r="A142" s="170"/>
      <c r="M142" s="218"/>
      <c r="N142" s="218"/>
      <c r="O142" s="218"/>
      <c r="P142" s="218"/>
      <c r="Q142" s="184" t="s">
        <v>352</v>
      </c>
      <c r="R142" s="225" t="s">
        <v>388</v>
      </c>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row>
    <row r="143" spans="1:42" s="188" customFormat="1" x14ac:dyDescent="0.2">
      <c r="A143" s="170"/>
      <c r="C143" s="218"/>
      <c r="D143" s="218"/>
      <c r="E143" s="218"/>
      <c r="F143" s="218"/>
      <c r="G143" s="218"/>
      <c r="H143" s="218"/>
      <c r="I143" s="218"/>
      <c r="J143" s="218"/>
      <c r="K143" s="218"/>
      <c r="L143" s="218"/>
      <c r="M143" s="218"/>
      <c r="N143" s="218"/>
      <c r="O143" s="218"/>
      <c r="P143" s="218"/>
      <c r="Q143" s="184" t="s">
        <v>99</v>
      </c>
      <c r="R143" s="227">
        <v>42558</v>
      </c>
      <c r="S143" s="218"/>
      <c r="T143" s="218"/>
      <c r="U143" s="218"/>
      <c r="V143" s="218"/>
      <c r="W143" s="218"/>
      <c r="X143" s="218"/>
      <c r="Y143" s="218"/>
      <c r="Z143" s="218"/>
      <c r="AA143" s="218"/>
      <c r="AB143" s="218"/>
      <c r="AC143" s="218"/>
      <c r="AD143" s="218"/>
      <c r="AE143" s="218"/>
      <c r="AF143" s="218"/>
      <c r="AG143" s="218"/>
      <c r="AH143" s="218"/>
      <c r="AI143" s="218"/>
      <c r="AJ143" s="218"/>
      <c r="AK143" s="218"/>
      <c r="AL143" s="218"/>
      <c r="AM143" s="218"/>
      <c r="AN143" s="218"/>
      <c r="AO143" s="218"/>
      <c r="AP143" s="218"/>
    </row>
    <row r="144" spans="1:42" s="188" customFormat="1" x14ac:dyDescent="0.2">
      <c r="A144" s="170"/>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row>
    <row r="145" spans="1:42" s="188" customFormat="1" x14ac:dyDescent="0.2">
      <c r="A145" s="170"/>
      <c r="B145" s="311"/>
      <c r="C145" s="311"/>
      <c r="D145" s="311"/>
      <c r="E145" s="311"/>
      <c r="F145" s="311"/>
      <c r="G145" s="311"/>
      <c r="H145" s="311"/>
      <c r="I145" s="215"/>
      <c r="J145" s="215"/>
      <c r="K145" s="215"/>
      <c r="L145" s="215"/>
      <c r="M145" s="215"/>
      <c r="N145" s="215"/>
      <c r="O145" s="215"/>
      <c r="P145" s="215"/>
      <c r="Q145" s="215"/>
      <c r="R145" s="215"/>
      <c r="S145" s="218"/>
      <c r="T145" s="218"/>
      <c r="U145" s="218"/>
      <c r="V145" s="218"/>
      <c r="W145" s="218"/>
      <c r="X145" s="218"/>
      <c r="Y145" s="218"/>
      <c r="Z145" s="218"/>
      <c r="AA145" s="218"/>
      <c r="AB145" s="218"/>
      <c r="AC145" s="218"/>
      <c r="AD145" s="218"/>
      <c r="AE145" s="218"/>
      <c r="AF145" s="218"/>
      <c r="AG145" s="218"/>
      <c r="AH145" s="218"/>
      <c r="AI145" s="218"/>
      <c r="AJ145" s="218"/>
      <c r="AK145" s="218"/>
      <c r="AL145" s="218"/>
      <c r="AM145" s="218"/>
      <c r="AN145" s="218"/>
      <c r="AO145" s="218"/>
      <c r="AP145" s="218"/>
    </row>
    <row r="146" spans="1:42" s="188" customFormat="1" x14ac:dyDescent="0.2">
      <c r="A146" s="170"/>
      <c r="B146" s="97" t="s">
        <v>128</v>
      </c>
      <c r="C146" s="198" t="s">
        <v>452</v>
      </c>
      <c r="D146" s="311"/>
      <c r="E146" s="311"/>
      <c r="F146" s="543"/>
      <c r="G146" s="565" t="s">
        <v>3</v>
      </c>
      <c r="H146" s="565" t="s">
        <v>4</v>
      </c>
      <c r="I146" s="565" t="s">
        <v>5</v>
      </c>
      <c r="J146" s="566" t="s">
        <v>8</v>
      </c>
      <c r="K146" s="565" t="s">
        <v>9</v>
      </c>
      <c r="L146" s="565" t="s">
        <v>374</v>
      </c>
      <c r="M146" s="340" t="s">
        <v>439</v>
      </c>
      <c r="N146" s="215"/>
      <c r="O146" s="215"/>
      <c r="P146" s="215"/>
      <c r="Q146" s="215"/>
      <c r="R146" s="215"/>
      <c r="S146" s="218"/>
      <c r="T146" s="218"/>
      <c r="U146" s="218"/>
      <c r="V146" s="218"/>
      <c r="W146" s="218"/>
      <c r="X146" s="218"/>
      <c r="Y146" s="218"/>
      <c r="Z146" s="218"/>
      <c r="AA146" s="218"/>
      <c r="AB146" s="218"/>
      <c r="AC146" s="218"/>
      <c r="AD146" s="218"/>
      <c r="AE146" s="218"/>
      <c r="AF146" s="218"/>
      <c r="AG146" s="218"/>
      <c r="AH146" s="218"/>
      <c r="AI146" s="218"/>
      <c r="AJ146" s="218"/>
      <c r="AK146" s="218"/>
      <c r="AL146" s="218"/>
      <c r="AM146" s="218"/>
      <c r="AN146" s="218"/>
      <c r="AO146" s="218"/>
      <c r="AP146" s="218"/>
    </row>
    <row r="147" spans="1:42" s="188" customFormat="1" x14ac:dyDescent="0.2">
      <c r="A147" s="170"/>
      <c r="B147" s="163" t="s">
        <v>353</v>
      </c>
      <c r="C147" s="2596" t="s">
        <v>921</v>
      </c>
      <c r="D147" s="311"/>
      <c r="E147" s="311"/>
      <c r="F147" s="1098" t="s">
        <v>117</v>
      </c>
      <c r="G147" s="1814">
        <f t="shared" ref="G147:L147" si="5">G138/SUM($H138:$L138)*($G124-SUM($G$131:$H$132))</f>
        <v>0</v>
      </c>
      <c r="H147" s="1815">
        <f t="shared" si="5"/>
        <v>2740024.5890573412</v>
      </c>
      <c r="I147" s="1815">
        <f t="shared" si="5"/>
        <v>0</v>
      </c>
      <c r="J147" s="1815">
        <f t="shared" si="5"/>
        <v>0</v>
      </c>
      <c r="K147" s="1815">
        <f t="shared" si="5"/>
        <v>2205893.8850967954</v>
      </c>
      <c r="L147" s="1816">
        <f t="shared" si="5"/>
        <v>546002.52584586386</v>
      </c>
      <c r="M147" s="340" t="str">
        <f>IF(SUM(G147:L147)=G124-SUM(G131:H132),"OK","!!")</f>
        <v>OK</v>
      </c>
      <c r="N147" s="215"/>
      <c r="O147" s="215"/>
      <c r="P147" s="215"/>
      <c r="Q147" s="215"/>
      <c r="R147" s="215"/>
      <c r="S147" s="218"/>
      <c r="T147" s="218"/>
      <c r="U147" s="218"/>
      <c r="V147" s="218"/>
      <c r="W147" s="218"/>
      <c r="X147" s="218"/>
      <c r="Y147" s="218"/>
      <c r="Z147" s="218"/>
      <c r="AA147" s="218"/>
      <c r="AB147" s="218"/>
      <c r="AC147" s="218"/>
      <c r="AD147" s="218"/>
      <c r="AE147" s="218"/>
      <c r="AF147" s="218"/>
      <c r="AG147" s="218"/>
      <c r="AH147" s="218"/>
      <c r="AI147" s="218"/>
      <c r="AJ147" s="218"/>
      <c r="AK147" s="218"/>
      <c r="AL147" s="218"/>
      <c r="AM147" s="218"/>
      <c r="AN147" s="218"/>
      <c r="AO147" s="218"/>
      <c r="AP147" s="218"/>
    </row>
    <row r="148" spans="1:42" s="188" customFormat="1" x14ac:dyDescent="0.2">
      <c r="A148" s="170"/>
      <c r="B148" s="236"/>
      <c r="C148" s="2597"/>
      <c r="D148" s="311"/>
      <c r="E148" s="311"/>
      <c r="F148" s="1098" t="s">
        <v>113</v>
      </c>
      <c r="G148" s="1817">
        <f t="shared" ref="G148:L148" si="6">G147-G149</f>
        <v>0</v>
      </c>
      <c r="H148" s="544">
        <f t="shared" si="6"/>
        <v>801412.09374948149</v>
      </c>
      <c r="I148" s="544">
        <f t="shared" si="6"/>
        <v>0</v>
      </c>
      <c r="J148" s="544">
        <f t="shared" si="6"/>
        <v>0</v>
      </c>
      <c r="K148" s="544">
        <f t="shared" si="6"/>
        <v>645187.65419283789</v>
      </c>
      <c r="L148" s="1818">
        <f t="shared" si="6"/>
        <v>159696.7520576808</v>
      </c>
      <c r="M148" s="340" t="str">
        <f>IF(SUM(G148:L148)=G124-H124-SUM(G131:H131),"OK","!!")</f>
        <v>OK</v>
      </c>
      <c r="N148" s="215"/>
      <c r="O148" s="215"/>
      <c r="P148" s="215"/>
      <c r="Q148" s="215"/>
      <c r="R148" s="215"/>
      <c r="S148" s="218"/>
      <c r="T148" s="218"/>
      <c r="U148" s="218"/>
      <c r="V148" s="218"/>
      <c r="W148" s="218"/>
      <c r="X148" s="218"/>
      <c r="Y148" s="218"/>
      <c r="Z148" s="218"/>
      <c r="AA148" s="218"/>
      <c r="AB148" s="218"/>
      <c r="AC148" s="218"/>
      <c r="AD148" s="218"/>
      <c r="AE148" s="218"/>
      <c r="AF148" s="218"/>
      <c r="AG148" s="218"/>
      <c r="AH148" s="218"/>
      <c r="AI148" s="218"/>
      <c r="AJ148" s="218"/>
      <c r="AK148" s="218"/>
      <c r="AL148" s="218"/>
      <c r="AM148" s="218"/>
      <c r="AN148" s="218"/>
      <c r="AO148" s="218"/>
      <c r="AP148" s="218"/>
    </row>
    <row r="149" spans="1:42" s="188" customFormat="1" ht="12.75" customHeight="1" x14ac:dyDescent="0.2">
      <c r="A149" s="170"/>
      <c r="B149" s="236"/>
      <c r="C149" s="2596" t="s">
        <v>922</v>
      </c>
      <c r="D149" s="311"/>
      <c r="E149" s="311"/>
      <c r="F149" s="1098" t="s">
        <v>114</v>
      </c>
      <c r="G149" s="1819">
        <f t="shared" ref="G149:L149" si="7">G138/SUM($G138:$L138)*($H124-SUM($G132:$H132))</f>
        <v>0</v>
      </c>
      <c r="H149" s="1820">
        <f t="shared" si="7"/>
        <v>1938612.4953078597</v>
      </c>
      <c r="I149" s="1820">
        <f t="shared" si="7"/>
        <v>0</v>
      </c>
      <c r="J149" s="1820">
        <f t="shared" si="7"/>
        <v>0</v>
      </c>
      <c r="K149" s="1820">
        <f t="shared" si="7"/>
        <v>1560706.2309039575</v>
      </c>
      <c r="L149" s="1821">
        <f t="shared" si="7"/>
        <v>386305.77378818305</v>
      </c>
      <c r="M149" s="340" t="str">
        <f>IF(SUM(G149:L149)=H124-SUM(G132:H132),"OK","!!")</f>
        <v>OK</v>
      </c>
      <c r="N149" s="215"/>
      <c r="O149" s="215"/>
      <c r="P149" s="215"/>
      <c r="Q149" s="215"/>
      <c r="R149" s="215"/>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row>
    <row r="150" spans="1:42" s="188" customFormat="1" x14ac:dyDescent="0.2">
      <c r="A150" s="170"/>
      <c r="B150" s="221"/>
      <c r="C150" s="2597"/>
      <c r="D150" s="311"/>
      <c r="E150" s="311"/>
      <c r="F150" s="311"/>
      <c r="G150" s="311"/>
      <c r="H150" s="311"/>
      <c r="I150" s="311"/>
      <c r="J150" s="311"/>
      <c r="K150" s="311"/>
      <c r="L150" s="311"/>
      <c r="M150" s="339"/>
      <c r="N150" s="215"/>
      <c r="O150" s="215"/>
      <c r="P150" s="215"/>
      <c r="Q150" s="215"/>
      <c r="R150" s="215"/>
      <c r="S150" s="218"/>
      <c r="T150" s="218"/>
      <c r="U150" s="218"/>
      <c r="V150" s="218"/>
      <c r="W150" s="218"/>
      <c r="X150" s="218"/>
      <c r="Y150" s="218"/>
      <c r="Z150" s="218"/>
      <c r="AA150" s="218"/>
      <c r="AB150" s="218"/>
      <c r="AC150" s="218"/>
      <c r="AD150" s="218"/>
      <c r="AE150" s="218"/>
      <c r="AF150" s="218"/>
      <c r="AG150" s="218"/>
      <c r="AH150" s="218"/>
      <c r="AI150" s="218"/>
      <c r="AJ150" s="218"/>
      <c r="AK150" s="218"/>
      <c r="AL150" s="218"/>
      <c r="AM150" s="218"/>
      <c r="AN150" s="218"/>
      <c r="AO150" s="218"/>
      <c r="AP150" s="218"/>
    </row>
    <row r="151" spans="1:42" s="188" customFormat="1" x14ac:dyDescent="0.2">
      <c r="A151" s="170"/>
      <c r="B151" s="311"/>
      <c r="C151" s="311"/>
      <c r="D151" s="311"/>
      <c r="E151" s="311"/>
      <c r="F151" s="311"/>
      <c r="G151" s="311"/>
      <c r="H151" s="311"/>
      <c r="I151" s="311"/>
      <c r="J151" s="311"/>
      <c r="K151" s="311"/>
      <c r="L151" s="311"/>
      <c r="M151" s="339"/>
      <c r="N151" s="215"/>
      <c r="O151" s="215"/>
      <c r="P151" s="215"/>
      <c r="Q151" s="215"/>
      <c r="R151" s="215"/>
      <c r="S151" s="218"/>
      <c r="T151" s="218"/>
      <c r="U151" s="218"/>
      <c r="V151" s="218"/>
      <c r="W151" s="218"/>
      <c r="X151" s="218"/>
      <c r="Y151" s="218"/>
      <c r="Z151" s="218"/>
      <c r="AA151" s="218"/>
      <c r="AB151" s="218"/>
      <c r="AC151" s="218"/>
      <c r="AD151" s="218"/>
      <c r="AE151" s="218"/>
      <c r="AF151" s="218"/>
      <c r="AG151" s="218"/>
      <c r="AH151" s="218"/>
      <c r="AI151" s="218"/>
      <c r="AJ151" s="218"/>
      <c r="AK151" s="218"/>
      <c r="AL151" s="218"/>
      <c r="AM151" s="218"/>
      <c r="AN151" s="218"/>
      <c r="AO151" s="218"/>
      <c r="AP151" s="218"/>
    </row>
    <row r="152" spans="1:42" s="188" customFormat="1" x14ac:dyDescent="0.2">
      <c r="A152" s="170"/>
      <c r="C152" s="191"/>
      <c r="D152" s="199"/>
      <c r="E152" s="199"/>
      <c r="M152" s="235"/>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c r="AL152" s="218"/>
      <c r="AM152" s="218"/>
      <c r="AN152" s="218"/>
      <c r="AO152" s="218"/>
      <c r="AP152" s="218"/>
    </row>
    <row r="153" spans="1:42" ht="15.75" x14ac:dyDescent="0.25">
      <c r="A153" s="170"/>
      <c r="B153" s="166" t="s">
        <v>460</v>
      </c>
      <c r="C153" s="167"/>
      <c r="D153" s="167"/>
      <c r="E153" s="167"/>
      <c r="F153" s="167"/>
      <c r="G153" s="167"/>
      <c r="H153" s="167"/>
      <c r="I153" s="167"/>
      <c r="J153" s="167"/>
      <c r="K153" s="167"/>
      <c r="L153" s="167"/>
      <c r="M153" s="167"/>
      <c r="N153" s="167"/>
      <c r="O153" s="167"/>
      <c r="P153" s="167"/>
      <c r="Q153" s="167"/>
      <c r="R153" s="167"/>
      <c r="S153" s="155"/>
    </row>
    <row r="154" spans="1:42" x14ac:dyDescent="0.25">
      <c r="A154" s="170"/>
      <c r="C154" s="155"/>
      <c r="D154" s="155"/>
      <c r="E154" s="155"/>
      <c r="F154" s="155"/>
      <c r="G154" s="155"/>
      <c r="H154" s="155"/>
      <c r="I154" s="155"/>
      <c r="J154" s="155"/>
      <c r="K154" s="155"/>
      <c r="L154" s="155"/>
      <c r="M154" s="155"/>
      <c r="N154" s="155"/>
      <c r="O154" s="155"/>
      <c r="P154" s="155"/>
      <c r="Q154" s="155"/>
      <c r="R154" s="155"/>
      <c r="S154" s="155"/>
    </row>
    <row r="155" spans="1:42" x14ac:dyDescent="0.25">
      <c r="A155" s="170"/>
      <c r="B155" s="335" t="s">
        <v>353</v>
      </c>
      <c r="C155" s="1765" t="s">
        <v>399</v>
      </c>
      <c r="D155" s="1766"/>
      <c r="E155" s="1766"/>
      <c r="F155" s="1766"/>
      <c r="G155" s="1767"/>
      <c r="H155" s="155"/>
      <c r="I155" s="155"/>
      <c r="J155" s="155"/>
      <c r="K155" s="155"/>
      <c r="L155" s="155"/>
      <c r="M155" s="155"/>
      <c r="N155" s="155"/>
      <c r="O155" s="155"/>
      <c r="P155" s="155"/>
      <c r="Q155" s="155"/>
      <c r="R155" s="155"/>
      <c r="S155" s="155"/>
    </row>
    <row r="156" spans="1:42" x14ac:dyDescent="0.25">
      <c r="A156" s="170"/>
      <c r="B156" s="1768"/>
      <c r="C156" s="1769" t="s">
        <v>400</v>
      </c>
      <c r="D156" s="1769"/>
      <c r="E156" s="1769"/>
      <c r="F156" s="1769"/>
      <c r="G156" s="349"/>
      <c r="H156" s="156"/>
      <c r="I156" s="156"/>
      <c r="J156" s="156"/>
      <c r="K156" s="156"/>
      <c r="L156" s="156"/>
      <c r="M156" s="156"/>
      <c r="N156" s="156"/>
      <c r="O156" s="156"/>
      <c r="P156" s="156"/>
      <c r="Q156" s="156"/>
      <c r="R156" s="156"/>
      <c r="S156" s="156"/>
    </row>
    <row r="157" spans="1:42" x14ac:dyDescent="0.25">
      <c r="A157" s="170"/>
      <c r="B157" s="1770"/>
      <c r="C157" s="1771" t="s">
        <v>401</v>
      </c>
      <c r="D157" s="1771"/>
      <c r="E157" s="1771"/>
      <c r="F157" s="1771"/>
      <c r="G157" s="319"/>
      <c r="H157" s="156"/>
      <c r="I157" s="156"/>
      <c r="J157" s="156"/>
      <c r="K157" s="156"/>
      <c r="L157" s="156"/>
      <c r="M157" s="156"/>
      <c r="N157" s="156"/>
      <c r="O157" s="156"/>
      <c r="P157" s="156"/>
      <c r="Q157" s="156"/>
      <c r="R157" s="156"/>
      <c r="S157" s="156"/>
    </row>
    <row r="158" spans="1:42" x14ac:dyDescent="0.25">
      <c r="A158" s="170"/>
      <c r="B158" s="156"/>
      <c r="C158" s="156"/>
      <c r="D158" s="155"/>
      <c r="E158" s="155"/>
      <c r="F158" s="155"/>
      <c r="G158" s="155"/>
      <c r="H158" s="155"/>
      <c r="I158" s="155"/>
      <c r="J158" s="155"/>
      <c r="K158" s="155"/>
      <c r="L158" s="155"/>
      <c r="M158" s="155"/>
      <c r="N158" s="155"/>
      <c r="O158" s="155"/>
      <c r="P158" s="155"/>
      <c r="Q158" s="155"/>
      <c r="R158" s="155"/>
      <c r="S158" s="155"/>
    </row>
    <row r="159" spans="1:42" x14ac:dyDescent="0.25">
      <c r="A159" s="170"/>
      <c r="B159" s="346"/>
      <c r="C159" s="346"/>
      <c r="D159" s="342"/>
      <c r="E159" s="342"/>
      <c r="F159" s="342"/>
      <c r="G159" s="342"/>
      <c r="H159" s="342"/>
      <c r="I159" s="342"/>
      <c r="J159" s="342"/>
      <c r="K159" s="342"/>
      <c r="L159" s="342"/>
      <c r="M159" s="342"/>
      <c r="N159" s="342"/>
      <c r="O159" s="342"/>
      <c r="P159" s="342"/>
      <c r="Q159" s="342"/>
      <c r="R159" s="342"/>
      <c r="S159" s="155"/>
    </row>
    <row r="160" spans="1:42" x14ac:dyDescent="0.2">
      <c r="A160" s="170"/>
      <c r="B160" s="97" t="s">
        <v>125</v>
      </c>
      <c r="C160" s="1755" t="s">
        <v>396</v>
      </c>
      <c r="D160" s="342"/>
      <c r="E160" s="342"/>
      <c r="F160" s="342"/>
      <c r="G160" s="565" t="s">
        <v>3</v>
      </c>
      <c r="H160" s="565" t="s">
        <v>4</v>
      </c>
      <c r="I160" s="565" t="s">
        <v>5</v>
      </c>
      <c r="J160" s="565" t="s">
        <v>6</v>
      </c>
      <c r="K160" s="566" t="s">
        <v>7</v>
      </c>
      <c r="L160" s="565" t="s">
        <v>8</v>
      </c>
      <c r="M160" s="565" t="s">
        <v>9</v>
      </c>
      <c r="N160" s="565" t="s">
        <v>374</v>
      </c>
      <c r="O160" s="342"/>
      <c r="P160" s="342"/>
      <c r="Q160" s="113" t="s">
        <v>104</v>
      </c>
      <c r="R160" s="37" t="s">
        <v>1036</v>
      </c>
      <c r="S160" s="155"/>
    </row>
    <row r="161" spans="1:19" x14ac:dyDescent="0.25">
      <c r="A161" s="170"/>
      <c r="B161" s="346"/>
      <c r="C161" s="346"/>
      <c r="D161" s="342"/>
      <c r="E161" s="342"/>
      <c r="F161" s="2320" t="s">
        <v>1302</v>
      </c>
      <c r="G161" s="2306">
        <f>108964+93404+96928+104659+45768+77189+74917+73640+71125+75395+67576+47019+631049+638259+526321+583449+472486+555563+471305+525444+567676+582233+615995+554564</f>
        <v>7660928</v>
      </c>
      <c r="H161" s="2307">
        <v>176295135</v>
      </c>
      <c r="I161" s="2307">
        <v>2874509</v>
      </c>
      <c r="J161" s="2307">
        <v>48626980</v>
      </c>
      <c r="K161" s="2307">
        <v>18673607</v>
      </c>
      <c r="L161" s="2307">
        <v>10752466</v>
      </c>
      <c r="M161" s="2307">
        <v>120467771</v>
      </c>
      <c r="N161" s="2308">
        <v>47250344</v>
      </c>
      <c r="O161" s="342"/>
      <c r="P161" s="342"/>
      <c r="Q161" s="113" t="s">
        <v>100</v>
      </c>
      <c r="R161" s="37" t="s">
        <v>1040</v>
      </c>
      <c r="S161" s="155"/>
    </row>
    <row r="162" spans="1:19" x14ac:dyDescent="0.25">
      <c r="A162" s="170"/>
      <c r="B162" s="346"/>
      <c r="C162" s="346"/>
      <c r="D162" s="342"/>
      <c r="E162" s="342"/>
      <c r="F162" s="342"/>
      <c r="G162" s="342"/>
      <c r="H162" s="342"/>
      <c r="I162" s="342"/>
      <c r="J162" s="342"/>
      <c r="K162" s="342"/>
      <c r="L162" s="342"/>
      <c r="M162" s="342"/>
      <c r="N162" s="342"/>
      <c r="O162" s="342"/>
      <c r="P162" s="342"/>
      <c r="Q162" s="2300" t="s">
        <v>10</v>
      </c>
      <c r="R162" s="2298" t="s">
        <v>1303</v>
      </c>
      <c r="S162" s="155"/>
    </row>
    <row r="163" spans="1:19" x14ac:dyDescent="0.25">
      <c r="A163" s="170"/>
      <c r="B163" s="346"/>
      <c r="C163" s="346"/>
      <c r="D163" s="342"/>
      <c r="E163" s="342"/>
      <c r="F163" s="342"/>
      <c r="G163" s="342"/>
      <c r="H163" s="342"/>
      <c r="I163" s="342"/>
      <c r="J163" s="342"/>
      <c r="K163" s="342"/>
      <c r="L163" s="342"/>
      <c r="M163" s="342"/>
      <c r="N163" s="342"/>
      <c r="O163" s="342"/>
      <c r="P163" s="342"/>
      <c r="Q163" s="2301"/>
      <c r="R163" s="2299" t="s">
        <v>1304</v>
      </c>
      <c r="S163" s="155"/>
    </row>
    <row r="164" spans="1:19" x14ac:dyDescent="0.25">
      <c r="A164" s="170"/>
      <c r="B164" s="346"/>
      <c r="C164" s="346"/>
      <c r="D164" s="342"/>
      <c r="E164" s="342"/>
      <c r="F164" s="342"/>
      <c r="G164" s="342"/>
      <c r="H164" s="342"/>
      <c r="I164" s="342"/>
      <c r="J164" s="342"/>
      <c r="K164" s="342"/>
      <c r="L164" s="342"/>
      <c r="M164" s="342"/>
      <c r="N164" s="342"/>
      <c r="O164" s="342"/>
      <c r="P164" s="342"/>
      <c r="Q164" s="113" t="s">
        <v>352</v>
      </c>
      <c r="R164" s="37" t="s">
        <v>388</v>
      </c>
      <c r="S164" s="155"/>
    </row>
    <row r="165" spans="1:19" x14ac:dyDescent="0.25">
      <c r="A165" s="170"/>
      <c r="B165" s="346"/>
      <c r="C165" s="346"/>
      <c r="D165" s="342"/>
      <c r="E165" s="342"/>
      <c r="F165" s="342"/>
      <c r="G165" s="342"/>
      <c r="H165" s="342"/>
      <c r="I165" s="342"/>
      <c r="J165" s="342"/>
      <c r="K165" s="342"/>
      <c r="L165" s="342"/>
      <c r="M165" s="342"/>
      <c r="N165" s="342"/>
      <c r="O165" s="342"/>
      <c r="P165" s="342"/>
      <c r="Q165" s="113" t="s">
        <v>99</v>
      </c>
      <c r="R165" s="161">
        <v>42702</v>
      </c>
      <c r="S165" s="155"/>
    </row>
    <row r="166" spans="1:19" x14ac:dyDescent="0.25">
      <c r="A166" s="170"/>
      <c r="B166" s="346"/>
      <c r="C166" s="346"/>
      <c r="D166" s="342"/>
      <c r="E166" s="342"/>
      <c r="F166" s="342"/>
      <c r="G166" s="342"/>
      <c r="H166" s="342"/>
      <c r="I166" s="342"/>
      <c r="J166" s="342"/>
      <c r="K166" s="342"/>
      <c r="L166" s="342"/>
      <c r="M166" s="342"/>
      <c r="N166" s="342"/>
      <c r="O166" s="342"/>
      <c r="P166" s="342"/>
      <c r="Q166" s="342"/>
      <c r="R166" s="342"/>
      <c r="S166" s="155"/>
    </row>
    <row r="167" spans="1:19" x14ac:dyDescent="0.25">
      <c r="A167" s="170"/>
      <c r="B167" s="346"/>
      <c r="C167" s="346"/>
      <c r="D167" s="342"/>
      <c r="E167" s="342"/>
      <c r="F167" s="1618" t="s">
        <v>1305</v>
      </c>
      <c r="G167" s="1756">
        <f>6.784/10000</f>
        <v>6.7840000000000001E-4</v>
      </c>
      <c r="H167" s="342"/>
      <c r="I167" s="342"/>
      <c r="J167" s="342"/>
      <c r="K167" s="342"/>
      <c r="L167" s="342"/>
      <c r="M167" s="342"/>
      <c r="N167" s="342"/>
      <c r="O167" s="342"/>
      <c r="P167" s="342"/>
      <c r="Q167" s="113" t="s">
        <v>104</v>
      </c>
      <c r="R167" s="37" t="s">
        <v>1037</v>
      </c>
      <c r="S167" s="155"/>
    </row>
    <row r="168" spans="1:19" x14ac:dyDescent="0.25">
      <c r="A168" s="170"/>
      <c r="B168" s="346"/>
      <c r="C168" s="346"/>
      <c r="D168" s="342"/>
      <c r="E168" s="342"/>
      <c r="F168" s="1757" t="s">
        <v>1038</v>
      </c>
      <c r="G168" s="1758">
        <v>0.98</v>
      </c>
      <c r="H168" s="342"/>
      <c r="I168" s="342"/>
      <c r="J168" s="342"/>
      <c r="K168" s="342"/>
      <c r="L168" s="342"/>
      <c r="M168" s="342"/>
      <c r="N168" s="342"/>
      <c r="O168" s="342"/>
      <c r="P168" s="342"/>
      <c r="Q168" s="1727" t="s">
        <v>10</v>
      </c>
      <c r="R168" s="2586" t="s">
        <v>1039</v>
      </c>
      <c r="S168" s="155"/>
    </row>
    <row r="169" spans="1:19" x14ac:dyDescent="0.25">
      <c r="A169" s="170"/>
      <c r="B169" s="346"/>
      <c r="C169" s="346"/>
      <c r="D169" s="342"/>
      <c r="E169" s="342"/>
      <c r="F169" s="228" t="s">
        <v>376</v>
      </c>
      <c r="G169" s="1759">
        <v>25</v>
      </c>
      <c r="H169" s="342"/>
      <c r="I169" s="342"/>
      <c r="J169" s="342"/>
      <c r="K169" s="342"/>
      <c r="L169" s="342"/>
      <c r="M169" s="342"/>
      <c r="N169" s="342"/>
      <c r="O169" s="342"/>
      <c r="P169" s="342"/>
      <c r="Q169" s="446"/>
      <c r="R169" s="2588"/>
      <c r="S169" s="155"/>
    </row>
    <row r="170" spans="1:19" x14ac:dyDescent="0.25">
      <c r="A170" s="170"/>
      <c r="B170" s="346"/>
      <c r="C170" s="346"/>
      <c r="D170" s="342"/>
      <c r="E170" s="342"/>
      <c r="F170" s="342"/>
      <c r="G170" s="342"/>
      <c r="H170" s="342"/>
      <c r="I170" s="342"/>
      <c r="J170" s="342"/>
      <c r="K170" s="342"/>
      <c r="L170" s="342"/>
      <c r="M170" s="342"/>
      <c r="N170" s="342"/>
      <c r="O170" s="342"/>
      <c r="P170" s="342"/>
      <c r="Q170" s="342"/>
      <c r="R170" s="342"/>
      <c r="S170" s="155"/>
    </row>
    <row r="171" spans="1:19" x14ac:dyDescent="0.2">
      <c r="A171" s="170"/>
      <c r="B171" s="346"/>
      <c r="C171" s="346"/>
      <c r="D171" s="342"/>
      <c r="E171" s="342"/>
      <c r="F171" s="223"/>
      <c r="G171" s="565" t="s">
        <v>3</v>
      </c>
      <c r="H171" s="565" t="s">
        <v>4</v>
      </c>
      <c r="I171" s="565" t="s">
        <v>5</v>
      </c>
      <c r="J171" s="565" t="s">
        <v>6</v>
      </c>
      <c r="K171" s="566" t="s">
        <v>7</v>
      </c>
      <c r="L171" s="565" t="s">
        <v>8</v>
      </c>
      <c r="M171" s="565" t="s">
        <v>9</v>
      </c>
      <c r="N171" s="565" t="s">
        <v>374</v>
      </c>
      <c r="O171" s="222"/>
      <c r="P171" s="222"/>
      <c r="Q171" s="113" t="s">
        <v>393</v>
      </c>
      <c r="R171" s="37" t="s">
        <v>963</v>
      </c>
      <c r="S171" s="155"/>
    </row>
    <row r="172" spans="1:19" x14ac:dyDescent="0.25">
      <c r="A172" s="170"/>
      <c r="B172" s="346"/>
      <c r="C172" s="346"/>
      <c r="D172" s="342"/>
      <c r="E172" s="342"/>
      <c r="F172" s="2302">
        <f>SUM(G172:N172)</f>
        <v>7190187.0001920015</v>
      </c>
      <c r="G172" s="2303">
        <f t="shared" ref="G172:N172" si="8">G161*$G$167*$G$168*$G$169</f>
        <v>127330.75210239999</v>
      </c>
      <c r="H172" s="2304">
        <f t="shared" si="8"/>
        <v>2930166.1798080001</v>
      </c>
      <c r="I172" s="2304">
        <f t="shared" si="8"/>
        <v>47776.639187199995</v>
      </c>
      <c r="J172" s="2304">
        <f t="shared" si="8"/>
        <v>808219.30918400001</v>
      </c>
      <c r="K172" s="2304">
        <f t="shared" si="8"/>
        <v>310370.28722559998</v>
      </c>
      <c r="L172" s="2304">
        <f t="shared" si="8"/>
        <v>178714.58689279997</v>
      </c>
      <c r="M172" s="2304">
        <f t="shared" si="8"/>
        <v>2002270.7282367998</v>
      </c>
      <c r="N172" s="2305">
        <f t="shared" si="8"/>
        <v>785338.51755520003</v>
      </c>
      <c r="O172" s="222"/>
      <c r="P172" s="222"/>
      <c r="Q172" s="113" t="s">
        <v>100</v>
      </c>
      <c r="R172" s="37" t="s">
        <v>390</v>
      </c>
      <c r="S172" s="155"/>
    </row>
    <row r="173" spans="1:19" x14ac:dyDescent="0.25">
      <c r="A173" s="170"/>
      <c r="B173" s="346"/>
      <c r="C173" s="346"/>
      <c r="D173" s="342"/>
      <c r="E173" s="342"/>
      <c r="F173" s="342"/>
      <c r="G173" s="342"/>
      <c r="H173" s="342"/>
      <c r="I173" s="342"/>
      <c r="J173" s="342"/>
      <c r="K173" s="342"/>
      <c r="L173" s="342"/>
      <c r="M173" s="342"/>
      <c r="N173" s="342"/>
      <c r="O173" s="342"/>
      <c r="P173" s="342"/>
      <c r="Q173" s="342"/>
      <c r="R173" s="342"/>
      <c r="S173" s="155"/>
    </row>
    <row r="174" spans="1:19" x14ac:dyDescent="0.25">
      <c r="A174" s="170"/>
      <c r="B174" s="156"/>
      <c r="C174" s="156"/>
      <c r="D174" s="155"/>
      <c r="E174" s="155"/>
      <c r="F174" s="155"/>
      <c r="G174" s="155"/>
      <c r="H174" s="155"/>
      <c r="I174" s="155"/>
      <c r="J174" s="155"/>
      <c r="K174" s="155"/>
      <c r="L174" s="155"/>
      <c r="M174" s="155"/>
      <c r="N174" s="155"/>
      <c r="O174" s="155"/>
      <c r="P174" s="155"/>
      <c r="Q174" s="155"/>
      <c r="R174" s="155"/>
      <c r="S174" s="155"/>
    </row>
    <row r="175" spans="1:19" ht="14.25" x14ac:dyDescent="0.25">
      <c r="A175" s="170"/>
      <c r="B175" s="312" t="s">
        <v>126</v>
      </c>
      <c r="C175" s="1772" t="s">
        <v>924</v>
      </c>
      <c r="D175" s="155"/>
      <c r="E175" s="155"/>
      <c r="F175" s="1946" t="s">
        <v>930</v>
      </c>
      <c r="G175" s="1948">
        <v>1.3360000000000001</v>
      </c>
      <c r="H175" s="155"/>
      <c r="I175" s="155"/>
      <c r="J175" s="155"/>
      <c r="K175" s="155"/>
      <c r="L175" s="155"/>
      <c r="M175" s="155"/>
      <c r="N175" s="155"/>
      <c r="O175" s="155"/>
      <c r="P175" s="155"/>
      <c r="Q175" s="184" t="s">
        <v>104</v>
      </c>
      <c r="R175" s="225" t="s">
        <v>391</v>
      </c>
      <c r="S175" s="155"/>
    </row>
    <row r="176" spans="1:19" x14ac:dyDescent="0.25">
      <c r="A176" s="170"/>
      <c r="B176" s="1296" t="s">
        <v>714</v>
      </c>
      <c r="C176" s="2750" t="s">
        <v>1041</v>
      </c>
      <c r="D176" s="155"/>
      <c r="E176" s="155"/>
      <c r="F176" s="1947" t="s">
        <v>375</v>
      </c>
      <c r="G176" s="1949">
        <v>0.5</v>
      </c>
      <c r="H176" s="158"/>
      <c r="I176" s="155"/>
      <c r="J176" s="159"/>
      <c r="K176" s="159"/>
      <c r="L176" s="159"/>
      <c r="M176" s="159"/>
      <c r="N176" s="155"/>
      <c r="O176" s="155"/>
      <c r="P176" s="155"/>
      <c r="Q176" s="184" t="s">
        <v>100</v>
      </c>
      <c r="R176" s="225" t="s">
        <v>387</v>
      </c>
      <c r="S176" s="155"/>
    </row>
    <row r="177" spans="1:19" x14ac:dyDescent="0.25">
      <c r="A177" s="170"/>
      <c r="B177" s="1297"/>
      <c r="C177" s="2751"/>
      <c r="F177" s="7"/>
      <c r="G177" s="7"/>
      <c r="H177" s="158"/>
      <c r="I177" s="155"/>
      <c r="J177" s="159"/>
      <c r="K177" s="159"/>
      <c r="L177" s="159"/>
      <c r="M177" s="159"/>
      <c r="N177" s="155"/>
      <c r="O177" s="155"/>
      <c r="P177" s="155"/>
      <c r="Q177" s="1730" t="s">
        <v>10</v>
      </c>
      <c r="R177" s="2723" t="s">
        <v>948</v>
      </c>
      <c r="S177" s="155"/>
    </row>
    <row r="178" spans="1:19" x14ac:dyDescent="0.25">
      <c r="A178" s="170"/>
      <c r="H178" s="158"/>
      <c r="I178" s="155"/>
      <c r="J178" s="159"/>
      <c r="K178" s="159"/>
      <c r="L178" s="159"/>
      <c r="M178" s="159"/>
      <c r="N178" s="155"/>
      <c r="O178" s="155"/>
      <c r="P178" s="155"/>
      <c r="Q178" s="451"/>
      <c r="R178" s="2725"/>
      <c r="S178" s="155"/>
    </row>
    <row r="179" spans="1:19" x14ac:dyDescent="0.25">
      <c r="A179" s="170"/>
      <c r="G179" s="7"/>
      <c r="H179" s="7"/>
      <c r="O179" s="155"/>
      <c r="P179" s="155"/>
      <c r="Q179" s="184" t="s">
        <v>352</v>
      </c>
      <c r="R179" s="225" t="s">
        <v>388</v>
      </c>
      <c r="S179" s="155"/>
    </row>
    <row r="180" spans="1:19" x14ac:dyDescent="0.25">
      <c r="A180" s="170"/>
      <c r="G180" s="7"/>
      <c r="H180" s="7"/>
      <c r="O180" s="155"/>
      <c r="P180" s="155"/>
      <c r="Q180" s="184" t="s">
        <v>99</v>
      </c>
      <c r="R180" s="227">
        <v>42558</v>
      </c>
      <c r="S180" s="155"/>
    </row>
    <row r="181" spans="1:19" x14ac:dyDescent="0.2">
      <c r="A181" s="170"/>
      <c r="B181" s="156"/>
      <c r="C181" s="156"/>
      <c r="D181" s="155"/>
      <c r="E181" s="155"/>
      <c r="F181" s="155"/>
      <c r="G181" s="570" t="s">
        <v>3</v>
      </c>
      <c r="H181" s="570" t="s">
        <v>4</v>
      </c>
      <c r="I181" s="570" t="s">
        <v>5</v>
      </c>
      <c r="J181" s="570" t="s">
        <v>6</v>
      </c>
      <c r="K181" s="571" t="s">
        <v>7</v>
      </c>
      <c r="L181" s="570" t="s">
        <v>8</v>
      </c>
      <c r="M181" s="570" t="s">
        <v>9</v>
      </c>
      <c r="N181" s="570" t="s">
        <v>374</v>
      </c>
      <c r="O181" s="155"/>
      <c r="P181" s="155"/>
      <c r="Q181" s="155"/>
      <c r="R181" s="155"/>
      <c r="S181" s="155"/>
    </row>
    <row r="182" spans="1:19" x14ac:dyDescent="0.25">
      <c r="A182" s="170"/>
      <c r="B182" s="156"/>
      <c r="C182" s="156"/>
      <c r="D182" s="155"/>
      <c r="E182" s="155"/>
      <c r="F182" s="155"/>
      <c r="G182" s="1943">
        <f t="shared" ref="G182:N182" si="9">G172/$G$169/$G$175/$G$176</f>
        <v>7624.5959342754486</v>
      </c>
      <c r="H182" s="1944">
        <f t="shared" si="9"/>
        <v>175459.05268311375</v>
      </c>
      <c r="I182" s="1944">
        <f t="shared" si="9"/>
        <v>2860.8765980359276</v>
      </c>
      <c r="J182" s="1944">
        <f t="shared" si="9"/>
        <v>48396.365819401195</v>
      </c>
      <c r="K182" s="1944">
        <f t="shared" si="9"/>
        <v>18585.047139257484</v>
      </c>
      <c r="L182" s="1944">
        <f t="shared" si="9"/>
        <v>10701.472269029939</v>
      </c>
      <c r="M182" s="1944">
        <f t="shared" si="9"/>
        <v>119896.45079262274</v>
      </c>
      <c r="N182" s="1945">
        <f t="shared" si="9"/>
        <v>47026.258536239518</v>
      </c>
      <c r="O182" s="155"/>
      <c r="P182" s="155"/>
      <c r="Q182" s="184" t="s">
        <v>100</v>
      </c>
      <c r="R182" s="225" t="s">
        <v>392</v>
      </c>
      <c r="S182" s="155"/>
    </row>
    <row r="183" spans="1:19" x14ac:dyDescent="0.25">
      <c r="A183" s="170"/>
      <c r="B183" s="156"/>
      <c r="C183" s="156"/>
      <c r="D183" s="155"/>
      <c r="E183" s="155"/>
      <c r="F183" s="155"/>
      <c r="O183" s="155"/>
      <c r="P183" s="155"/>
      <c r="Q183" s="155"/>
      <c r="R183" s="155"/>
      <c r="S183" s="155"/>
    </row>
    <row r="184" spans="1:19" x14ac:dyDescent="0.25">
      <c r="A184" s="170"/>
      <c r="B184" s="346"/>
      <c r="C184" s="346"/>
      <c r="D184" s="342"/>
      <c r="E184" s="342"/>
      <c r="F184" s="342"/>
      <c r="G184" s="342"/>
      <c r="H184" s="342"/>
      <c r="I184" s="342"/>
      <c r="J184" s="342"/>
      <c r="K184" s="342"/>
      <c r="L184" s="342"/>
      <c r="M184" s="342"/>
      <c r="N184" s="342"/>
      <c r="O184" s="342"/>
      <c r="P184" s="342"/>
      <c r="Q184" s="342"/>
      <c r="R184" s="342"/>
      <c r="S184" s="155"/>
    </row>
    <row r="185" spans="1:19" s="341" customFormat="1" x14ac:dyDescent="0.2">
      <c r="A185" s="170"/>
      <c r="B185" s="1729" t="s">
        <v>127</v>
      </c>
      <c r="C185" s="2752" t="s">
        <v>432</v>
      </c>
      <c r="D185" s="347"/>
      <c r="E185" s="347"/>
      <c r="F185" s="572"/>
      <c r="G185" s="573" t="s">
        <v>369</v>
      </c>
      <c r="H185" s="573" t="s">
        <v>370</v>
      </c>
      <c r="I185" s="574"/>
      <c r="J185" s="348"/>
      <c r="K185" s="348"/>
      <c r="L185" s="348"/>
      <c r="M185" s="348"/>
      <c r="N185" s="348"/>
      <c r="O185" s="348"/>
      <c r="P185" s="348"/>
      <c r="Q185" s="1727" t="s">
        <v>104</v>
      </c>
      <c r="R185" s="2586" t="s">
        <v>389</v>
      </c>
    </row>
    <row r="186" spans="1:19" s="341" customFormat="1" x14ac:dyDescent="0.25">
      <c r="A186" s="170"/>
      <c r="B186" s="1762"/>
      <c r="C186" s="2753"/>
      <c r="D186" s="347"/>
      <c r="E186" s="347"/>
      <c r="F186" s="558" t="s">
        <v>371</v>
      </c>
      <c r="G186" s="1822">
        <v>0.15</v>
      </c>
      <c r="H186" s="1822">
        <v>0.84</v>
      </c>
      <c r="I186" s="1823">
        <f t="shared" ref="I186:I192" si="10">G186*H186*1000</f>
        <v>126</v>
      </c>
      <c r="J186" s="342"/>
      <c r="K186" s="342"/>
      <c r="L186" s="348"/>
      <c r="M186" s="348"/>
      <c r="N186" s="348"/>
      <c r="O186" s="348"/>
      <c r="P186" s="348"/>
      <c r="Q186" s="1762"/>
      <c r="R186" s="2588"/>
    </row>
    <row r="187" spans="1:19" s="341" customFormat="1" x14ac:dyDescent="0.25">
      <c r="A187" s="170"/>
      <c r="B187" s="1727" t="s">
        <v>341</v>
      </c>
      <c r="C187" s="1779" t="s">
        <v>426</v>
      </c>
      <c r="D187" s="347"/>
      <c r="E187" s="347"/>
      <c r="F187" s="558" t="s">
        <v>381</v>
      </c>
      <c r="G187" s="1822">
        <v>0.4</v>
      </c>
      <c r="H187" s="1822">
        <v>0.49</v>
      </c>
      <c r="I187" s="1823">
        <f t="shared" si="10"/>
        <v>196</v>
      </c>
      <c r="J187" s="342"/>
      <c r="K187" s="342"/>
      <c r="L187" s="342"/>
      <c r="M187" s="342"/>
      <c r="N187" s="342"/>
      <c r="O187" s="342"/>
      <c r="P187" s="342"/>
      <c r="Q187" s="113" t="s">
        <v>100</v>
      </c>
      <c r="R187" s="37" t="s">
        <v>387</v>
      </c>
    </row>
    <row r="188" spans="1:19" s="341" customFormat="1" ht="12.75" customHeight="1" x14ac:dyDescent="0.25">
      <c r="A188" s="170"/>
      <c r="B188" s="1616" t="s">
        <v>714</v>
      </c>
      <c r="C188" s="2621" t="s">
        <v>912</v>
      </c>
      <c r="D188" s="347"/>
      <c r="E188" s="347"/>
      <c r="F188" s="558" t="s">
        <v>382</v>
      </c>
      <c r="G188" s="1822">
        <v>0.2</v>
      </c>
      <c r="H188" s="1822">
        <v>0.47</v>
      </c>
      <c r="I188" s="1823">
        <f t="shared" si="10"/>
        <v>94</v>
      </c>
      <c r="J188" s="342"/>
      <c r="K188" s="342"/>
      <c r="L188" s="342"/>
      <c r="M188" s="342"/>
      <c r="N188" s="342"/>
      <c r="O188" s="342"/>
      <c r="P188" s="342"/>
      <c r="Q188" s="2592" t="s">
        <v>10</v>
      </c>
      <c r="R188" s="2586" t="s">
        <v>940</v>
      </c>
    </row>
    <row r="189" spans="1:19" s="341" customFormat="1" x14ac:dyDescent="0.25">
      <c r="A189" s="170"/>
      <c r="B189" s="1617"/>
      <c r="C189" s="2622"/>
      <c r="D189" s="347"/>
      <c r="E189" s="347"/>
      <c r="F189" s="558" t="s">
        <v>383</v>
      </c>
      <c r="G189" s="1822">
        <v>0.43</v>
      </c>
      <c r="H189" s="1822">
        <v>0.1</v>
      </c>
      <c r="I189" s="1823">
        <f t="shared" si="10"/>
        <v>43</v>
      </c>
      <c r="J189" s="342"/>
      <c r="K189" s="342"/>
      <c r="L189" s="342"/>
      <c r="M189" s="342"/>
      <c r="N189" s="342"/>
      <c r="O189" s="342"/>
      <c r="P189" s="342"/>
      <c r="Q189" s="2593"/>
      <c r="R189" s="2587"/>
    </row>
    <row r="190" spans="1:19" s="341" customFormat="1" x14ac:dyDescent="0.25">
      <c r="A190" s="170"/>
      <c r="B190" s="784" t="s">
        <v>425</v>
      </c>
      <c r="C190" s="492" t="s">
        <v>122</v>
      </c>
      <c r="D190" s="347"/>
      <c r="E190" s="347"/>
      <c r="F190" s="558" t="s">
        <v>26</v>
      </c>
      <c r="G190" s="1822">
        <v>0.24</v>
      </c>
      <c r="H190" s="1822">
        <v>0.5</v>
      </c>
      <c r="I190" s="1823">
        <f t="shared" si="10"/>
        <v>120</v>
      </c>
      <c r="J190" s="342"/>
      <c r="K190" s="342"/>
      <c r="L190" s="342"/>
      <c r="M190" s="342"/>
      <c r="N190" s="342"/>
      <c r="O190" s="342"/>
      <c r="P190" s="342"/>
      <c r="Q190" s="2594"/>
      <c r="R190" s="2588"/>
    </row>
    <row r="191" spans="1:19" s="341" customFormat="1" x14ac:dyDescent="0.25">
      <c r="A191" s="170"/>
      <c r="B191" s="1780" t="s">
        <v>371</v>
      </c>
      <c r="C191" s="65" t="s">
        <v>61</v>
      </c>
      <c r="D191" s="347"/>
      <c r="E191" s="347"/>
      <c r="F191" s="558" t="s">
        <v>373</v>
      </c>
      <c r="G191" s="1822">
        <v>0.24</v>
      </c>
      <c r="H191" s="1822">
        <v>0.5</v>
      </c>
      <c r="I191" s="1823">
        <f t="shared" si="10"/>
        <v>120</v>
      </c>
      <c r="J191" s="342"/>
      <c r="K191" s="342"/>
      <c r="L191" s="342"/>
      <c r="M191" s="342"/>
      <c r="N191" s="342"/>
      <c r="O191" s="342"/>
      <c r="P191" s="342"/>
      <c r="Q191" s="113" t="s">
        <v>352</v>
      </c>
      <c r="R191" s="37" t="s">
        <v>388</v>
      </c>
    </row>
    <row r="192" spans="1:19" s="341" customFormat="1" x14ac:dyDescent="0.25">
      <c r="A192" s="170"/>
      <c r="B192" s="1780" t="s">
        <v>381</v>
      </c>
      <c r="C192" s="65" t="s">
        <v>20</v>
      </c>
      <c r="D192" s="347"/>
      <c r="E192" s="347"/>
      <c r="F192" s="558" t="s">
        <v>384</v>
      </c>
      <c r="G192" s="1824">
        <v>0.39</v>
      </c>
      <c r="H192" s="1824">
        <v>0.5</v>
      </c>
      <c r="I192" s="1825">
        <f t="shared" si="10"/>
        <v>195</v>
      </c>
      <c r="J192" s="342"/>
      <c r="K192" s="1516"/>
      <c r="L192" s="342"/>
      <c r="M192" s="342"/>
      <c r="N192" s="342"/>
      <c r="O192" s="342"/>
      <c r="P192" s="342"/>
      <c r="Q192" s="113" t="s">
        <v>99</v>
      </c>
      <c r="R192" s="161">
        <v>42558</v>
      </c>
    </row>
    <row r="193" spans="1:19" s="341" customFormat="1" x14ac:dyDescent="0.25">
      <c r="A193" s="170"/>
      <c r="B193" s="1780" t="s">
        <v>382</v>
      </c>
      <c r="C193" s="65" t="s">
        <v>63</v>
      </c>
      <c r="D193" s="347"/>
      <c r="E193" s="347"/>
      <c r="F193" s="347"/>
      <c r="G193" s="347"/>
      <c r="H193" s="347"/>
      <c r="I193" s="347"/>
      <c r="J193" s="342"/>
      <c r="K193" s="342"/>
      <c r="L193" s="342"/>
      <c r="M193" s="342"/>
      <c r="N193" s="342"/>
      <c r="O193" s="342"/>
      <c r="P193" s="342"/>
      <c r="Q193" s="342"/>
      <c r="R193" s="342"/>
    </row>
    <row r="194" spans="1:19" s="341" customFormat="1" x14ac:dyDescent="0.25">
      <c r="A194" s="170"/>
      <c r="B194" s="1780" t="s">
        <v>383</v>
      </c>
      <c r="C194" s="65" t="s">
        <v>67</v>
      </c>
      <c r="D194" s="347"/>
      <c r="E194" s="347"/>
      <c r="F194" s="558" t="s">
        <v>61</v>
      </c>
      <c r="G194" s="1826">
        <f>I186</f>
        <v>126</v>
      </c>
      <c r="H194" s="1509"/>
      <c r="I194" s="347"/>
      <c r="J194" s="347"/>
      <c r="K194" s="347"/>
      <c r="L194" s="342"/>
      <c r="M194" s="342"/>
      <c r="N194" s="342"/>
      <c r="O194" s="342"/>
      <c r="P194" s="342"/>
      <c r="Q194" s="342"/>
      <c r="R194" s="342"/>
    </row>
    <row r="195" spans="1:19" x14ac:dyDescent="0.25">
      <c r="A195" s="170"/>
      <c r="B195" s="1780" t="s">
        <v>26</v>
      </c>
      <c r="C195" s="65" t="s">
        <v>27</v>
      </c>
      <c r="D195" s="342"/>
      <c r="E195" s="342"/>
      <c r="F195" s="558" t="s">
        <v>63</v>
      </c>
      <c r="G195" s="1827">
        <f>I188</f>
        <v>94</v>
      </c>
      <c r="H195" s="1509"/>
      <c r="I195" s="342"/>
      <c r="J195" s="342"/>
      <c r="K195" s="342"/>
      <c r="L195" s="342"/>
      <c r="M195" s="342"/>
      <c r="N195" s="342"/>
      <c r="O195" s="342"/>
      <c r="P195" s="342"/>
      <c r="Q195" s="113" t="s">
        <v>393</v>
      </c>
      <c r="R195" s="37" t="s">
        <v>394</v>
      </c>
      <c r="S195" s="155"/>
    </row>
    <row r="196" spans="1:19" x14ac:dyDescent="0.25">
      <c r="A196" s="170"/>
      <c r="B196" s="1780" t="s">
        <v>373</v>
      </c>
      <c r="C196" s="1781" t="s">
        <v>65</v>
      </c>
      <c r="D196" s="342"/>
      <c r="E196" s="342"/>
      <c r="F196" s="558" t="s">
        <v>67</v>
      </c>
      <c r="G196" s="1827">
        <f>I189</f>
        <v>43</v>
      </c>
      <c r="H196" s="1509"/>
      <c r="I196" s="342"/>
      <c r="J196" s="342"/>
      <c r="K196" s="342"/>
      <c r="L196" s="342"/>
      <c r="M196" s="342"/>
      <c r="N196" s="342"/>
      <c r="O196" s="342"/>
      <c r="P196" s="342"/>
      <c r="Q196" s="1727" t="s">
        <v>100</v>
      </c>
      <c r="R196" s="2586" t="s">
        <v>931</v>
      </c>
      <c r="S196" s="155"/>
    </row>
    <row r="197" spans="1:19" x14ac:dyDescent="0.25">
      <c r="A197" s="170"/>
      <c r="B197" s="1782" t="s">
        <v>384</v>
      </c>
      <c r="C197" s="1783" t="s">
        <v>27</v>
      </c>
      <c r="D197" s="342"/>
      <c r="E197" s="342"/>
      <c r="F197" s="558" t="s">
        <v>65</v>
      </c>
      <c r="G197" s="1827">
        <f>I191</f>
        <v>120</v>
      </c>
      <c r="H197" s="1509"/>
      <c r="I197" s="342"/>
      <c r="J197" s="342"/>
      <c r="K197" s="342"/>
      <c r="L197" s="342"/>
      <c r="M197" s="342"/>
      <c r="N197" s="342"/>
      <c r="O197" s="342"/>
      <c r="P197" s="342"/>
      <c r="Q197" s="1763"/>
      <c r="R197" s="2588"/>
      <c r="S197" s="155"/>
    </row>
    <row r="198" spans="1:19" x14ac:dyDescent="0.25">
      <c r="A198" s="170"/>
      <c r="B198" s="223"/>
      <c r="C198" s="224"/>
      <c r="D198" s="342"/>
      <c r="E198" s="342"/>
      <c r="F198" s="558" t="s">
        <v>20</v>
      </c>
      <c r="G198" s="1827">
        <f>I187</f>
        <v>196</v>
      </c>
      <c r="H198" s="1509"/>
      <c r="I198" s="342"/>
      <c r="J198" s="342"/>
      <c r="K198" s="342"/>
      <c r="L198" s="342"/>
      <c r="M198" s="342"/>
      <c r="N198" s="342"/>
      <c r="O198" s="342"/>
      <c r="P198" s="342"/>
      <c r="Q198" s="342"/>
      <c r="R198" s="342"/>
      <c r="S198" s="155"/>
    </row>
    <row r="199" spans="1:19" x14ac:dyDescent="0.25">
      <c r="A199" s="170"/>
      <c r="B199" s="344"/>
      <c r="C199" s="317"/>
      <c r="D199" s="342"/>
      <c r="E199" s="342"/>
      <c r="F199" s="558" t="s">
        <v>27</v>
      </c>
      <c r="G199" s="1828">
        <f>I192</f>
        <v>195</v>
      </c>
      <c r="H199" s="1509"/>
      <c r="I199" s="342"/>
      <c r="J199" s="342"/>
      <c r="K199" s="342"/>
      <c r="L199" s="342"/>
      <c r="M199" s="342"/>
      <c r="N199" s="342"/>
      <c r="O199" s="342"/>
      <c r="P199" s="342"/>
      <c r="Q199" s="342"/>
      <c r="R199" s="342"/>
      <c r="S199" s="155"/>
    </row>
    <row r="200" spans="1:19" x14ac:dyDescent="0.25">
      <c r="A200" s="170"/>
      <c r="B200" s="344"/>
      <c r="C200" s="317"/>
      <c r="D200" s="342"/>
      <c r="E200" s="342"/>
      <c r="F200" s="342"/>
      <c r="G200" s="342"/>
      <c r="H200" s="342"/>
      <c r="I200" s="342"/>
      <c r="J200" s="342"/>
      <c r="K200" s="342"/>
      <c r="L200" s="342"/>
      <c r="M200" s="342"/>
      <c r="N200" s="342"/>
      <c r="O200" s="342"/>
      <c r="P200" s="342"/>
      <c r="Q200" s="342"/>
      <c r="R200" s="342"/>
      <c r="S200" s="155"/>
    </row>
    <row r="201" spans="1:19" x14ac:dyDescent="0.25">
      <c r="A201" s="170"/>
      <c r="B201" s="212"/>
      <c r="C201" s="213"/>
      <c r="D201" s="155"/>
      <c r="E201" s="155"/>
      <c r="F201" s="155"/>
      <c r="G201" s="155"/>
      <c r="H201" s="155"/>
      <c r="I201" s="155"/>
      <c r="J201" s="155"/>
      <c r="K201" s="155"/>
      <c r="L201" s="155"/>
      <c r="M201" s="155"/>
      <c r="N201" s="155"/>
      <c r="O201" s="155"/>
      <c r="P201" s="155"/>
      <c r="Q201" s="155"/>
      <c r="R201" s="155"/>
      <c r="S201" s="155"/>
    </row>
    <row r="202" spans="1:19" ht="12.75" customHeight="1" x14ac:dyDescent="0.25">
      <c r="A202" s="170"/>
      <c r="B202" s="2740" t="s">
        <v>428</v>
      </c>
      <c r="C202" s="2738" t="s">
        <v>431</v>
      </c>
      <c r="D202" s="7"/>
      <c r="E202" s="7"/>
      <c r="F202" s="555" t="s">
        <v>377</v>
      </c>
      <c r="G202" s="1932">
        <v>0.43</v>
      </c>
      <c r="H202" s="1933">
        <v>0.14000000000000001</v>
      </c>
      <c r="I202" s="1934">
        <v>0.43</v>
      </c>
      <c r="J202" s="1261" t="str">
        <f>IF(SUM(G202:I202)=1,"Ok","Error")</f>
        <v>Ok</v>
      </c>
      <c r="Q202" s="184" t="s">
        <v>104</v>
      </c>
      <c r="R202" s="225" t="s">
        <v>395</v>
      </c>
      <c r="S202" s="155"/>
    </row>
    <row r="203" spans="1:19" x14ac:dyDescent="0.25">
      <c r="A203" s="170"/>
      <c r="B203" s="2756"/>
      <c r="C203" s="2749"/>
      <c r="D203" s="7"/>
      <c r="E203" s="7"/>
      <c r="F203" s="555" t="s">
        <v>378</v>
      </c>
      <c r="G203" s="1935">
        <f>Qld!G19/SUM(Qld!$G$19:$I$19)</f>
        <v>0.36807678526023763</v>
      </c>
      <c r="H203" s="1936">
        <f>Qld!H19/SUM(Qld!$G$19:$I$19)</f>
        <v>0.31852578040231239</v>
      </c>
      <c r="I203" s="1937">
        <f>Qld!I19/SUM(Qld!$G$19:$I$19)</f>
        <v>0.31339743433744999</v>
      </c>
      <c r="J203" s="1261" t="str">
        <f>IF(SUM(G203:I203)=1,"Ok","Error")</f>
        <v>Ok</v>
      </c>
      <c r="Q203" s="184" t="s">
        <v>100</v>
      </c>
      <c r="R203" s="225" t="s">
        <v>387</v>
      </c>
      <c r="S203" s="155"/>
    </row>
    <row r="204" spans="1:19" x14ac:dyDescent="0.25">
      <c r="A204" s="170"/>
      <c r="B204" s="2756"/>
      <c r="C204" s="2749"/>
      <c r="D204" s="7"/>
      <c r="E204" s="7"/>
      <c r="F204" s="6" t="s">
        <v>7</v>
      </c>
      <c r="G204" s="1938">
        <v>0.36</v>
      </c>
      <c r="H204" s="1926">
        <v>0.19</v>
      </c>
      <c r="I204" s="1939">
        <v>0.45</v>
      </c>
      <c r="J204" s="1261" t="str">
        <f>IF(SUM(G204:I204)=1,"Ok","Error")</f>
        <v>Ok</v>
      </c>
      <c r="K204" s="155"/>
      <c r="L204" s="155"/>
      <c r="M204" s="155"/>
      <c r="N204" s="155"/>
      <c r="O204" s="155"/>
      <c r="P204" s="155"/>
      <c r="Q204" s="184" t="s">
        <v>10</v>
      </c>
      <c r="R204" s="315" t="s">
        <v>949</v>
      </c>
      <c r="S204" s="155"/>
    </row>
    <row r="205" spans="1:19" x14ac:dyDescent="0.25">
      <c r="A205" s="170"/>
      <c r="B205" s="2741"/>
      <c r="C205" s="2739"/>
      <c r="D205" s="7"/>
      <c r="E205" s="7"/>
      <c r="F205" s="555" t="s">
        <v>379</v>
      </c>
      <c r="G205" s="1940">
        <v>0.56999999999999995</v>
      </c>
      <c r="H205" s="1941">
        <v>0.33</v>
      </c>
      <c r="I205" s="1942">
        <v>0.1</v>
      </c>
      <c r="J205" s="1261" t="str">
        <f>IF(SUM(G205:I205)=1,"Ok","Error")</f>
        <v>Ok</v>
      </c>
      <c r="K205" s="155"/>
      <c r="L205" s="155"/>
      <c r="M205" s="155"/>
      <c r="N205" s="155"/>
      <c r="O205" s="155"/>
      <c r="P205" s="155"/>
      <c r="Q205" s="184" t="s">
        <v>352</v>
      </c>
      <c r="R205" s="225" t="s">
        <v>388</v>
      </c>
      <c r="S205" s="155"/>
    </row>
    <row r="206" spans="1:19" x14ac:dyDescent="0.25">
      <c r="A206" s="170"/>
      <c r="B206" s="184" t="s">
        <v>341</v>
      </c>
      <c r="C206" s="1773" t="s">
        <v>950</v>
      </c>
      <c r="D206" s="155"/>
      <c r="E206" s="155"/>
      <c r="K206" s="155"/>
      <c r="L206" s="155"/>
      <c r="M206" s="155"/>
      <c r="N206" s="155"/>
      <c r="O206" s="155"/>
      <c r="P206" s="155"/>
      <c r="Q206" s="184" t="s">
        <v>99</v>
      </c>
      <c r="R206" s="227">
        <v>42558</v>
      </c>
      <c r="S206" s="155"/>
    </row>
    <row r="207" spans="1:19" x14ac:dyDescent="0.25">
      <c r="A207" s="170"/>
      <c r="B207" s="7"/>
      <c r="C207" s="7"/>
      <c r="D207" s="155"/>
      <c r="E207" s="155"/>
      <c r="F207" s="557"/>
      <c r="G207" s="575" t="s">
        <v>16</v>
      </c>
      <c r="H207" s="575" t="s">
        <v>17</v>
      </c>
      <c r="I207" s="575" t="s">
        <v>18</v>
      </c>
      <c r="J207" s="155"/>
      <c r="K207" s="155"/>
      <c r="L207" s="155"/>
      <c r="M207" s="155"/>
      <c r="N207" s="155"/>
      <c r="O207" s="155"/>
      <c r="P207" s="155"/>
      <c r="S207" s="155"/>
    </row>
    <row r="208" spans="1:19" x14ac:dyDescent="0.25">
      <c r="A208" s="170"/>
      <c r="B208" s="7"/>
      <c r="C208" s="7"/>
      <c r="D208" s="7"/>
      <c r="E208" s="7"/>
      <c r="F208" s="556" t="s">
        <v>371</v>
      </c>
      <c r="G208" s="1926">
        <v>0.35</v>
      </c>
      <c r="H208" s="1927">
        <v>0.215</v>
      </c>
      <c r="I208" s="1928">
        <v>0</v>
      </c>
      <c r="Q208" s="184" t="s">
        <v>104</v>
      </c>
      <c r="R208" s="225" t="s">
        <v>565</v>
      </c>
      <c r="S208" s="157"/>
    </row>
    <row r="209" spans="1:19" x14ac:dyDescent="0.25">
      <c r="A209" s="170"/>
      <c r="B209" s="7"/>
      <c r="C209" s="7"/>
      <c r="D209" s="7"/>
      <c r="E209" s="7"/>
      <c r="F209" s="556" t="s">
        <v>381</v>
      </c>
      <c r="G209" s="1926">
        <v>0.13</v>
      </c>
      <c r="H209" s="1927">
        <v>0.155</v>
      </c>
      <c r="I209" s="1928">
        <v>0.03</v>
      </c>
      <c r="Q209" s="184" t="s">
        <v>100</v>
      </c>
      <c r="R209" s="225" t="s">
        <v>387</v>
      </c>
      <c r="S209" s="157"/>
    </row>
    <row r="210" spans="1:19" x14ac:dyDescent="0.25">
      <c r="A210" s="170"/>
      <c r="B210" s="7"/>
      <c r="C210" s="7"/>
      <c r="D210" s="7"/>
      <c r="E210" s="7"/>
      <c r="F210" s="556" t="s">
        <v>382</v>
      </c>
      <c r="G210" s="1927">
        <v>0.16500000000000001</v>
      </c>
      <c r="H210" s="1926">
        <v>0.04</v>
      </c>
      <c r="I210" s="1928">
        <v>0.02</v>
      </c>
      <c r="Q210" s="184" t="s">
        <v>10</v>
      </c>
      <c r="R210" s="315" t="s">
        <v>951</v>
      </c>
      <c r="S210" s="155"/>
    </row>
    <row r="211" spans="1:19" x14ac:dyDescent="0.25">
      <c r="A211" s="170"/>
      <c r="B211" s="7"/>
      <c r="C211" s="7"/>
      <c r="D211" s="7"/>
      <c r="E211" s="7"/>
      <c r="F211" s="556" t="s">
        <v>383</v>
      </c>
      <c r="G211" s="1926">
        <v>0.01</v>
      </c>
      <c r="H211" s="1927">
        <v>0.125</v>
      </c>
      <c r="I211" s="1928">
        <v>0.06</v>
      </c>
      <c r="Q211" s="184" t="s">
        <v>352</v>
      </c>
      <c r="R211" s="225" t="s">
        <v>388</v>
      </c>
      <c r="S211" s="155"/>
    </row>
    <row r="212" spans="1:19" x14ac:dyDescent="0.25">
      <c r="A212" s="170"/>
      <c r="B212" s="7"/>
      <c r="C212" s="7"/>
      <c r="D212" s="7"/>
      <c r="E212" s="7"/>
      <c r="F212" s="556" t="s">
        <v>26</v>
      </c>
      <c r="G212" s="1927">
        <v>1.4999999999999999E-2</v>
      </c>
      <c r="H212" s="1926">
        <v>0.04</v>
      </c>
      <c r="I212" s="1928">
        <v>0</v>
      </c>
      <c r="Q212" s="184" t="s">
        <v>99</v>
      </c>
      <c r="R212" s="227">
        <v>42558</v>
      </c>
      <c r="S212" s="155"/>
    </row>
    <row r="213" spans="1:19" x14ac:dyDescent="0.25">
      <c r="A213" s="170"/>
      <c r="B213" s="7"/>
      <c r="C213" s="7"/>
      <c r="D213" s="7"/>
      <c r="E213" s="7"/>
      <c r="F213" s="556" t="s">
        <v>372</v>
      </c>
      <c r="G213" s="1926">
        <v>0</v>
      </c>
      <c r="H213" s="1927">
        <v>1.4999999999999999E-2</v>
      </c>
      <c r="I213" s="1928">
        <v>0</v>
      </c>
      <c r="Q213" s="99"/>
      <c r="R213" s="1298"/>
      <c r="S213" s="155"/>
    </row>
    <row r="214" spans="1:19" x14ac:dyDescent="0.25">
      <c r="A214" s="170"/>
      <c r="B214" s="7"/>
      <c r="C214" s="7"/>
      <c r="D214" s="7"/>
      <c r="E214" s="7"/>
      <c r="F214" s="556" t="s">
        <v>373</v>
      </c>
      <c r="G214" s="1926">
        <v>0.04</v>
      </c>
      <c r="H214" s="1926">
        <v>0</v>
      </c>
      <c r="I214" s="1928">
        <v>0</v>
      </c>
      <c r="S214" s="155"/>
    </row>
    <row r="215" spans="1:19" x14ac:dyDescent="0.25">
      <c r="A215" s="170"/>
      <c r="B215" s="7"/>
      <c r="C215" s="7"/>
      <c r="D215" s="7"/>
      <c r="E215" s="7"/>
      <c r="F215" s="556" t="s">
        <v>891</v>
      </c>
      <c r="G215" s="1926">
        <v>0.01</v>
      </c>
      <c r="H215" s="1927">
        <v>3.5000000000000003E-2</v>
      </c>
      <c r="I215" s="1928">
        <v>0</v>
      </c>
      <c r="S215" s="155"/>
    </row>
    <row r="216" spans="1:19" x14ac:dyDescent="0.25">
      <c r="A216" s="170"/>
      <c r="B216" s="7"/>
      <c r="C216" s="7"/>
      <c r="D216" s="7"/>
      <c r="E216" s="7"/>
      <c r="F216" s="556" t="s">
        <v>385</v>
      </c>
      <c r="G216" s="1929">
        <v>0.28000000000000003</v>
      </c>
      <c r="H216" s="1930">
        <v>0.375</v>
      </c>
      <c r="I216" s="1931">
        <v>0.89</v>
      </c>
      <c r="S216" s="155"/>
    </row>
    <row r="217" spans="1:19" x14ac:dyDescent="0.25">
      <c r="A217" s="170"/>
      <c r="B217" s="7"/>
      <c r="C217" s="7"/>
      <c r="D217" s="7"/>
      <c r="E217" s="7"/>
      <c r="F217" s="33" t="s">
        <v>397</v>
      </c>
      <c r="G217" s="209">
        <f>SUM(G208:G216)</f>
        <v>1</v>
      </c>
      <c r="H217" s="209">
        <f>SUM(H208:H216)</f>
        <v>1</v>
      </c>
      <c r="I217" s="209">
        <f>SUM(I208:I216)</f>
        <v>1</v>
      </c>
      <c r="J217" s="33"/>
      <c r="S217" s="155"/>
    </row>
    <row r="218" spans="1:19" x14ac:dyDescent="0.25">
      <c r="A218" s="170"/>
      <c r="B218" s="155"/>
      <c r="F218" s="159"/>
      <c r="G218" s="576" t="s">
        <v>377</v>
      </c>
      <c r="H218" s="576" t="s">
        <v>378</v>
      </c>
      <c r="I218" s="576" t="s">
        <v>379</v>
      </c>
      <c r="O218" s="155"/>
      <c r="P218" s="155"/>
      <c r="Q218" s="184" t="s">
        <v>100</v>
      </c>
      <c r="R218" s="225" t="s">
        <v>398</v>
      </c>
      <c r="S218" s="155"/>
    </row>
    <row r="219" spans="1:19" x14ac:dyDescent="0.25">
      <c r="A219" s="170"/>
      <c r="B219" s="155"/>
      <c r="F219" s="556" t="s">
        <v>371</v>
      </c>
      <c r="G219" s="1919">
        <f>SUMPRODUCT($G208:$I208,$G$202:$I$202)*I186</f>
        <v>22.755599999999998</v>
      </c>
      <c r="H219" s="1919">
        <f>SUMPRODUCT($G208:$I208,$G$203:$I$203)*I186</f>
        <v>24.861049621075122</v>
      </c>
      <c r="I219" s="1920">
        <f>SUMPRODUCT($G208:$I208,$G$205:$I$205)*I186</f>
        <v>34.076699999999995</v>
      </c>
      <c r="O219" s="155"/>
      <c r="P219" s="155"/>
      <c r="S219" s="155"/>
    </row>
    <row r="220" spans="1:19" x14ac:dyDescent="0.25">
      <c r="A220" s="170"/>
      <c r="B220" s="155"/>
      <c r="F220" s="556" t="s">
        <v>381</v>
      </c>
      <c r="G220" s="1919">
        <f>SUMPRODUCT($G209:$I209,$G$202:$I$202)*I187</f>
        <v>17.738</v>
      </c>
      <c r="H220" s="1919">
        <f>SUMPRODUCT($G209:$I209,$G$203:$I$203)*I187</f>
        <v>20.898186610957307</v>
      </c>
      <c r="I220" s="1921">
        <f>SUMPRODUCT($G209:$I209,$G$205:$I$205)*I187</f>
        <v>25.137</v>
      </c>
      <c r="O220" s="155"/>
      <c r="P220" s="155"/>
      <c r="Q220" s="155"/>
      <c r="R220" s="155"/>
      <c r="S220" s="155"/>
    </row>
    <row r="221" spans="1:19" x14ac:dyDescent="0.25">
      <c r="A221" s="170"/>
      <c r="B221" s="155"/>
      <c r="F221" s="556" t="s">
        <v>382</v>
      </c>
      <c r="G221" s="1919">
        <f>SUMPRODUCT($G210:$I210,$G$202:$I$202)*I188</f>
        <v>8.0041000000000011</v>
      </c>
      <c r="H221" s="1919">
        <f>SUMPRODUCT($G210:$I210,$G$203:$I$203)*I188</f>
        <v>7.495715050253386</v>
      </c>
      <c r="I221" s="1921">
        <f>SUMPRODUCT($G210:$I210,$G$205:$I$205)*I188</f>
        <v>10.269500000000001</v>
      </c>
      <c r="O221" s="155"/>
      <c r="P221" s="155"/>
      <c r="Q221" s="155"/>
      <c r="R221" s="155"/>
      <c r="S221" s="155"/>
    </row>
    <row r="222" spans="1:19" x14ac:dyDescent="0.25">
      <c r="A222" s="170"/>
      <c r="B222" s="155"/>
      <c r="F222" s="556" t="s">
        <v>383</v>
      </c>
      <c r="G222" s="1919">
        <f>SUMPRODUCT($G211:$I211,$G$202:$I$202)*I189</f>
        <v>2.0468000000000002</v>
      </c>
      <c r="H222" s="1919">
        <f>SUMPRODUCT($G211:$I211,$G$203:$I$203)*I189</f>
        <v>2.6789144679149524</v>
      </c>
      <c r="I222" s="1921">
        <f>SUMPRODUCT($G211:$I211,$G$205:$I$205)*I189</f>
        <v>2.27685</v>
      </c>
      <c r="O222" s="155"/>
      <c r="P222" s="155"/>
      <c r="Q222" s="155"/>
      <c r="R222" s="155"/>
      <c r="S222" s="155"/>
    </row>
    <row r="223" spans="1:19" x14ac:dyDescent="0.25">
      <c r="A223" s="170"/>
      <c r="B223" s="155"/>
      <c r="F223" s="556" t="s">
        <v>26</v>
      </c>
      <c r="G223" s="1919">
        <f>SUMPRODUCT($G212:$I212,$G$202:$I$202)*I190</f>
        <v>1.4460000000000002</v>
      </c>
      <c r="H223" s="1919">
        <f>SUMPRODUCT($G212:$I212,$G$203:$I$203)*I190</f>
        <v>2.1914619593995273</v>
      </c>
      <c r="I223" s="1921">
        <f>SUMPRODUCT($G212:$I212,$G$205:$I$205)*I190</f>
        <v>2.61</v>
      </c>
      <c r="O223" s="155"/>
      <c r="P223" s="155"/>
      <c r="Q223" s="155"/>
      <c r="R223" s="155"/>
      <c r="S223" s="155"/>
    </row>
    <row r="224" spans="1:19" x14ac:dyDescent="0.25">
      <c r="A224" s="170"/>
      <c r="B224" s="155"/>
      <c r="F224" s="556" t="s">
        <v>373</v>
      </c>
      <c r="G224" s="1919">
        <f>SUMPRODUCT($G214:$I214,$G$202:$I$202)*I191</f>
        <v>2.0640000000000001</v>
      </c>
      <c r="H224" s="1919">
        <f>SUMPRODUCT($G214:$I214,$G$203:$I$203)*I191</f>
        <v>1.7667685692491406</v>
      </c>
      <c r="I224" s="1921">
        <f>SUMPRODUCT($G214:$I214,$G$205:$I$205)*I191</f>
        <v>2.7359999999999998</v>
      </c>
      <c r="O224" s="155"/>
      <c r="P224" s="155"/>
      <c r="Q224" s="155"/>
      <c r="R224" s="155"/>
      <c r="S224" s="155"/>
    </row>
    <row r="225" spans="1:19" x14ac:dyDescent="0.25">
      <c r="A225" s="170"/>
      <c r="B225" s="155"/>
      <c r="C225" s="155"/>
      <c r="D225" s="155"/>
      <c r="E225" s="155"/>
      <c r="F225" s="556" t="s">
        <v>384</v>
      </c>
      <c r="G225" s="1924">
        <f>SUMPRODUCT($G215:$I215,$G$202:$I$202)*I192</f>
        <v>1.794</v>
      </c>
      <c r="H225" s="1924">
        <f>SUMPRODUCT($G215:$I215,$G$203:$I$203)*I192</f>
        <v>2.8916881825032457</v>
      </c>
      <c r="I225" s="1925">
        <f>SUMPRODUCT($G215:$I215,$G$205:$I$205)*I192</f>
        <v>3.3637500000000005</v>
      </c>
      <c r="O225" s="155"/>
      <c r="P225" s="155"/>
      <c r="Q225" s="155"/>
      <c r="R225" s="155"/>
      <c r="S225" s="155"/>
    </row>
    <row r="226" spans="1:19" x14ac:dyDescent="0.25">
      <c r="A226" s="170"/>
      <c r="B226" s="7"/>
      <c r="C226" s="7"/>
      <c r="D226" s="7"/>
      <c r="E226" s="7"/>
      <c r="O226" s="155"/>
      <c r="P226" s="155"/>
      <c r="Q226" s="155"/>
      <c r="R226" s="155"/>
      <c r="S226" s="155"/>
    </row>
    <row r="227" spans="1:19" x14ac:dyDescent="0.25">
      <c r="A227" s="170"/>
      <c r="B227" s="7"/>
      <c r="C227" s="7"/>
      <c r="D227" s="7"/>
      <c r="F227" s="159"/>
      <c r="G227" s="576" t="s">
        <v>377</v>
      </c>
      <c r="H227" s="576" t="s">
        <v>378</v>
      </c>
      <c r="I227" s="576" t="s">
        <v>379</v>
      </c>
      <c r="O227" s="155"/>
      <c r="P227" s="155"/>
      <c r="Q227" s="184" t="s">
        <v>100</v>
      </c>
      <c r="R227" s="225" t="s">
        <v>398</v>
      </c>
      <c r="S227" s="155"/>
    </row>
    <row r="228" spans="1:19" x14ac:dyDescent="0.25">
      <c r="A228" s="170"/>
      <c r="B228" s="7"/>
      <c r="C228" s="7"/>
      <c r="D228" s="7"/>
      <c r="F228" s="556" t="s">
        <v>61</v>
      </c>
      <c r="G228" s="1919">
        <f>G219</f>
        <v>22.755599999999998</v>
      </c>
      <c r="H228" s="1919">
        <f>H219</f>
        <v>24.861049621075122</v>
      </c>
      <c r="I228" s="1920">
        <f>I219</f>
        <v>34.076699999999995</v>
      </c>
      <c r="O228" s="155"/>
      <c r="P228" s="155"/>
      <c r="S228" s="155"/>
    </row>
    <row r="229" spans="1:19" x14ac:dyDescent="0.25">
      <c r="A229" s="170"/>
      <c r="B229" s="7"/>
      <c r="C229" s="7"/>
      <c r="D229" s="7"/>
      <c r="F229" s="556" t="s">
        <v>63</v>
      </c>
      <c r="G229" s="1919">
        <f t="shared" ref="G229:I230" si="11">G221</f>
        <v>8.0041000000000011</v>
      </c>
      <c r="H229" s="1919">
        <f t="shared" si="11"/>
        <v>7.495715050253386</v>
      </c>
      <c r="I229" s="1921">
        <f t="shared" si="11"/>
        <v>10.269500000000001</v>
      </c>
      <c r="O229" s="155"/>
      <c r="P229" s="155"/>
      <c r="Q229" s="155"/>
      <c r="R229" s="155"/>
      <c r="S229" s="155"/>
    </row>
    <row r="230" spans="1:19" x14ac:dyDescent="0.25">
      <c r="A230" s="170"/>
      <c r="B230" s="7"/>
      <c r="C230" s="7"/>
      <c r="D230" s="7"/>
      <c r="F230" s="556" t="s">
        <v>67</v>
      </c>
      <c r="G230" s="1919">
        <f t="shared" si="11"/>
        <v>2.0468000000000002</v>
      </c>
      <c r="H230" s="1919">
        <f t="shared" si="11"/>
        <v>2.6789144679149524</v>
      </c>
      <c r="I230" s="1921">
        <f t="shared" si="11"/>
        <v>2.27685</v>
      </c>
      <c r="O230" s="155"/>
      <c r="P230" s="155"/>
      <c r="Q230" s="155"/>
      <c r="R230" s="155"/>
      <c r="S230" s="155"/>
    </row>
    <row r="231" spans="1:19" x14ac:dyDescent="0.25">
      <c r="A231" s="170"/>
      <c r="B231" s="7"/>
      <c r="C231" s="7"/>
      <c r="D231" s="7"/>
      <c r="F231" s="556" t="s">
        <v>65</v>
      </c>
      <c r="G231" s="1919">
        <f>G224</f>
        <v>2.0640000000000001</v>
      </c>
      <c r="H231" s="1919">
        <f>H224</f>
        <v>1.7667685692491406</v>
      </c>
      <c r="I231" s="1921">
        <f>I224</f>
        <v>2.7359999999999998</v>
      </c>
      <c r="O231" s="155"/>
      <c r="P231" s="155"/>
      <c r="Q231" s="155"/>
      <c r="R231" s="155"/>
      <c r="S231" s="155"/>
    </row>
    <row r="232" spans="1:19" x14ac:dyDescent="0.25">
      <c r="A232" s="170"/>
      <c r="B232" s="7"/>
      <c r="C232" s="7"/>
      <c r="D232" s="7"/>
      <c r="F232" s="556" t="s">
        <v>20</v>
      </c>
      <c r="G232" s="1919">
        <f>G220</f>
        <v>17.738</v>
      </c>
      <c r="H232" s="1919">
        <f>H220</f>
        <v>20.898186610957307</v>
      </c>
      <c r="I232" s="1921">
        <f>I220</f>
        <v>25.137</v>
      </c>
      <c r="O232" s="155"/>
      <c r="P232" s="155"/>
      <c r="Q232" s="155"/>
      <c r="R232" s="155"/>
      <c r="S232" s="155"/>
    </row>
    <row r="233" spans="1:19" x14ac:dyDescent="0.25">
      <c r="A233" s="170"/>
      <c r="B233" s="7"/>
      <c r="C233" s="7"/>
      <c r="D233" s="7"/>
      <c r="F233" s="556" t="s">
        <v>27</v>
      </c>
      <c r="G233" s="1919">
        <f>SUM(G223,G225)</f>
        <v>3.24</v>
      </c>
      <c r="H233" s="1919">
        <f>SUM(H223,H225)</f>
        <v>5.0831501419027729</v>
      </c>
      <c r="I233" s="1921">
        <f>SUM(I223,I225)</f>
        <v>5.9737500000000008</v>
      </c>
      <c r="O233" s="155"/>
      <c r="P233" s="155"/>
      <c r="Q233" s="155"/>
      <c r="R233" s="155"/>
      <c r="S233" s="155"/>
    </row>
    <row r="234" spans="1:19" x14ac:dyDescent="0.25">
      <c r="A234" s="170"/>
      <c r="B234" s="7"/>
      <c r="C234" s="7"/>
      <c r="D234" s="7"/>
      <c r="E234" s="7"/>
      <c r="F234" s="568" t="s">
        <v>88</v>
      </c>
      <c r="G234" s="1922">
        <f>SUM(G228:G233)</f>
        <v>55.848500000000001</v>
      </c>
      <c r="H234" s="1922">
        <f>SUM(H228:H233)</f>
        <v>62.783784461352674</v>
      </c>
      <c r="I234" s="1923">
        <f>SUM(I228:I233)</f>
        <v>80.469799999999992</v>
      </c>
      <c r="O234" s="155"/>
      <c r="P234" s="155"/>
      <c r="Q234" s="155"/>
      <c r="R234" s="155"/>
      <c r="S234" s="155"/>
    </row>
    <row r="235" spans="1:19" x14ac:dyDescent="0.25">
      <c r="A235" s="170"/>
      <c r="B235" s="7"/>
      <c r="C235" s="7"/>
      <c r="D235" s="7"/>
      <c r="E235" s="7"/>
      <c r="F235" s="33" t="s">
        <v>397</v>
      </c>
      <c r="G235" s="207" t="str">
        <f>IF(SUM(G219:G225)=G234,"Ok","Error")</f>
        <v>Ok</v>
      </c>
      <c r="H235" s="207" t="str">
        <f>IF(SUM(H219:H225)=H234,"Ok","Error")</f>
        <v>Ok</v>
      </c>
      <c r="I235" s="207" t="str">
        <f>IF(SUM(I219:I225)=I234,"Ok","Error")</f>
        <v>Ok</v>
      </c>
      <c r="N235" s="162"/>
      <c r="O235" s="155"/>
      <c r="P235" s="155"/>
      <c r="Q235" s="155"/>
      <c r="R235" s="155"/>
      <c r="S235" s="155"/>
    </row>
    <row r="236" spans="1:19" x14ac:dyDescent="0.25">
      <c r="A236" s="170"/>
      <c r="B236" s="7"/>
      <c r="C236" s="7"/>
      <c r="D236" s="7"/>
      <c r="E236" s="7"/>
      <c r="F236" s="7"/>
      <c r="G236" s="7"/>
      <c r="H236" s="7"/>
      <c r="K236" s="155"/>
      <c r="L236" s="155"/>
      <c r="M236" s="155"/>
      <c r="N236" s="155"/>
      <c r="O236" s="155"/>
      <c r="P236" s="155"/>
      <c r="Q236" s="160"/>
      <c r="R236" s="155"/>
      <c r="S236" s="155"/>
    </row>
    <row r="237" spans="1:19" x14ac:dyDescent="0.25">
      <c r="A237" s="170"/>
      <c r="B237" s="1118" t="s">
        <v>429</v>
      </c>
      <c r="C237" s="2747" t="s">
        <v>892</v>
      </c>
      <c r="D237" s="155"/>
      <c r="E237" s="155"/>
      <c r="H237" s="617" t="s">
        <v>17</v>
      </c>
      <c r="I237" s="617" t="s">
        <v>18</v>
      </c>
      <c r="L237" s="155"/>
      <c r="M237" s="155"/>
      <c r="N237" s="155"/>
      <c r="O237" s="155"/>
      <c r="P237" s="155"/>
      <c r="Q237" s="184" t="s">
        <v>100</v>
      </c>
      <c r="R237" s="225" t="s">
        <v>102</v>
      </c>
      <c r="S237" s="155"/>
    </row>
    <row r="238" spans="1:19" x14ac:dyDescent="0.25">
      <c r="A238" s="170"/>
      <c r="B238" s="450"/>
      <c r="C238" s="2748"/>
      <c r="D238" s="155"/>
      <c r="E238" s="155"/>
      <c r="F238" s="183" t="s">
        <v>61</v>
      </c>
      <c r="G238" s="618"/>
      <c r="H238" s="1913">
        <f>H208/SUM(H$208,H$210:H$211,H$214)*ACT!H$138</f>
        <v>15649.542081084119</v>
      </c>
      <c r="I238" s="1914">
        <f>I208/SUM(I$208,I$210:I$211,I$214)*ACT!I$138</f>
        <v>0</v>
      </c>
      <c r="M238" s="155"/>
      <c r="N238" s="155"/>
      <c r="O238" s="155"/>
      <c r="P238" s="155"/>
      <c r="Q238" s="155"/>
      <c r="R238" s="155"/>
      <c r="S238" s="155"/>
    </row>
    <row r="239" spans="1:19" x14ac:dyDescent="0.25">
      <c r="A239" s="170"/>
      <c r="B239" s="450"/>
      <c r="C239" s="2748"/>
      <c r="D239" s="7"/>
      <c r="E239" s="7"/>
      <c r="F239" s="183" t="s">
        <v>63</v>
      </c>
      <c r="G239" s="618"/>
      <c r="H239" s="1915">
        <f>H210/SUM(H$208,H$210:H$211,H$214)*ACT!H$138</f>
        <v>2911.5427127598359</v>
      </c>
      <c r="I239" s="1916">
        <f>I210/SUM(I$208,I$210:I$211,I$214)*ACT!I$138</f>
        <v>9.5874935441432907</v>
      </c>
      <c r="Q239" s="155"/>
      <c r="R239" s="155"/>
      <c r="S239" s="157"/>
    </row>
    <row r="240" spans="1:19" x14ac:dyDescent="0.25">
      <c r="A240" s="170"/>
      <c r="B240" s="1730" t="s">
        <v>705</v>
      </c>
      <c r="C240" s="2731" t="s">
        <v>706</v>
      </c>
      <c r="D240" s="7"/>
      <c r="E240" s="7"/>
      <c r="F240" s="183" t="s">
        <v>67</v>
      </c>
      <c r="G240" s="618"/>
      <c r="H240" s="1915">
        <f>H211/SUM(H$208,H$210:H$211,H$214)*ACT!H$138</f>
        <v>9098.5709773744893</v>
      </c>
      <c r="I240" s="1916">
        <f>I211/SUM(I$208,I$210:I$211,I$214)*ACT!I$138</f>
        <v>28.76248063242987</v>
      </c>
      <c r="Q240" s="155"/>
      <c r="R240" s="155"/>
      <c r="S240" s="155"/>
    </row>
    <row r="241" spans="1:19" x14ac:dyDescent="0.25">
      <c r="A241" s="170"/>
      <c r="B241" s="450"/>
      <c r="C241" s="2732"/>
      <c r="D241" s="7"/>
      <c r="E241" s="7"/>
      <c r="F241" s="183" t="s">
        <v>65</v>
      </c>
      <c r="G241" s="618"/>
      <c r="H241" s="1917">
        <f>H214/SUM(H$208,H$210:H$211,H$214)*ACT!H$138</f>
        <v>0</v>
      </c>
      <c r="I241" s="1918">
        <f>I214/SUM(I$208,I$210:I$211,I$214)*ACT!I$138</f>
        <v>0</v>
      </c>
      <c r="Q241" s="155"/>
      <c r="R241" s="155"/>
      <c r="S241" s="155"/>
    </row>
    <row r="242" spans="1:19" x14ac:dyDescent="0.25">
      <c r="A242" s="170"/>
      <c r="B242" s="451"/>
      <c r="C242" s="2733"/>
      <c r="D242" s="7"/>
      <c r="E242" s="7"/>
      <c r="F242" s="183"/>
      <c r="G242" s="33" t="s">
        <v>397</v>
      </c>
      <c r="H242" s="619" t="str">
        <f>IF(SUM(H238:H241)=ACT!H138,"Ok","Error")</f>
        <v>Ok</v>
      </c>
      <c r="I242" s="619" t="str">
        <f>IF(SUM(I238:I241)=ACT!I138,"Ok","Error")</f>
        <v>Ok</v>
      </c>
      <c r="Q242" s="155"/>
      <c r="R242" s="155"/>
      <c r="S242" s="155"/>
    </row>
    <row r="243" spans="1:19" x14ac:dyDescent="0.25">
      <c r="A243" s="170"/>
      <c r="B243" s="7"/>
      <c r="C243" s="7"/>
      <c r="D243" s="7"/>
      <c r="E243" s="7"/>
      <c r="S243" s="155"/>
    </row>
    <row r="244" spans="1:19" x14ac:dyDescent="0.25">
      <c r="A244" s="170"/>
      <c r="B244" s="7"/>
      <c r="C244" s="7"/>
      <c r="D244" s="7"/>
      <c r="E244" s="7"/>
      <c r="F244" s="557"/>
      <c r="G244" s="575" t="s">
        <v>16</v>
      </c>
      <c r="H244" s="575" t="s">
        <v>17</v>
      </c>
      <c r="I244" s="575" t="s">
        <v>18</v>
      </c>
      <c r="J244" s="33" t="s">
        <v>386</v>
      </c>
      <c r="K244" s="155"/>
      <c r="S244" s="155"/>
    </row>
    <row r="245" spans="1:19" x14ac:dyDescent="0.25">
      <c r="A245" s="170"/>
      <c r="B245" s="7"/>
      <c r="C245" s="7"/>
      <c r="D245" s="7"/>
      <c r="E245" s="7"/>
      <c r="F245" s="569" t="s">
        <v>932</v>
      </c>
      <c r="G245" s="1897">
        <f>ACT!G29/SUM(ACT!$G$29:$I$29)</f>
        <v>0.39170079735579283</v>
      </c>
      <c r="H245" s="1898">
        <f>ACT!H29/SUM(ACT!$G$29:$I$29)</f>
        <v>0.52243195362628925</v>
      </c>
      <c r="I245" s="1899">
        <f>ACT!I29/SUM(ACT!$G$29:$I$29)</f>
        <v>8.5867249017918049E-2</v>
      </c>
      <c r="J245" s="164">
        <f>SUM(G245:I245)</f>
        <v>1</v>
      </c>
      <c r="K245" s="1908" t="s">
        <v>3</v>
      </c>
      <c r="Q245" s="184" t="s">
        <v>100</v>
      </c>
      <c r="R245" s="225" t="s">
        <v>398</v>
      </c>
      <c r="S245" s="155"/>
    </row>
    <row r="246" spans="1:19" x14ac:dyDescent="0.25">
      <c r="A246" s="170"/>
      <c r="B246" s="7"/>
      <c r="C246" s="7"/>
      <c r="D246" s="7"/>
      <c r="E246" s="7"/>
      <c r="F246" s="556" t="s">
        <v>61</v>
      </c>
      <c r="G246" s="1747">
        <f>ACT!G138/ACT!$G$29</f>
        <v>0.39163498098859328</v>
      </c>
      <c r="H246" s="1901">
        <f>H238/ACT!H$29</f>
        <v>0.13729876681073022</v>
      </c>
      <c r="I246" s="1902">
        <f>I238/ACT!I$29</f>
        <v>0</v>
      </c>
      <c r="J246" s="164"/>
      <c r="K246" s="1909">
        <f t="shared" ref="K246:K251" si="12">SUMPRODUCT(G$245:I$245,G246:I246)*G194</f>
        <v>28.366757659933924</v>
      </c>
      <c r="S246" s="155"/>
    </row>
    <row r="247" spans="1:19" x14ac:dyDescent="0.25">
      <c r="A247" s="170"/>
      <c r="B247" s="7"/>
      <c r="C247" s="7"/>
      <c r="D247" s="7"/>
      <c r="E247" s="7"/>
      <c r="F247" s="556" t="s">
        <v>63</v>
      </c>
      <c r="G247" s="1747">
        <f>ACT!G139/ACT!$G$29</f>
        <v>8.5822922324823483E-2</v>
      </c>
      <c r="H247" s="1747">
        <f>H239/ACT!H$29</f>
        <v>2.5543956615949808E-2</v>
      </c>
      <c r="I247" s="1904">
        <f>I239/ACT!I$29</f>
        <v>5.1176698973222259E-4</v>
      </c>
      <c r="K247" s="1909">
        <f t="shared" si="12"/>
        <v>4.4185480470531955</v>
      </c>
      <c r="S247" s="155"/>
    </row>
    <row r="248" spans="1:19" x14ac:dyDescent="0.25">
      <c r="A248" s="170"/>
      <c r="B248" s="7"/>
      <c r="C248" s="7"/>
      <c r="D248" s="7"/>
      <c r="E248" s="7"/>
      <c r="F248" s="556" t="s">
        <v>67</v>
      </c>
      <c r="G248" s="1747">
        <f>ACT!G140/ACT!$G$29</f>
        <v>3.0961434003259101E-2</v>
      </c>
      <c r="H248" s="1747">
        <f>H240/ACT!H$29</f>
        <v>7.9824864424843156E-2</v>
      </c>
      <c r="I248" s="1904">
        <f>I240/ACT!I$29</f>
        <v>1.5353009691966677E-3</v>
      </c>
      <c r="K248" s="1909">
        <f t="shared" si="12"/>
        <v>2.3203879440360295</v>
      </c>
      <c r="S248" s="155"/>
    </row>
    <row r="249" spans="1:19" x14ac:dyDescent="0.25">
      <c r="A249" s="170"/>
      <c r="B249" s="7"/>
      <c r="C249" s="7"/>
      <c r="D249" s="7"/>
      <c r="E249" s="7"/>
      <c r="F249" s="556" t="s">
        <v>65</v>
      </c>
      <c r="G249" s="1747">
        <f>ACT!G141/ACT!$G$29</f>
        <v>6.5181966322650733E-2</v>
      </c>
      <c r="H249" s="1747">
        <f>H241/ACT!H$29</f>
        <v>0</v>
      </c>
      <c r="I249" s="1904">
        <f>I241/ACT!I$29</f>
        <v>0</v>
      </c>
      <c r="K249" s="1909">
        <f t="shared" si="12"/>
        <v>3.0638193818160873</v>
      </c>
      <c r="S249" s="155"/>
    </row>
    <row r="250" spans="1:19" x14ac:dyDescent="0.25">
      <c r="A250" s="170"/>
      <c r="B250" s="7"/>
      <c r="C250" s="7"/>
      <c r="D250" s="7"/>
      <c r="E250" s="7"/>
      <c r="F250" s="556" t="s">
        <v>20</v>
      </c>
      <c r="G250" s="1747">
        <f>ACT!G142/ACT!$G$29</f>
        <v>0.15697990222705052</v>
      </c>
      <c r="H250" s="1747">
        <f>ACT!H142/ACT!H$29</f>
        <v>0.2647421478737193</v>
      </c>
      <c r="I250" s="1904">
        <f>ACT!I142/ACT!I$29</f>
        <v>0.10302237618873814</v>
      </c>
      <c r="K250" s="1909">
        <f t="shared" si="12"/>
        <v>40.894451050843955</v>
      </c>
      <c r="S250" s="155"/>
    </row>
    <row r="251" spans="1:19" x14ac:dyDescent="0.25">
      <c r="A251" s="170"/>
      <c r="B251" s="7"/>
      <c r="C251" s="7"/>
      <c r="D251" s="7"/>
      <c r="E251" s="7"/>
      <c r="F251" s="556" t="s">
        <v>27</v>
      </c>
      <c r="G251" s="1747">
        <f>ACT!G145/ACT!$G$29</f>
        <v>4.5084193373166763E-2</v>
      </c>
      <c r="H251" s="1747">
        <f>ACT!H145/ACT!H$29</f>
        <v>3.8517767642690555E-2</v>
      </c>
      <c r="I251" s="1904">
        <f>ACT!I145/ACT!I$29</f>
        <v>4.4840452087202796E-2</v>
      </c>
      <c r="K251" s="1909">
        <f t="shared" si="12"/>
        <v>8.118386904567096</v>
      </c>
      <c r="S251" s="155"/>
    </row>
    <row r="252" spans="1:19" x14ac:dyDescent="0.25">
      <c r="A252" s="170"/>
      <c r="B252" s="7"/>
      <c r="C252" s="7"/>
      <c r="D252" s="7"/>
      <c r="E252" s="7"/>
      <c r="F252" s="556" t="s">
        <v>385</v>
      </c>
      <c r="G252" s="1747">
        <f>SUM(ACT!G136:G137,ACT!G143,ACT!G144)/ACT!$G$29</f>
        <v>0.22433460076045628</v>
      </c>
      <c r="H252" s="1747">
        <f>SUM(ACT!H136:H137,ACT!H143,ACT!H144)/ACT!H$29</f>
        <v>0.27655085160480836</v>
      </c>
      <c r="I252" s="1907">
        <f>SUM(ACT!I136:I137,ACT!I143,ACT!I144)/ACT!I$29</f>
        <v>0.56516544386695944</v>
      </c>
      <c r="J252" s="180" t="s">
        <v>88</v>
      </c>
      <c r="K252" s="1910">
        <f>SUM(K246:K251)</f>
        <v>87.182350988250278</v>
      </c>
      <c r="S252" s="155"/>
    </row>
    <row r="253" spans="1:19" x14ac:dyDescent="0.25">
      <c r="A253" s="170"/>
      <c r="B253" s="7"/>
      <c r="C253" s="7"/>
      <c r="D253" s="7"/>
      <c r="E253" s="7"/>
      <c r="F253" s="33" t="s">
        <v>397</v>
      </c>
      <c r="G253" s="209">
        <f>SUM(G246:G252)</f>
        <v>1</v>
      </c>
      <c r="H253" s="209">
        <f>SUM(H246:H252)</f>
        <v>0.82247835497274147</v>
      </c>
      <c r="I253" s="209">
        <f>SUM(I246:I252)</f>
        <v>0.71507534010182927</v>
      </c>
      <c r="J253" s="33"/>
      <c r="S253" s="155"/>
    </row>
    <row r="254" spans="1:19" x14ac:dyDescent="0.25">
      <c r="A254" s="170"/>
      <c r="B254" s="7"/>
      <c r="C254" s="7"/>
      <c r="D254" s="7"/>
      <c r="E254" s="7"/>
      <c r="O254" s="155"/>
      <c r="P254" s="155"/>
      <c r="Q254" s="155"/>
      <c r="R254" s="155"/>
      <c r="S254" s="155"/>
    </row>
    <row r="255" spans="1:19" x14ac:dyDescent="0.25">
      <c r="A255" s="170"/>
      <c r="B255" s="312" t="s">
        <v>698</v>
      </c>
      <c r="C255" s="1774" t="s">
        <v>697</v>
      </c>
      <c r="D255" s="155"/>
      <c r="E255" s="155"/>
      <c r="F255" s="557"/>
      <c r="G255" s="575" t="s">
        <v>16</v>
      </c>
      <c r="H255" s="575" t="s">
        <v>17</v>
      </c>
      <c r="I255" s="575" t="s">
        <v>18</v>
      </c>
      <c r="J255" s="33" t="s">
        <v>386</v>
      </c>
      <c r="K255" s="155"/>
      <c r="L255" s="155"/>
      <c r="M255" s="155"/>
      <c r="N255" s="155"/>
      <c r="O255" s="155"/>
      <c r="P255" s="155"/>
      <c r="Q255" s="184" t="s">
        <v>100</v>
      </c>
      <c r="R255" s="225" t="s">
        <v>398</v>
      </c>
      <c r="S255" s="155"/>
    </row>
    <row r="256" spans="1:19" x14ac:dyDescent="0.25">
      <c r="A256" s="170"/>
      <c r="B256" s="206"/>
      <c r="C256" s="199"/>
      <c r="D256" s="155"/>
      <c r="E256" s="155"/>
      <c r="F256" s="569" t="s">
        <v>932</v>
      </c>
      <c r="G256" s="1897">
        <f>NSW!G31/SUM(NSW!$G$31:$I$31)</f>
        <v>0.39783827413156508</v>
      </c>
      <c r="H256" s="1898">
        <f>NSW!H31/SUM(NSW!$G$31:$I$31)</f>
        <v>0.39341947594493276</v>
      </c>
      <c r="I256" s="1899">
        <f>NSW!I31/SUM(NSW!$G$31:$I$31)</f>
        <v>0.20874224992350224</v>
      </c>
      <c r="J256" s="164">
        <f>SUM(G256:I256)</f>
        <v>1.0000000000000002</v>
      </c>
      <c r="K256" s="1908" t="s">
        <v>4</v>
      </c>
      <c r="M256" s="155"/>
      <c r="N256" s="155"/>
      <c r="O256" s="155"/>
      <c r="P256" s="155"/>
      <c r="Q256" s="155"/>
      <c r="R256" s="155"/>
      <c r="S256" s="155"/>
    </row>
    <row r="257" spans="1:19" x14ac:dyDescent="0.25">
      <c r="A257" s="170"/>
      <c r="B257" s="7"/>
      <c r="C257" s="7"/>
      <c r="D257" s="7"/>
      <c r="E257" s="7"/>
      <c r="F257" s="556" t="s">
        <v>61</v>
      </c>
      <c r="G257" s="1900">
        <f>NSW!G51/NSW!G$31</f>
        <v>0.32813326192140918</v>
      </c>
      <c r="H257" s="1901">
        <f>NSW!H51/NSW!H$31</f>
        <v>9.0697361648706107E-2</v>
      </c>
      <c r="I257" s="1902">
        <f>NSW!I51/NSW!I$31</f>
        <v>1.646269731910769E-4</v>
      </c>
      <c r="J257" s="164"/>
      <c r="K257" s="1909">
        <f t="shared" ref="K257:K262" si="13">SUMPRODUCT(G$256:I$256,G257:I257)*G194</f>
        <v>20.948815906474458</v>
      </c>
      <c r="Q257" s="155"/>
      <c r="R257" s="155"/>
      <c r="S257" s="157"/>
    </row>
    <row r="258" spans="1:19" x14ac:dyDescent="0.25">
      <c r="A258" s="170"/>
      <c r="B258" s="7"/>
      <c r="C258" s="7"/>
      <c r="D258" s="7"/>
      <c r="E258" s="7"/>
      <c r="F258" s="556" t="s">
        <v>63</v>
      </c>
      <c r="G258" s="1903">
        <f>NSW!G52/NSW!G$31</f>
        <v>0.15466355441262328</v>
      </c>
      <c r="H258" s="1747">
        <f>NSW!H52/NSW!H$31</f>
        <v>5.3509429917029339E-2</v>
      </c>
      <c r="I258" s="1904">
        <f>NSW!I52/NSW!I$31</f>
        <v>2.2029949192932146E-2</v>
      </c>
      <c r="K258" s="1909">
        <f t="shared" si="13"/>
        <v>8.1950435719181876</v>
      </c>
      <c r="Q258" s="155"/>
      <c r="R258" s="155"/>
      <c r="S258" s="155"/>
    </row>
    <row r="259" spans="1:19" x14ac:dyDescent="0.25">
      <c r="A259" s="170"/>
      <c r="B259" s="7"/>
      <c r="C259" s="7"/>
      <c r="D259" s="7"/>
      <c r="E259" s="7"/>
      <c r="F259" s="556" t="s">
        <v>67</v>
      </c>
      <c r="G259" s="1903">
        <f>NSW!G53/NSW!G$31</f>
        <v>1.3436079647036284E-2</v>
      </c>
      <c r="H259" s="1747">
        <f>NSW!H53/NSW!H$31</f>
        <v>0.13433586389309934</v>
      </c>
      <c r="I259" s="1904">
        <f>NSW!I53/NSW!I$31</f>
        <v>0.16623852988601517</v>
      </c>
      <c r="K259" s="1909">
        <f t="shared" si="13"/>
        <v>3.9945596765385112</v>
      </c>
      <c r="Q259" s="155"/>
      <c r="R259" s="155"/>
      <c r="S259" s="155"/>
    </row>
    <row r="260" spans="1:19" x14ac:dyDescent="0.25">
      <c r="A260" s="170"/>
      <c r="B260" s="7"/>
      <c r="C260" s="7"/>
      <c r="D260" s="7"/>
      <c r="E260" s="7"/>
      <c r="F260" s="556" t="s">
        <v>65</v>
      </c>
      <c r="G260" s="1903">
        <f>NSW!G54/NSW!G$31</f>
        <v>6.9205147312308118E-2</v>
      </c>
      <c r="H260" s="1747">
        <f>NSW!H54/NSW!H$31</f>
        <v>0</v>
      </c>
      <c r="I260" s="1904">
        <f>NSW!I54/NSW!I$31</f>
        <v>0</v>
      </c>
      <c r="K260" s="1909">
        <f t="shared" si="13"/>
        <v>3.3038947641299261</v>
      </c>
      <c r="S260" s="155"/>
    </row>
    <row r="261" spans="1:19" x14ac:dyDescent="0.25">
      <c r="A261" s="170"/>
      <c r="B261" s="7"/>
      <c r="C261" s="7"/>
      <c r="D261" s="7"/>
      <c r="E261" s="7"/>
      <c r="F261" s="556" t="s">
        <v>20</v>
      </c>
      <c r="G261" s="1903">
        <f>NSW!G55/NSW!G$31</f>
        <v>5.3633784282170825E-2</v>
      </c>
      <c r="H261" s="1747">
        <f>NSW!H55/NSW!H$31</f>
        <v>0.13772625057975679</v>
      </c>
      <c r="I261" s="1904">
        <f>NSW!I55/NSW!I$31</f>
        <v>2.532061512853255E-2</v>
      </c>
      <c r="K261" s="1909">
        <f t="shared" si="13"/>
        <v>15.838219759768617</v>
      </c>
      <c r="Q261" s="155"/>
      <c r="R261" s="155"/>
      <c r="S261" s="157"/>
    </row>
    <row r="262" spans="1:19" x14ac:dyDescent="0.25">
      <c r="A262" s="170"/>
      <c r="B262" s="7"/>
      <c r="C262" s="7"/>
      <c r="D262" s="7"/>
      <c r="E262" s="7"/>
      <c r="F262" s="556" t="s">
        <v>27</v>
      </c>
      <c r="G262" s="1903">
        <f>NSW!G58/NSW!G$31</f>
        <v>0.22028792417736873</v>
      </c>
      <c r="H262" s="1747">
        <f>NSW!H58/NSW!H$31</f>
        <v>0.31721944822923015</v>
      </c>
      <c r="I262" s="1904">
        <f>NSW!I58/NSW!I$31</f>
        <v>0.30576530287551762</v>
      </c>
      <c r="K262" s="1909">
        <f t="shared" si="13"/>
        <v>53.871755714285051</v>
      </c>
      <c r="S262" s="155"/>
    </row>
    <row r="263" spans="1:19" x14ac:dyDescent="0.25">
      <c r="A263" s="170"/>
      <c r="B263" s="7"/>
      <c r="C263" s="7"/>
      <c r="D263" s="7"/>
      <c r="E263" s="7"/>
      <c r="F263" s="556" t="s">
        <v>385</v>
      </c>
      <c r="G263" s="1905">
        <f>SUM(NSW!G49:G50,NSW!G56:G57)/NSW!G31</f>
        <v>0.16064024824708353</v>
      </c>
      <c r="H263" s="1906">
        <f>SUM(NSW!H49:H50,NSW!H56:H57)/NSW!H31</f>
        <v>0.26651164573217823</v>
      </c>
      <c r="I263" s="1907">
        <f>SUM(NSW!I49:I50,NSW!I56:I57)/NSW!I31</f>
        <v>0.48158510567441976</v>
      </c>
      <c r="J263" s="180" t="s">
        <v>88</v>
      </c>
      <c r="K263" s="1910">
        <f>SUM(K257:K262)</f>
        <v>106.15228939311476</v>
      </c>
      <c r="S263" s="155"/>
    </row>
    <row r="264" spans="1:19" x14ac:dyDescent="0.25">
      <c r="A264" s="170"/>
      <c r="B264" s="7"/>
      <c r="C264" s="7"/>
      <c r="D264" s="7"/>
      <c r="E264" s="7"/>
      <c r="F264" s="33" t="s">
        <v>397</v>
      </c>
      <c r="G264" s="209">
        <f>SUM(G257:G263)</f>
        <v>1</v>
      </c>
      <c r="H264" s="209">
        <f>SUM(H257:H263)</f>
        <v>1</v>
      </c>
      <c r="I264" s="209">
        <f>SUM(I257:I263)</f>
        <v>1.0011041297306082</v>
      </c>
      <c r="J264" s="33"/>
      <c r="S264" s="155"/>
    </row>
    <row r="265" spans="1:19" x14ac:dyDescent="0.25">
      <c r="A265" s="170"/>
      <c r="B265" s="7"/>
      <c r="C265" s="7"/>
      <c r="D265" s="7"/>
      <c r="E265" s="7"/>
      <c r="O265" s="155"/>
      <c r="P265" s="155"/>
      <c r="Q265" s="155"/>
      <c r="R265" s="155"/>
      <c r="S265" s="155"/>
    </row>
    <row r="266" spans="1:19" x14ac:dyDescent="0.25">
      <c r="A266" s="170"/>
      <c r="B266" s="312" t="s">
        <v>699</v>
      </c>
      <c r="C266" s="1774" t="s">
        <v>700</v>
      </c>
      <c r="D266" s="155"/>
      <c r="E266" s="155"/>
      <c r="F266" s="557"/>
      <c r="G266" s="575" t="s">
        <v>16</v>
      </c>
      <c r="H266" s="575" t="s">
        <v>17</v>
      </c>
      <c r="I266" s="575" t="s">
        <v>18</v>
      </c>
      <c r="J266" s="33" t="s">
        <v>386</v>
      </c>
      <c r="K266" s="155"/>
      <c r="L266" s="155"/>
      <c r="M266" s="155"/>
      <c r="N266" s="155"/>
      <c r="O266" s="155"/>
      <c r="P266" s="155"/>
      <c r="Q266" s="184" t="s">
        <v>100</v>
      </c>
      <c r="R266" s="225" t="s">
        <v>398</v>
      </c>
      <c r="S266" s="155"/>
    </row>
    <row r="267" spans="1:19" x14ac:dyDescent="0.25">
      <c r="A267" s="170"/>
      <c r="B267" s="206"/>
      <c r="C267" s="199"/>
      <c r="D267" s="155"/>
      <c r="E267" s="155"/>
      <c r="F267" s="569" t="s">
        <v>932</v>
      </c>
      <c r="G267" s="1897">
        <f>SA!G43/SUM(SA!$G$43:$I$43)</f>
        <v>0.36</v>
      </c>
      <c r="H267" s="1898">
        <f>SA!H43/SUM(SA!$G$43:$I$43)</f>
        <v>0.19</v>
      </c>
      <c r="I267" s="1899">
        <f>SA!I43/SUM(SA!$G$43:$I$43)</f>
        <v>0.45</v>
      </c>
      <c r="J267" s="164">
        <f>SUM(G267:I267)</f>
        <v>1</v>
      </c>
      <c r="K267" s="1908" t="s">
        <v>7</v>
      </c>
      <c r="M267" s="155"/>
      <c r="N267" s="155"/>
      <c r="O267" s="155"/>
      <c r="P267" s="155"/>
      <c r="Q267" s="155"/>
      <c r="R267" s="155"/>
      <c r="S267" s="155"/>
    </row>
    <row r="268" spans="1:19" x14ac:dyDescent="0.25">
      <c r="A268" s="170"/>
      <c r="B268" s="7"/>
      <c r="C268" s="7"/>
      <c r="D268" s="7"/>
      <c r="E268" s="7"/>
      <c r="F268" s="556" t="s">
        <v>61</v>
      </c>
      <c r="G268" s="1900">
        <f>SA!G120/SA!G$43</f>
        <v>0.48548695549521892</v>
      </c>
      <c r="H268" s="1901">
        <f>SA!H120/SA!H$43</f>
        <v>0.35268840899074483</v>
      </c>
      <c r="I268" s="1902">
        <f>SA!I120/SA!I$43</f>
        <v>0</v>
      </c>
      <c r="J268" s="164"/>
      <c r="K268" s="1909">
        <f t="shared" ref="K268:K273" si="14">SUMPRODUCT(G$267:I$267,G268:I268)*G194</f>
        <v>30.465048812501561</v>
      </c>
      <c r="Q268" s="155"/>
      <c r="R268" s="155"/>
      <c r="S268" s="157"/>
    </row>
    <row r="269" spans="1:19" x14ac:dyDescent="0.25">
      <c r="A269" s="170"/>
      <c r="B269" s="7"/>
      <c r="C269" s="7"/>
      <c r="D269" s="7"/>
      <c r="E269" s="7"/>
      <c r="F269" s="556" t="s">
        <v>63</v>
      </c>
      <c r="G269" s="1903">
        <f>SA!G121/SA!G$43</f>
        <v>7.7974265139889032E-2</v>
      </c>
      <c r="H269" s="1747">
        <f>SA!H121/SA!H$43</f>
        <v>5.0572939620978405E-2</v>
      </c>
      <c r="I269" s="1904">
        <f>SA!I121/SA!I$43</f>
        <v>5.3503925559755756E-2</v>
      </c>
      <c r="K269" s="1909">
        <f t="shared" si="14"/>
        <v>5.8050978851421879</v>
      </c>
      <c r="Q269" s="155"/>
      <c r="R269" s="155"/>
      <c r="S269" s="155"/>
    </row>
    <row r="270" spans="1:19" x14ac:dyDescent="0.25">
      <c r="A270" s="170"/>
      <c r="B270" s="7"/>
      <c r="C270" s="7"/>
      <c r="D270" s="7"/>
      <c r="E270" s="7"/>
      <c r="F270" s="556" t="s">
        <v>67</v>
      </c>
      <c r="G270" s="1903">
        <f>SA!G122/SA!G$43</f>
        <v>1.6012277180970369E-2</v>
      </c>
      <c r="H270" s="1747">
        <f>SA!H122/SA!H$43</f>
        <v>8.7483472895548697E-2</v>
      </c>
      <c r="I270" s="1904">
        <f>SA!I122/SA!I$43</f>
        <v>0.22302995056702538</v>
      </c>
      <c r="K270" s="1909">
        <f t="shared" si="14"/>
        <v>5.2782395677899956</v>
      </c>
      <c r="Q270" s="155"/>
      <c r="R270" s="155"/>
      <c r="S270" s="155"/>
    </row>
    <row r="271" spans="1:19" x14ac:dyDescent="0.25">
      <c r="A271" s="170"/>
      <c r="B271" s="7"/>
      <c r="C271" s="7"/>
      <c r="D271" s="7"/>
      <c r="E271" s="7"/>
      <c r="F271" s="556" t="s">
        <v>65</v>
      </c>
      <c r="G271" s="1903">
        <f>SA!G123/SA!G$43</f>
        <v>6.0025970959745011E-2</v>
      </c>
      <c r="H271" s="1747">
        <f>SA!H123/SA!H$43</f>
        <v>2.1264874394006168E-2</v>
      </c>
      <c r="I271" s="1904">
        <f>SA!I123/SA!I$43</f>
        <v>2.0354754289037516E-3</v>
      </c>
      <c r="K271" s="1909">
        <f t="shared" si="14"/>
        <v>3.1878767548051279</v>
      </c>
      <c r="S271" s="155"/>
    </row>
    <row r="272" spans="1:19" x14ac:dyDescent="0.25">
      <c r="A272" s="170"/>
      <c r="B272" s="7"/>
      <c r="C272" s="7"/>
      <c r="D272" s="7"/>
      <c r="E272" s="7"/>
      <c r="F272" s="556" t="s">
        <v>20</v>
      </c>
      <c r="G272" s="1903">
        <f>SA!G124/SA!G$43</f>
        <v>0.14256640302207529</v>
      </c>
      <c r="H272" s="1747">
        <f>SA!H124/SA!H$43</f>
        <v>0.18631555751432349</v>
      </c>
      <c r="I272" s="1904">
        <f>SA!I124/SA!I$43</f>
        <v>1.5120674614713583E-2</v>
      </c>
      <c r="K272" s="1909">
        <f t="shared" si="14"/>
        <v>18.331520260088777</v>
      </c>
      <c r="Q272" s="155"/>
      <c r="R272" s="155"/>
      <c r="S272" s="157"/>
    </row>
    <row r="273" spans="1:19" x14ac:dyDescent="0.25">
      <c r="A273" s="170"/>
      <c r="B273" s="7"/>
      <c r="C273" s="7"/>
      <c r="D273" s="7"/>
      <c r="E273" s="7"/>
      <c r="F273" s="556" t="s">
        <v>27</v>
      </c>
      <c r="G273" s="1903">
        <f>SA!G127/SA!G$43</f>
        <v>3.967890449769803E-2</v>
      </c>
      <c r="H273" s="1747">
        <f>SA!H127/SA!H$43</f>
        <v>7.1837814014984569E-2</v>
      </c>
      <c r="I273" s="1904">
        <f>SA!I127/SA!I$43</f>
        <v>2.9950567025298063E-2</v>
      </c>
      <c r="K273" s="1909">
        <f t="shared" si="14"/>
        <v>8.0752123614634854</v>
      </c>
      <c r="S273" s="155"/>
    </row>
    <row r="274" spans="1:19" x14ac:dyDescent="0.25">
      <c r="A274" s="170"/>
      <c r="B274" s="7"/>
      <c r="C274" s="7"/>
      <c r="D274" s="7"/>
      <c r="E274" s="7"/>
      <c r="F274" s="556" t="s">
        <v>385</v>
      </c>
      <c r="G274" s="1905">
        <f>SUM(SA!G118:G119,SA!G125:G126)/SA!G$43</f>
        <v>0.17825522370440319</v>
      </c>
      <c r="H274" s="1906">
        <f>SUM(SA!H118:H119,SA!H125:H126)/SA!H$43</f>
        <v>0.22983693256941382</v>
      </c>
      <c r="I274" s="1907">
        <f>SUM(SA!I118:I119,SA!I125:I126)/SA!I$43</f>
        <v>0.67635940680430351</v>
      </c>
      <c r="J274" s="180" t="s">
        <v>88</v>
      </c>
      <c r="K274" s="1910">
        <f>SUM(K268:K273)</f>
        <v>71.142995641791131</v>
      </c>
      <c r="S274" s="155"/>
    </row>
    <row r="275" spans="1:19" x14ac:dyDescent="0.25">
      <c r="A275" s="170"/>
      <c r="B275" s="7"/>
      <c r="C275" s="7"/>
      <c r="D275" s="7"/>
      <c r="E275" s="7"/>
      <c r="F275" s="33" t="s">
        <v>397</v>
      </c>
      <c r="G275" s="209">
        <f>SUM(G268:G274)</f>
        <v>0.99999999999999978</v>
      </c>
      <c r="H275" s="209">
        <f>SUM(H268:H274)</f>
        <v>1</v>
      </c>
      <c r="I275" s="209">
        <f>SUM(I268:I274)</f>
        <v>1</v>
      </c>
      <c r="J275" s="33"/>
      <c r="S275" s="155"/>
    </row>
    <row r="276" spans="1:19" x14ac:dyDescent="0.25">
      <c r="A276" s="170"/>
      <c r="B276" s="7"/>
      <c r="C276" s="7"/>
      <c r="D276" s="7"/>
      <c r="E276" s="7"/>
      <c r="O276" s="155"/>
      <c r="P276" s="155"/>
      <c r="Q276" s="155"/>
      <c r="R276" s="155"/>
      <c r="S276" s="155"/>
    </row>
    <row r="277" spans="1:19" x14ac:dyDescent="0.25">
      <c r="A277" s="170"/>
      <c r="B277" s="312" t="s">
        <v>701</v>
      </c>
      <c r="C277" s="332" t="s">
        <v>430</v>
      </c>
      <c r="D277" s="155"/>
      <c r="E277" s="155"/>
      <c r="F277" s="557"/>
      <c r="G277" s="575" t="s">
        <v>16</v>
      </c>
      <c r="H277" s="575" t="s">
        <v>17</v>
      </c>
      <c r="I277" s="575" t="s">
        <v>18</v>
      </c>
      <c r="J277" s="33" t="s">
        <v>386</v>
      </c>
      <c r="K277" s="155"/>
      <c r="L277" s="155"/>
      <c r="M277" s="155"/>
      <c r="N277" s="155"/>
      <c r="O277" s="155"/>
      <c r="P277" s="155"/>
      <c r="Q277" s="184" t="s">
        <v>100</v>
      </c>
      <c r="R277" s="225" t="s">
        <v>398</v>
      </c>
      <c r="S277" s="155"/>
    </row>
    <row r="278" spans="1:19" x14ac:dyDescent="0.25">
      <c r="A278" s="170"/>
      <c r="B278" s="206"/>
      <c r="C278" s="199"/>
      <c r="D278" s="155"/>
      <c r="E278" s="155"/>
      <c r="F278" s="569" t="s">
        <v>932</v>
      </c>
      <c r="G278" s="1911">
        <f>SUM(Vic!G72:G82)/SUM(Vic!$G$72:$I$82)</f>
        <v>0.44929195716210479</v>
      </c>
      <c r="H278" s="1911">
        <f>SUM(Vic!H72:H82)/SUM(Vic!$G$72:$I$82)</f>
        <v>0.33042482570273729</v>
      </c>
      <c r="I278" s="1912">
        <f>SUM(Vic!I72:I82)/SUM(Vic!$G$72:$I$82)</f>
        <v>0.22028321713515822</v>
      </c>
      <c r="J278" s="164">
        <f>SUM(G278:I278)</f>
        <v>1.0000000000000004</v>
      </c>
      <c r="K278" s="1908" t="s">
        <v>9</v>
      </c>
      <c r="M278" s="155"/>
      <c r="N278" s="155"/>
      <c r="O278" s="155"/>
      <c r="P278" s="155"/>
      <c r="Q278" s="155"/>
      <c r="R278" s="155"/>
      <c r="S278" s="155"/>
    </row>
    <row r="279" spans="1:19" x14ac:dyDescent="0.25">
      <c r="A279" s="170"/>
      <c r="B279" s="7"/>
      <c r="C279" s="7"/>
      <c r="D279" s="7"/>
      <c r="E279" s="7"/>
      <c r="F279" s="556" t="s">
        <v>61</v>
      </c>
      <c r="G279" s="1747">
        <f>Vic!G74/SUM(Vic!G$72:G$82)</f>
        <v>0.49723756906077343</v>
      </c>
      <c r="H279" s="1747">
        <f>Vic!H74/SUM(Vic!H$72:H$82)</f>
        <v>0.18037974683544303</v>
      </c>
      <c r="I279" s="1904">
        <f>Vic!I74/SUM(Vic!I$72:I$82)</f>
        <v>0</v>
      </c>
      <c r="J279" s="164"/>
      <c r="K279" s="1909">
        <f t="shared" ref="K279:K284" si="15">SUMPRODUCT(G$278:I$278,G279:I279)*G194</f>
        <v>35.658855160267152</v>
      </c>
      <c r="Q279" s="155"/>
      <c r="R279" s="155"/>
      <c r="S279" s="157"/>
    </row>
    <row r="280" spans="1:19" x14ac:dyDescent="0.25">
      <c r="A280" s="170"/>
      <c r="B280" s="7"/>
      <c r="C280" s="7"/>
      <c r="D280" s="7"/>
      <c r="E280" s="7"/>
      <c r="F280" s="556" t="s">
        <v>63</v>
      </c>
      <c r="G280" s="1747">
        <f>Vic!G75/SUM(Vic!G$72:G$82)</f>
        <v>0.1022099447513812</v>
      </c>
      <c r="H280" s="1747">
        <f>Vic!H75/SUM(Vic!H$72:H$82)</f>
        <v>7.3839662447257384E-2</v>
      </c>
      <c r="I280" s="1904">
        <f>Vic!I75/SUM(Vic!I$72:I$82)</f>
        <v>2.7190332326283984E-2</v>
      </c>
      <c r="K280" s="1909">
        <f t="shared" si="15"/>
        <v>7.1731529337110347</v>
      </c>
      <c r="Q280" s="155"/>
      <c r="R280" s="155"/>
      <c r="S280" s="155"/>
    </row>
    <row r="281" spans="1:19" x14ac:dyDescent="0.25">
      <c r="A281" s="170"/>
      <c r="B281" s="7"/>
      <c r="C281" s="7"/>
      <c r="D281" s="7"/>
      <c r="E281" s="7"/>
      <c r="F281" s="556" t="s">
        <v>67</v>
      </c>
      <c r="G281" s="1747">
        <f>Vic!G76/SUM(Vic!G$72:G$82)</f>
        <v>4.143646408839778E-3</v>
      </c>
      <c r="H281" s="1747">
        <f>Vic!H76/SUM(Vic!H$72:H$82)</f>
        <v>0.1371308016877637</v>
      </c>
      <c r="I281" s="1904">
        <f>Vic!I76/SUM(Vic!I$72:I$82)</f>
        <v>0.11883182275931518</v>
      </c>
      <c r="K281" s="1909">
        <f t="shared" si="15"/>
        <v>3.1540407320564117</v>
      </c>
      <c r="Q281" s="155"/>
      <c r="R281" s="155"/>
      <c r="S281" s="155"/>
    </row>
    <row r="282" spans="1:19" x14ac:dyDescent="0.25">
      <c r="A282" s="170"/>
      <c r="B282" s="7"/>
      <c r="C282" s="7"/>
      <c r="D282" s="7"/>
      <c r="E282" s="7"/>
      <c r="F282" s="556" t="s">
        <v>65</v>
      </c>
      <c r="G282" s="1747">
        <f>Vic!G77/SUM(Vic!G$72:G$82)</f>
        <v>0</v>
      </c>
      <c r="H282" s="1747">
        <f>Vic!H77/SUM(Vic!H$72:H$82)</f>
        <v>4.2194092827004216E-3</v>
      </c>
      <c r="I282" s="1904">
        <f>Vic!I77/SUM(Vic!I$72:I$82)</f>
        <v>0</v>
      </c>
      <c r="K282" s="1909">
        <f t="shared" si="15"/>
        <v>0.16730370921657584</v>
      </c>
      <c r="S282" s="155"/>
    </row>
    <row r="283" spans="1:19" x14ac:dyDescent="0.25">
      <c r="A283" s="170"/>
      <c r="B283" s="7"/>
      <c r="C283" s="7"/>
      <c r="D283" s="7"/>
      <c r="E283" s="7"/>
      <c r="F283" s="556" t="s">
        <v>20</v>
      </c>
      <c r="G283" s="1747">
        <f>Vic!G78/SUM(Vic!G$72:G$82)</f>
        <v>0.15055248618784528</v>
      </c>
      <c r="H283" s="1747">
        <f>Vic!H78/SUM(Vic!H$72:H$82)</f>
        <v>0.19831223628691982</v>
      </c>
      <c r="I283" s="1904">
        <f>Vic!I78/SUM(Vic!I$72:I$82)</f>
        <v>8.0563947633434038E-3</v>
      </c>
      <c r="K283" s="1909">
        <f t="shared" si="15"/>
        <v>26.449023184985631</v>
      </c>
      <c r="Q283" s="155"/>
      <c r="R283" s="155"/>
      <c r="S283" s="157"/>
    </row>
    <row r="284" spans="1:19" x14ac:dyDescent="0.25">
      <c r="A284" s="170"/>
      <c r="B284" s="7"/>
      <c r="C284" s="7"/>
      <c r="D284" s="7"/>
      <c r="E284" s="7"/>
      <c r="F284" s="556" t="s">
        <v>27</v>
      </c>
      <c r="G284" s="1747">
        <f>Vic!G82/SUM(Vic!G$72:G$82)</f>
        <v>3.7292817679558013E-2</v>
      </c>
      <c r="H284" s="1747">
        <f>Vic!H82/SUM(Vic!H$72:H$82)</f>
        <v>6.8565400843881852E-2</v>
      </c>
      <c r="I284" s="1904">
        <f>Vic!I82/SUM(Vic!I$72:I$82)</f>
        <v>1.3091641490433029E-2</v>
      </c>
      <c r="K284" s="1909">
        <f t="shared" si="15"/>
        <v>8.2475138014442244</v>
      </c>
      <c r="S284" s="155"/>
    </row>
    <row r="285" spans="1:19" x14ac:dyDescent="0.25">
      <c r="A285" s="170"/>
      <c r="B285" s="7"/>
      <c r="C285" s="7"/>
      <c r="D285" s="7"/>
      <c r="E285" s="7"/>
      <c r="F285" s="556" t="s">
        <v>385</v>
      </c>
      <c r="G285" s="1747">
        <f>SUM(Vic!G72:G73,Vic!G79:G81)/SUM(Vic!G$72:G$82)</f>
        <v>0.20856353591160218</v>
      </c>
      <c r="H285" s="1747">
        <f>SUM(Vic!H72:H73,Vic!H79:H81)/SUM(Vic!H$72:H$82)</f>
        <v>0.33755274261603374</v>
      </c>
      <c r="I285" s="1904">
        <f>SUM(Vic!I72:I73,Vic!I79:I81)/SUM(Vic!I$72:I$82)</f>
        <v>0.83282980866062439</v>
      </c>
      <c r="J285" s="180" t="s">
        <v>88</v>
      </c>
      <c r="K285" s="1910">
        <f>SUM(K279:K284)</f>
        <v>80.849889521681035</v>
      </c>
      <c r="S285" s="155"/>
    </row>
    <row r="286" spans="1:19" x14ac:dyDescent="0.25">
      <c r="A286" s="170"/>
      <c r="B286" s="7"/>
      <c r="C286" s="7"/>
      <c r="D286" s="7"/>
      <c r="E286" s="7"/>
      <c r="F286" s="33" t="s">
        <v>397</v>
      </c>
      <c r="G286" s="209">
        <f>SUM(G279:G285)</f>
        <v>1</v>
      </c>
      <c r="H286" s="209">
        <f>SUM(H279:H285)</f>
        <v>1</v>
      </c>
      <c r="I286" s="209">
        <f>SUM(I279:I285)</f>
        <v>1</v>
      </c>
      <c r="J286" s="33"/>
      <c r="S286" s="155"/>
    </row>
    <row r="287" spans="1:19" x14ac:dyDescent="0.25">
      <c r="A287" s="170"/>
      <c r="B287" s="7"/>
      <c r="C287" s="7"/>
      <c r="D287" s="7"/>
      <c r="E287" s="7"/>
      <c r="O287" s="155"/>
      <c r="P287" s="155"/>
      <c r="Q287" s="155"/>
      <c r="R287" s="155"/>
      <c r="S287" s="155"/>
    </row>
    <row r="288" spans="1:19" x14ac:dyDescent="0.25">
      <c r="A288" s="170"/>
      <c r="B288" s="312" t="s">
        <v>702</v>
      </c>
      <c r="C288" s="1774" t="s">
        <v>703</v>
      </c>
      <c r="D288" s="155"/>
      <c r="E288" s="155"/>
      <c r="F288" s="557"/>
      <c r="G288" s="575" t="s">
        <v>16</v>
      </c>
      <c r="H288" s="575" t="s">
        <v>17</v>
      </c>
      <c r="I288" s="575" t="s">
        <v>18</v>
      </c>
      <c r="J288" s="33" t="s">
        <v>386</v>
      </c>
      <c r="K288" s="155"/>
      <c r="L288" s="155"/>
      <c r="M288" s="155"/>
      <c r="N288" s="155"/>
      <c r="O288" s="155"/>
      <c r="P288" s="155"/>
      <c r="Q288" s="184" t="s">
        <v>100</v>
      </c>
      <c r="R288" s="225" t="s">
        <v>398</v>
      </c>
      <c r="S288" s="155"/>
    </row>
    <row r="289" spans="1:19" x14ac:dyDescent="0.25">
      <c r="A289" s="170"/>
      <c r="B289" s="206"/>
      <c r="C289" s="199"/>
      <c r="D289" s="155"/>
      <c r="E289" s="155"/>
      <c r="F289" s="569" t="s">
        <v>932</v>
      </c>
      <c r="G289" s="1897">
        <f>WA!G29/SUM(WA!$G$29:$I$29)</f>
        <v>0.29966020381859843</v>
      </c>
      <c r="H289" s="1898">
        <f>WA!H29/SUM(WA!$G$29:$I$29)</f>
        <v>0.20939557789911947</v>
      </c>
      <c r="I289" s="1899">
        <f>WA!I29/SUM(WA!$G$29:$I$29)</f>
        <v>0.49094421828228207</v>
      </c>
      <c r="J289" s="164">
        <f>SUM(G289:I289)</f>
        <v>1</v>
      </c>
      <c r="K289" s="1908" t="s">
        <v>374</v>
      </c>
      <c r="M289" s="155"/>
      <c r="N289" s="155"/>
      <c r="O289" s="155"/>
      <c r="P289" s="155"/>
      <c r="Q289" s="155"/>
      <c r="R289" s="155"/>
      <c r="S289" s="155"/>
    </row>
    <row r="290" spans="1:19" x14ac:dyDescent="0.25">
      <c r="A290" s="170"/>
      <c r="B290" s="7"/>
      <c r="C290" s="7"/>
      <c r="D290" s="7"/>
      <c r="E290" s="7"/>
      <c r="F290" s="556" t="s">
        <v>61</v>
      </c>
      <c r="G290" s="1900">
        <f>WA!G37/SUM(WA!G$35:G$44)</f>
        <v>0.34999999999999987</v>
      </c>
      <c r="H290" s="1901">
        <f>WA!H37/SUM(WA!H$35:H$44)</f>
        <v>0.21827411167512689</v>
      </c>
      <c r="I290" s="1902">
        <f>WA!I37/SUM(WA!I$35:I$44)</f>
        <v>0</v>
      </c>
      <c r="J290" s="164"/>
      <c r="K290" s="1909">
        <f t="shared" ref="K290:K295" si="16">SUMPRODUCT(G$289:I$289,G290:I290)*G194</f>
        <v>18.973924841483583</v>
      </c>
      <c r="Q290" s="155"/>
      <c r="R290" s="155"/>
      <c r="S290" s="157"/>
    </row>
    <row r="291" spans="1:19" x14ac:dyDescent="0.25">
      <c r="A291" s="170"/>
      <c r="B291" s="7"/>
      <c r="C291" s="7"/>
      <c r="D291" s="7"/>
      <c r="E291" s="7"/>
      <c r="F291" s="556" t="s">
        <v>63</v>
      </c>
      <c r="G291" s="1903">
        <f>WA!G38/SUM(WA!G$35:G$44)</f>
        <v>0.16499999999999998</v>
      </c>
      <c r="H291" s="1747">
        <f>WA!H38/SUM(WA!H$35:H$44)</f>
        <v>4.0609137055837567E-2</v>
      </c>
      <c r="I291" s="1904">
        <f>WA!I38/SUM(WA!I$35:I$44)</f>
        <v>1.9999999999999997E-2</v>
      </c>
      <c r="K291" s="1909">
        <f t="shared" si="16"/>
        <v>6.3700220214455667</v>
      </c>
      <c r="Q291" s="155"/>
      <c r="R291" s="155"/>
      <c r="S291" s="155"/>
    </row>
    <row r="292" spans="1:19" x14ac:dyDescent="0.25">
      <c r="A292" s="170"/>
      <c r="B292" s="7"/>
      <c r="C292" s="7"/>
      <c r="D292" s="7"/>
      <c r="E292" s="7"/>
      <c r="F292" s="556" t="s">
        <v>67</v>
      </c>
      <c r="G292" s="1903">
        <f>WA!G39/SUM(WA!G$35:G$44)</f>
        <v>9.9999999999999985E-3</v>
      </c>
      <c r="H292" s="1747">
        <f>WA!H39/SUM(WA!H$35:H$44)</f>
        <v>0.12690355329949238</v>
      </c>
      <c r="I292" s="1904">
        <f>WA!I39/SUM(WA!I$35:I$44)</f>
        <v>5.9999999999999991E-2</v>
      </c>
      <c r="K292" s="1909">
        <f t="shared" si="16"/>
        <v>2.538130814676038</v>
      </c>
      <c r="Q292" s="155"/>
      <c r="R292" s="155"/>
      <c r="S292" s="155"/>
    </row>
    <row r="293" spans="1:19" x14ac:dyDescent="0.25">
      <c r="A293" s="170"/>
      <c r="B293" s="7"/>
      <c r="C293" s="7"/>
      <c r="D293" s="7"/>
      <c r="E293" s="7"/>
      <c r="F293" s="556" t="s">
        <v>65</v>
      </c>
      <c r="G293" s="1903">
        <f>WA!G40/SUM(WA!G$35:G$44)</f>
        <v>3.9999999999999994E-2</v>
      </c>
      <c r="H293" s="1747">
        <f>WA!H40/SUM(WA!H$35:H$44)</f>
        <v>0</v>
      </c>
      <c r="I293" s="1904">
        <f>WA!I40/SUM(WA!I$35:I$44)</f>
        <v>0</v>
      </c>
      <c r="K293" s="1909">
        <f t="shared" si="16"/>
        <v>1.4383689783292724</v>
      </c>
      <c r="S293" s="155"/>
    </row>
    <row r="294" spans="1:19" x14ac:dyDescent="0.25">
      <c r="A294" s="170"/>
      <c r="B294" s="7"/>
      <c r="C294" s="7"/>
      <c r="D294" s="7"/>
      <c r="E294" s="7"/>
      <c r="F294" s="556" t="s">
        <v>20</v>
      </c>
      <c r="G294" s="1903">
        <f>WA!G41/SUM(WA!G$35:G$44)</f>
        <v>0.12999999999999998</v>
      </c>
      <c r="H294" s="1747">
        <f>WA!H41/SUM(WA!H$35:H$44)</f>
        <v>0.15736040609137056</v>
      </c>
      <c r="I294" s="1904">
        <f>WA!I41/SUM(WA!I$35:I$44)</f>
        <v>2.9999999999999995E-2</v>
      </c>
      <c r="K294" s="1909">
        <f t="shared" si="16"/>
        <v>16.980406338498465</v>
      </c>
      <c r="Q294" s="155"/>
      <c r="R294" s="155"/>
      <c r="S294" s="157"/>
    </row>
    <row r="295" spans="1:19" x14ac:dyDescent="0.25">
      <c r="A295" s="170"/>
      <c r="B295" s="7"/>
      <c r="C295" s="7"/>
      <c r="D295" s="7"/>
      <c r="E295" s="7"/>
      <c r="F295" s="556" t="s">
        <v>27</v>
      </c>
      <c r="G295" s="1903">
        <f>WA!G44/SUM(WA!G$35:G$44)</f>
        <v>2.4999999999999998E-2</v>
      </c>
      <c r="H295" s="1747">
        <f>WA!H44/SUM(WA!H$35:H$44)</f>
        <v>7.6142131979695438E-2</v>
      </c>
      <c r="I295" s="1904">
        <f>WA!I44/SUM(WA!I$35:I$44)</f>
        <v>0</v>
      </c>
      <c r="K295" s="1909">
        <f t="shared" si="16"/>
        <v>4.5698895106457407</v>
      </c>
      <c r="S295" s="155"/>
    </row>
    <row r="296" spans="1:19" x14ac:dyDescent="0.25">
      <c r="A296" s="170"/>
      <c r="B296" s="7"/>
      <c r="C296" s="7"/>
      <c r="D296" s="7"/>
      <c r="E296" s="7"/>
      <c r="F296" s="556" t="s">
        <v>385</v>
      </c>
      <c r="G296" s="1905">
        <f>SUM(WA!G35:G36,WA!G42:G43)/SUM(WA!G$35:G$44)</f>
        <v>0.27999999999999992</v>
      </c>
      <c r="H296" s="1906">
        <f>SUM(WA!H35:H36,WA!H42:H43)/SUM(WA!H$35:H$44)</f>
        <v>0.38071065989847713</v>
      </c>
      <c r="I296" s="1907">
        <f>SUM(WA!I35:I36,WA!I42:I43)/SUM(WA!I$35:I$44)</f>
        <v>0.8899999999999999</v>
      </c>
      <c r="J296" s="180" t="s">
        <v>88</v>
      </c>
      <c r="K296" s="1910">
        <f>SUM(K290:K295)</f>
        <v>50.870742505078667</v>
      </c>
      <c r="S296" s="155"/>
    </row>
    <row r="297" spans="1:19" x14ac:dyDescent="0.25">
      <c r="A297" s="170"/>
      <c r="B297" s="7"/>
      <c r="C297" s="7"/>
      <c r="D297" s="7"/>
      <c r="E297" s="7"/>
      <c r="F297" s="33" t="s">
        <v>397</v>
      </c>
      <c r="G297" s="209">
        <f>SUM(G290:G296)</f>
        <v>0.99999999999999989</v>
      </c>
      <c r="H297" s="209">
        <f>SUM(H290:H296)</f>
        <v>1</v>
      </c>
      <c r="I297" s="209">
        <f>SUM(I290:I296)</f>
        <v>0.99999999999999989</v>
      </c>
      <c r="J297" s="33"/>
      <c r="S297" s="155"/>
    </row>
    <row r="298" spans="1:19" x14ac:dyDescent="0.25">
      <c r="A298" s="170"/>
      <c r="B298" s="222"/>
      <c r="C298" s="222"/>
      <c r="D298" s="222"/>
      <c r="E298" s="222"/>
      <c r="F298" s="222"/>
      <c r="G298" s="222"/>
      <c r="H298" s="222"/>
      <c r="I298" s="222"/>
      <c r="J298" s="222"/>
      <c r="K298" s="342"/>
      <c r="L298" s="342"/>
      <c r="M298" s="342"/>
      <c r="N298" s="342"/>
      <c r="O298" s="342"/>
      <c r="P298" s="342"/>
      <c r="Q298" s="343"/>
      <c r="R298" s="342"/>
      <c r="S298" s="155"/>
    </row>
    <row r="299" spans="1:19" x14ac:dyDescent="0.25">
      <c r="A299" s="170"/>
      <c r="B299" s="1729" t="s">
        <v>130</v>
      </c>
      <c r="C299" s="2734" t="s">
        <v>926</v>
      </c>
      <c r="D299" s="222"/>
      <c r="E299" s="222"/>
      <c r="F299" s="577"/>
      <c r="G299" s="578" t="s">
        <v>3</v>
      </c>
      <c r="H299" s="578" t="s">
        <v>4</v>
      </c>
      <c r="I299" s="578" t="s">
        <v>377</v>
      </c>
      <c r="J299" s="578" t="s">
        <v>378</v>
      </c>
      <c r="K299" s="578" t="s">
        <v>7</v>
      </c>
      <c r="L299" s="578" t="s">
        <v>379</v>
      </c>
      <c r="M299" s="578" t="s">
        <v>380</v>
      </c>
      <c r="N299" s="578" t="s">
        <v>374</v>
      </c>
      <c r="O299" s="342"/>
      <c r="P299" s="342"/>
      <c r="Q299" s="113" t="s">
        <v>100</v>
      </c>
      <c r="R299" s="37" t="s">
        <v>929</v>
      </c>
      <c r="S299" s="155"/>
    </row>
    <row r="300" spans="1:19" x14ac:dyDescent="0.25">
      <c r="A300" s="170"/>
      <c r="B300" s="446"/>
      <c r="C300" s="2735"/>
      <c r="D300" s="222"/>
      <c r="E300" s="222"/>
      <c r="F300" s="558" t="s">
        <v>61</v>
      </c>
      <c r="G300" s="1829">
        <f t="shared" ref="G300:G305" si="17">K246/K$252*G$182</f>
        <v>2480.8354290842449</v>
      </c>
      <c r="H300" s="1830">
        <f t="shared" ref="H300:H305" si="18">K257/K$263*H$182</f>
        <v>34626.284697175484</v>
      </c>
      <c r="I300" s="1830">
        <f t="shared" ref="I300:J305" si="19">G228/G$234*I$182</f>
        <v>1165.6707613322892</v>
      </c>
      <c r="J300" s="1830">
        <f t="shared" si="19"/>
        <v>19163.936395972945</v>
      </c>
      <c r="K300" s="1830">
        <f t="shared" ref="K300:K305" si="20">K268/K$274*K$182</f>
        <v>7958.5398839675136</v>
      </c>
      <c r="L300" s="1830">
        <f t="shared" ref="L300:L305" si="21">I228/I$234*L$182</f>
        <v>4531.7729144356335</v>
      </c>
      <c r="M300" s="1830">
        <f t="shared" ref="M300:M305" si="22">K279/K$285*M$182</f>
        <v>52880.3465080522</v>
      </c>
      <c r="N300" s="1831">
        <f t="shared" ref="N300:N305" si="23">K290/K$296*N$182</f>
        <v>17539.997474062908</v>
      </c>
      <c r="O300" s="342"/>
      <c r="P300" s="342"/>
      <c r="Q300" s="222"/>
      <c r="R300" s="222"/>
      <c r="S300" s="155"/>
    </row>
    <row r="301" spans="1:19" x14ac:dyDescent="0.25">
      <c r="A301" s="170"/>
      <c r="B301" s="222"/>
      <c r="C301" s="222"/>
      <c r="D301" s="222"/>
      <c r="E301" s="222"/>
      <c r="F301" s="558" t="s">
        <v>63</v>
      </c>
      <c r="G301" s="1832">
        <f t="shared" si="17"/>
        <v>386.42733412296866</v>
      </c>
      <c r="H301" s="1833">
        <f t="shared" si="18"/>
        <v>13545.582389661306</v>
      </c>
      <c r="I301" s="1833">
        <f t="shared" si="19"/>
        <v>410.01535185975217</v>
      </c>
      <c r="J301" s="1833">
        <f t="shared" si="19"/>
        <v>5778.0105287115775</v>
      </c>
      <c r="K301" s="1833">
        <f t="shared" si="20"/>
        <v>1516.4952905074949</v>
      </c>
      <c r="L301" s="1833">
        <f t="shared" si="21"/>
        <v>1365.7144601677023</v>
      </c>
      <c r="M301" s="1833">
        <f t="shared" si="22"/>
        <v>10637.436647504779</v>
      </c>
      <c r="N301" s="1834">
        <f t="shared" si="23"/>
        <v>5888.6166725821222</v>
      </c>
      <c r="O301" s="342"/>
      <c r="P301" s="342"/>
      <c r="Q301" s="342"/>
      <c r="R301" s="342"/>
      <c r="S301" s="155"/>
    </row>
    <row r="302" spans="1:19" x14ac:dyDescent="0.25">
      <c r="A302" s="170"/>
      <c r="B302" s="222"/>
      <c r="C302" s="222"/>
      <c r="D302" s="222"/>
      <c r="E302" s="222"/>
      <c r="F302" s="558" t="s">
        <v>67</v>
      </c>
      <c r="G302" s="1832">
        <f t="shared" si="17"/>
        <v>202.93121581939519</v>
      </c>
      <c r="H302" s="1833">
        <f t="shared" si="18"/>
        <v>6602.6051886269815</v>
      </c>
      <c r="I302" s="1833">
        <f t="shared" si="19"/>
        <v>104.84869281824824</v>
      </c>
      <c r="J302" s="1833">
        <f t="shared" si="19"/>
        <v>2065.0192673222177</v>
      </c>
      <c r="K302" s="1833">
        <f t="shared" si="20"/>
        <v>1378.8614085579345</v>
      </c>
      <c r="L302" s="1833">
        <f t="shared" si="21"/>
        <v>302.79244058939895</v>
      </c>
      <c r="M302" s="1833">
        <f t="shared" si="22"/>
        <v>4677.288882720376</v>
      </c>
      <c r="N302" s="1834">
        <f t="shared" si="23"/>
        <v>2346.31519046209</v>
      </c>
      <c r="O302" s="342"/>
      <c r="P302" s="342"/>
      <c r="Q302" s="342"/>
      <c r="R302" s="342"/>
      <c r="S302" s="155"/>
    </row>
    <row r="303" spans="1:19" x14ac:dyDescent="0.25">
      <c r="A303" s="170"/>
      <c r="B303" s="222"/>
      <c r="C303" s="222"/>
      <c r="D303" s="222"/>
      <c r="E303" s="222"/>
      <c r="F303" s="558" t="s">
        <v>65</v>
      </c>
      <c r="G303" s="1832">
        <f t="shared" si="17"/>
        <v>267.94855308613523</v>
      </c>
      <c r="H303" s="1833">
        <f t="shared" si="18"/>
        <v>5461.0055872854</v>
      </c>
      <c r="I303" s="1833">
        <f t="shared" si="19"/>
        <v>105.72977427050242</v>
      </c>
      <c r="J303" s="1833">
        <f t="shared" si="19"/>
        <v>1361.8990752020568</v>
      </c>
      <c r="K303" s="1833">
        <f t="shared" si="20"/>
        <v>832.78528304469421</v>
      </c>
      <c r="L303" s="1833">
        <f t="shared" si="21"/>
        <v>363.85362121026657</v>
      </c>
      <c r="M303" s="1833">
        <f t="shared" si="22"/>
        <v>248.10325726084406</v>
      </c>
      <c r="N303" s="1834">
        <f t="shared" si="23"/>
        <v>1329.666289786632</v>
      </c>
      <c r="O303" s="342"/>
      <c r="P303" s="342"/>
      <c r="Q303" s="342"/>
      <c r="R303" s="342"/>
      <c r="S303" s="155"/>
    </row>
    <row r="304" spans="1:19" x14ac:dyDescent="0.25">
      <c r="A304" s="170"/>
      <c r="B304" s="222"/>
      <c r="C304" s="222"/>
      <c r="D304" s="222"/>
      <c r="E304" s="222"/>
      <c r="F304" s="558" t="s">
        <v>20</v>
      </c>
      <c r="G304" s="1832">
        <f t="shared" si="17"/>
        <v>3576.4539689772014</v>
      </c>
      <c r="H304" s="1833">
        <f t="shared" si="18"/>
        <v>26178.983525683841</v>
      </c>
      <c r="I304" s="1833">
        <f t="shared" si="19"/>
        <v>908.64086047004457</v>
      </c>
      <c r="J304" s="1833">
        <f t="shared" si="19"/>
        <v>16109.195915206086</v>
      </c>
      <c r="K304" s="1833">
        <f t="shared" si="20"/>
        <v>4788.8364145278219</v>
      </c>
      <c r="L304" s="1833">
        <f t="shared" si="21"/>
        <v>3342.9051448693249</v>
      </c>
      <c r="M304" s="1833">
        <f t="shared" si="22"/>
        <v>39222.613977242116</v>
      </c>
      <c r="N304" s="1834">
        <f t="shared" si="23"/>
        <v>15697.136294893051</v>
      </c>
      <c r="O304" s="342"/>
      <c r="P304" s="342"/>
      <c r="Q304" s="342"/>
      <c r="R304" s="342"/>
      <c r="S304" s="155"/>
    </row>
    <row r="305" spans="1:19" x14ac:dyDescent="0.25">
      <c r="A305" s="170"/>
      <c r="B305" s="222"/>
      <c r="C305" s="222"/>
      <c r="D305" s="222"/>
      <c r="E305" s="222"/>
      <c r="F305" s="558" t="s">
        <v>27</v>
      </c>
      <c r="G305" s="1835">
        <f t="shared" si="17"/>
        <v>709.99943318550356</v>
      </c>
      <c r="H305" s="1836">
        <f t="shared" si="18"/>
        <v>89044.591294680722</v>
      </c>
      <c r="I305" s="1836">
        <f t="shared" si="19"/>
        <v>165.97115728509101</v>
      </c>
      <c r="J305" s="1836">
        <f t="shared" si="19"/>
        <v>3918.3046369863177</v>
      </c>
      <c r="K305" s="1836">
        <f t="shared" si="20"/>
        <v>2109.5288586520246</v>
      </c>
      <c r="L305" s="1836">
        <f t="shared" si="21"/>
        <v>794.4336877576136</v>
      </c>
      <c r="M305" s="1836">
        <f t="shared" si="22"/>
        <v>12230.661519842412</v>
      </c>
      <c r="N305" s="1837">
        <f t="shared" si="23"/>
        <v>4224.5266144527131</v>
      </c>
      <c r="O305" s="342"/>
      <c r="P305" s="342"/>
      <c r="Q305" s="342"/>
      <c r="R305" s="342"/>
      <c r="S305" s="155"/>
    </row>
    <row r="306" spans="1:19" x14ac:dyDescent="0.25">
      <c r="A306" s="170"/>
      <c r="B306" s="342"/>
      <c r="C306" s="342"/>
      <c r="D306" s="342"/>
      <c r="E306" s="342"/>
      <c r="F306" s="318"/>
      <c r="G306" s="345" t="str">
        <f t="shared" ref="G306:N306" si="24">IF(ROUND(SUM(G300:G305),0)=ROUND(G182,0),"Ok","Error")</f>
        <v>Ok</v>
      </c>
      <c r="H306" s="345" t="str">
        <f t="shared" si="24"/>
        <v>Ok</v>
      </c>
      <c r="I306" s="345" t="str">
        <f t="shared" si="24"/>
        <v>Ok</v>
      </c>
      <c r="J306" s="345" t="str">
        <f t="shared" si="24"/>
        <v>Ok</v>
      </c>
      <c r="K306" s="345" t="str">
        <f t="shared" si="24"/>
        <v>Ok</v>
      </c>
      <c r="L306" s="345" t="str">
        <f t="shared" si="24"/>
        <v>Ok</v>
      </c>
      <c r="M306" s="345" t="str">
        <f t="shared" si="24"/>
        <v>Ok</v>
      </c>
      <c r="N306" s="345" t="str">
        <f t="shared" si="24"/>
        <v>Ok</v>
      </c>
      <c r="O306" s="342"/>
      <c r="P306" s="342"/>
      <c r="Q306" s="342"/>
      <c r="R306" s="342"/>
      <c r="S306" s="155"/>
    </row>
    <row r="307" spans="1:19" x14ac:dyDescent="0.25">
      <c r="A307" s="170"/>
      <c r="B307" s="183"/>
      <c r="F307" s="7"/>
      <c r="G307" s="7"/>
      <c r="H307" s="7"/>
      <c r="J307" s="18"/>
    </row>
    <row r="308" spans="1:19" ht="12.75" customHeight="1" x14ac:dyDescent="0.25">
      <c r="A308" s="170"/>
      <c r="B308" s="1118" t="s">
        <v>132</v>
      </c>
      <c r="C308" s="2736" t="s">
        <v>925</v>
      </c>
      <c r="D308" s="7"/>
      <c r="E308" s="7"/>
      <c r="F308" s="159"/>
      <c r="G308" s="557" t="s">
        <v>3</v>
      </c>
      <c r="H308" s="557" t="s">
        <v>4</v>
      </c>
      <c r="I308" s="557" t="s">
        <v>377</v>
      </c>
      <c r="J308" s="557" t="s">
        <v>378</v>
      </c>
      <c r="K308" s="557" t="s">
        <v>7</v>
      </c>
      <c r="L308" s="557" t="s">
        <v>379</v>
      </c>
      <c r="M308" s="557" t="s">
        <v>380</v>
      </c>
      <c r="N308" s="557" t="s">
        <v>374</v>
      </c>
      <c r="O308" s="155"/>
      <c r="P308" s="155"/>
      <c r="Q308" s="184" t="s">
        <v>100</v>
      </c>
      <c r="R308" s="225" t="s">
        <v>927</v>
      </c>
      <c r="S308" s="155"/>
    </row>
    <row r="309" spans="1:19" x14ac:dyDescent="0.25">
      <c r="A309" s="170"/>
      <c r="B309" s="451"/>
      <c r="C309" s="2737"/>
      <c r="D309" s="7"/>
      <c r="E309" s="7"/>
      <c r="F309" s="556" t="s">
        <v>61</v>
      </c>
      <c r="G309" s="1888">
        <f>G300/$G186</f>
        <v>16538.902860561633</v>
      </c>
      <c r="H309" s="1889">
        <f t="shared" ref="H309:N309" si="25">H300/$G186</f>
        <v>230841.8979811699</v>
      </c>
      <c r="I309" s="1889">
        <f t="shared" si="25"/>
        <v>7771.1384088819286</v>
      </c>
      <c r="J309" s="1889">
        <f t="shared" si="25"/>
        <v>127759.57597315297</v>
      </c>
      <c r="K309" s="1889">
        <f t="shared" si="25"/>
        <v>53056.932559783425</v>
      </c>
      <c r="L309" s="1889">
        <f t="shared" si="25"/>
        <v>30211.819429570893</v>
      </c>
      <c r="M309" s="1889">
        <f t="shared" si="25"/>
        <v>352535.64338701469</v>
      </c>
      <c r="N309" s="1890">
        <f t="shared" si="25"/>
        <v>116933.31649375272</v>
      </c>
      <c r="O309" s="1508"/>
      <c r="P309" s="155"/>
      <c r="S309" s="155"/>
    </row>
    <row r="310" spans="1:19" x14ac:dyDescent="0.25">
      <c r="A310" s="170"/>
      <c r="B310" s="7"/>
      <c r="C310" s="7"/>
      <c r="D310" s="7"/>
      <c r="E310" s="7"/>
      <c r="F310" s="556" t="s">
        <v>63</v>
      </c>
      <c r="G310" s="1891">
        <f t="shared" ref="G310:N314" si="26">G301/$G187</f>
        <v>966.06833530742165</v>
      </c>
      <c r="H310" s="1892">
        <f t="shared" si="26"/>
        <v>33863.955974153265</v>
      </c>
      <c r="I310" s="1892">
        <f t="shared" si="26"/>
        <v>1025.0383796493804</v>
      </c>
      <c r="J310" s="1892">
        <f t="shared" si="26"/>
        <v>14445.026321778943</v>
      </c>
      <c r="K310" s="1892">
        <f t="shared" si="26"/>
        <v>3791.238226268737</v>
      </c>
      <c r="L310" s="1892">
        <f t="shared" si="26"/>
        <v>3414.2861504192556</v>
      </c>
      <c r="M310" s="1892">
        <f t="shared" si="26"/>
        <v>26593.591618761948</v>
      </c>
      <c r="N310" s="1893">
        <f t="shared" si="26"/>
        <v>14721.541681455305</v>
      </c>
      <c r="O310" s="155"/>
      <c r="P310" s="155"/>
      <c r="Q310" s="155"/>
      <c r="R310" s="155"/>
      <c r="S310" s="155"/>
    </row>
    <row r="311" spans="1:19" x14ac:dyDescent="0.25">
      <c r="A311" s="170"/>
      <c r="B311" s="7"/>
      <c r="C311" s="7"/>
      <c r="D311" s="7"/>
      <c r="E311" s="7"/>
      <c r="F311" s="556" t="s">
        <v>67</v>
      </c>
      <c r="G311" s="1891">
        <f t="shared" si="26"/>
        <v>1014.6560790969759</v>
      </c>
      <c r="H311" s="1892">
        <f t="shared" si="26"/>
        <v>33013.025943134904</v>
      </c>
      <c r="I311" s="1892">
        <f t="shared" si="26"/>
        <v>524.24346409124121</v>
      </c>
      <c r="J311" s="1892">
        <f t="shared" si="26"/>
        <v>10325.096336611088</v>
      </c>
      <c r="K311" s="1892">
        <f t="shared" si="26"/>
        <v>6894.3070427896719</v>
      </c>
      <c r="L311" s="1892">
        <f t="shared" si="26"/>
        <v>1513.9622029469947</v>
      </c>
      <c r="M311" s="1892">
        <f t="shared" si="26"/>
        <v>23386.444413601879</v>
      </c>
      <c r="N311" s="1893">
        <f t="shared" si="26"/>
        <v>11731.57595231045</v>
      </c>
      <c r="O311" s="155"/>
      <c r="P311" s="155"/>
      <c r="Q311" s="155"/>
      <c r="R311" s="155"/>
      <c r="S311" s="155"/>
    </row>
    <row r="312" spans="1:19" x14ac:dyDescent="0.25">
      <c r="A312" s="170"/>
      <c r="B312" s="7"/>
      <c r="C312" s="7"/>
      <c r="D312" s="7"/>
      <c r="E312" s="7"/>
      <c r="F312" s="556" t="s">
        <v>65</v>
      </c>
      <c r="G312" s="1891">
        <f t="shared" si="26"/>
        <v>623.13616996775636</v>
      </c>
      <c r="H312" s="1892">
        <f t="shared" si="26"/>
        <v>12700.012993686976</v>
      </c>
      <c r="I312" s="1892">
        <f t="shared" si="26"/>
        <v>245.88319597791261</v>
      </c>
      <c r="J312" s="1892">
        <f t="shared" si="26"/>
        <v>3167.2071516326901</v>
      </c>
      <c r="K312" s="1892">
        <f t="shared" si="26"/>
        <v>1936.7099605690564</v>
      </c>
      <c r="L312" s="1892">
        <f t="shared" si="26"/>
        <v>846.17121211689903</v>
      </c>
      <c r="M312" s="1892">
        <f t="shared" si="26"/>
        <v>576.9843192112653</v>
      </c>
      <c r="N312" s="1893">
        <f t="shared" si="26"/>
        <v>3092.2471855503068</v>
      </c>
      <c r="O312" s="155"/>
      <c r="P312" s="155"/>
      <c r="Q312" s="155"/>
      <c r="R312" s="155"/>
      <c r="S312" s="155"/>
    </row>
    <row r="313" spans="1:19" x14ac:dyDescent="0.25">
      <c r="A313" s="170"/>
      <c r="B313" s="7"/>
      <c r="C313" s="7"/>
      <c r="D313" s="7"/>
      <c r="E313" s="7"/>
      <c r="F313" s="556" t="s">
        <v>20</v>
      </c>
      <c r="G313" s="1891">
        <f t="shared" si="26"/>
        <v>14901.891537405007</v>
      </c>
      <c r="H313" s="1892">
        <f t="shared" si="26"/>
        <v>109079.09802368267</v>
      </c>
      <c r="I313" s="1892">
        <f t="shared" si="26"/>
        <v>3786.0035852918527</v>
      </c>
      <c r="J313" s="1892">
        <f t="shared" si="26"/>
        <v>67121.649646692022</v>
      </c>
      <c r="K313" s="1892">
        <f t="shared" si="26"/>
        <v>19953.485060532592</v>
      </c>
      <c r="L313" s="1892">
        <f t="shared" si="26"/>
        <v>13928.771436955521</v>
      </c>
      <c r="M313" s="1892">
        <f t="shared" si="26"/>
        <v>163427.55823850882</v>
      </c>
      <c r="N313" s="1893">
        <f t="shared" si="26"/>
        <v>65404.734562054378</v>
      </c>
      <c r="O313" s="155"/>
      <c r="P313" s="155"/>
      <c r="Q313" s="155"/>
      <c r="R313" s="155"/>
      <c r="S313" s="155"/>
    </row>
    <row r="314" spans="1:19" x14ac:dyDescent="0.25">
      <c r="A314" s="170"/>
      <c r="B314" s="7"/>
      <c r="C314" s="7"/>
      <c r="D314" s="7"/>
      <c r="E314" s="7"/>
      <c r="F314" s="556" t="s">
        <v>27</v>
      </c>
      <c r="G314" s="1894">
        <f t="shared" si="26"/>
        <v>2958.3309716062649</v>
      </c>
      <c r="H314" s="1895">
        <f t="shared" si="26"/>
        <v>371019.13039450301</v>
      </c>
      <c r="I314" s="1895">
        <f t="shared" si="26"/>
        <v>691.54648868787922</v>
      </c>
      <c r="J314" s="1895">
        <f t="shared" si="26"/>
        <v>16326.269320776324</v>
      </c>
      <c r="K314" s="1895">
        <f t="shared" si="26"/>
        <v>8789.7035777167694</v>
      </c>
      <c r="L314" s="1895">
        <f t="shared" si="26"/>
        <v>3310.1403656567236</v>
      </c>
      <c r="M314" s="1895">
        <f t="shared" si="26"/>
        <v>50961.089666010048</v>
      </c>
      <c r="N314" s="1896">
        <f t="shared" si="26"/>
        <v>17602.194226886306</v>
      </c>
      <c r="O314" s="155"/>
      <c r="P314" s="155"/>
      <c r="Q314" s="155"/>
      <c r="R314" s="155"/>
      <c r="S314" s="155"/>
    </row>
    <row r="315" spans="1:19" x14ac:dyDescent="0.25">
      <c r="A315" s="170"/>
      <c r="B315" s="155"/>
      <c r="C315" s="155"/>
      <c r="D315" s="155"/>
      <c r="E315" s="155"/>
      <c r="F315" s="6" t="s">
        <v>88</v>
      </c>
      <c r="G315" s="579">
        <f>SUM(G309:G314)</f>
        <v>37002.985953945055</v>
      </c>
      <c r="H315" s="579">
        <f t="shared" ref="H315:N315" si="27">SUM(H309:H314)</f>
        <v>790517.12131033069</v>
      </c>
      <c r="I315" s="579">
        <f t="shared" si="27"/>
        <v>14043.853522580197</v>
      </c>
      <c r="J315" s="579">
        <f t="shared" si="27"/>
        <v>239144.82475064404</v>
      </c>
      <c r="K315" s="579">
        <f t="shared" si="27"/>
        <v>94422.37642766026</v>
      </c>
      <c r="L315" s="579">
        <f t="shared" si="27"/>
        <v>53225.150797666298</v>
      </c>
      <c r="M315" s="579">
        <f t="shared" si="27"/>
        <v>617481.31164310861</v>
      </c>
      <c r="N315" s="579">
        <f t="shared" si="27"/>
        <v>229485.61010200949</v>
      </c>
      <c r="O315" s="1508"/>
      <c r="P315" s="155"/>
      <c r="Q315" s="155"/>
      <c r="R315" s="155"/>
      <c r="S315" s="155"/>
    </row>
    <row r="316" spans="1:19" x14ac:dyDescent="0.25">
      <c r="A316" s="170"/>
      <c r="B316" s="183"/>
      <c r="F316" s="10"/>
      <c r="G316" s="661"/>
      <c r="H316" s="661"/>
      <c r="I316" s="661"/>
      <c r="J316" s="661"/>
      <c r="K316" s="661"/>
      <c r="L316" s="661"/>
      <c r="M316" s="661"/>
      <c r="N316" s="661"/>
      <c r="O316" s="1508"/>
    </row>
    <row r="317" spans="1:19" s="188" customFormat="1" x14ac:dyDescent="0.25">
      <c r="A317" s="170"/>
      <c r="B317" s="1501"/>
      <c r="C317" s="316"/>
      <c r="D317" s="316"/>
      <c r="E317" s="316"/>
      <c r="F317" s="1502"/>
      <c r="G317" s="1503"/>
      <c r="H317" s="1503"/>
      <c r="I317" s="1503"/>
      <c r="J317" s="1503"/>
      <c r="K317" s="1503"/>
      <c r="L317" s="1503"/>
      <c r="M317" s="1503"/>
      <c r="N317" s="1503"/>
      <c r="O317" s="311"/>
      <c r="P317" s="311"/>
      <c r="Q317" s="311"/>
      <c r="R317" s="311"/>
    </row>
    <row r="318" spans="1:19" s="188" customFormat="1" x14ac:dyDescent="0.25">
      <c r="A318" s="170"/>
      <c r="B318" s="97" t="s">
        <v>722</v>
      </c>
      <c r="C318" s="198" t="s">
        <v>566</v>
      </c>
      <c r="D318" s="316"/>
      <c r="E318" s="316"/>
      <c r="F318" s="314"/>
      <c r="G318" s="1500" t="s">
        <v>3</v>
      </c>
      <c r="H318" s="1504"/>
      <c r="I318" s="1504"/>
      <c r="J318" s="311"/>
      <c r="K318" s="1500" t="s">
        <v>4</v>
      </c>
      <c r="L318" s="1504"/>
      <c r="M318" s="1504"/>
      <c r="N318" s="1504"/>
      <c r="O318" s="311"/>
      <c r="P318" s="311"/>
      <c r="Q318" s="113" t="s">
        <v>100</v>
      </c>
      <c r="R318" s="37" t="s">
        <v>928</v>
      </c>
    </row>
    <row r="319" spans="1:19" s="188" customFormat="1" x14ac:dyDescent="0.25">
      <c r="A319" s="170"/>
      <c r="B319" s="1501"/>
      <c r="C319" s="316"/>
      <c r="D319" s="316"/>
      <c r="E319" s="316"/>
      <c r="F319" s="567"/>
      <c r="G319" s="1505" t="s">
        <v>16</v>
      </c>
      <c r="H319" s="1505" t="s">
        <v>17</v>
      </c>
      <c r="I319" s="1505" t="s">
        <v>18</v>
      </c>
      <c r="J319" s="1506" t="s">
        <v>386</v>
      </c>
      <c r="K319" s="1505" t="s">
        <v>16</v>
      </c>
      <c r="L319" s="1505" t="s">
        <v>17</v>
      </c>
      <c r="M319" s="1505" t="s">
        <v>18</v>
      </c>
      <c r="N319" s="1506" t="s">
        <v>386</v>
      </c>
      <c r="O319" s="311"/>
      <c r="P319" s="311"/>
      <c r="Q319" s="311"/>
      <c r="R319" s="311"/>
    </row>
    <row r="320" spans="1:19" s="188" customFormat="1" x14ac:dyDescent="0.25">
      <c r="A320" s="170"/>
      <c r="B320" s="1501"/>
      <c r="C320" s="316"/>
      <c r="D320" s="316"/>
      <c r="E320" s="316"/>
      <c r="F320" s="548" t="s">
        <v>61</v>
      </c>
      <c r="G320" s="1838">
        <f>$G309*ACT!G138/SUM(ACT!$G$138,$H238:$I238)</f>
        <v>11269.469561881044</v>
      </c>
      <c r="H320" s="1838">
        <f>$G309*H238/SUM(ACT!$G$138,$H238:$I238)</f>
        <v>5269.4332986805894</v>
      </c>
      <c r="I320" s="1839">
        <f>$G309*I238/SUM(ACT!$G$138,$H238:$I238)</f>
        <v>0</v>
      </c>
      <c r="J320" s="1506" t="str">
        <f t="shared" ref="J320:J325" si="28">IF(SUM(G320:I320)=G309,"Ok","Error")</f>
        <v>Ok</v>
      </c>
      <c r="K320" s="1844">
        <f>$H309*NSW!G51/SUM(NSW!$G51:$I51)</f>
        <v>181251.87972626599</v>
      </c>
      <c r="L320" s="1845">
        <f>$H309*NSW!H51/SUM(NSW!$G51:$I51)</f>
        <v>49542.305218570014</v>
      </c>
      <c r="M320" s="1839">
        <f>$H309*NSW!I51/SUM(NSW!$G51:$I51)</f>
        <v>47.713036333885825</v>
      </c>
      <c r="N320" s="1506" t="str">
        <f t="shared" ref="N320:N325" si="29">IF(SUM(K320:M320)=H309,"Ok","Error")</f>
        <v>Ok</v>
      </c>
      <c r="O320" s="311"/>
      <c r="P320" s="311"/>
      <c r="Q320" s="311"/>
      <c r="R320" s="311"/>
    </row>
    <row r="321" spans="1:18" s="188" customFormat="1" x14ac:dyDescent="0.25">
      <c r="A321" s="170"/>
      <c r="B321" s="1501"/>
      <c r="C321" s="316"/>
      <c r="D321" s="316"/>
      <c r="E321" s="316"/>
      <c r="F321" s="548" t="s">
        <v>63</v>
      </c>
      <c r="G321" s="1838">
        <f>$G310*ACT!G139/SUM(ACT!$G139,$H239:$I239)</f>
        <v>690.89790111723653</v>
      </c>
      <c r="H321" s="1838">
        <f>$G310*H239/SUM(ACT!$G$139,$H239:$I239)</f>
        <v>274.26729240087229</v>
      </c>
      <c r="I321" s="1840">
        <f>$G310*I239/SUM(ACT!$G$139,$H239:$I239)</f>
        <v>0.90314178931295852</v>
      </c>
      <c r="J321" s="1506" t="str">
        <f t="shared" si="28"/>
        <v>Ok</v>
      </c>
      <c r="K321" s="1846">
        <f>$H310*NSW!G52/SUM(NSW!$G52:$I52)</f>
        <v>23900.601254113273</v>
      </c>
      <c r="L321" s="1838">
        <f>$H310*NSW!H52/SUM(NSW!$G52:$I52)</f>
        <v>8177.1216186311258</v>
      </c>
      <c r="M321" s="1840">
        <f>$H310*NSW!I52/SUM(NSW!$G52:$I52)</f>
        <v>1786.2331014088645</v>
      </c>
      <c r="N321" s="1506" t="str">
        <f t="shared" si="29"/>
        <v>Ok</v>
      </c>
      <c r="O321" s="311"/>
      <c r="P321" s="311"/>
      <c r="Q321" s="311"/>
      <c r="R321" s="311"/>
    </row>
    <row r="322" spans="1:18" s="188" customFormat="1" x14ac:dyDescent="0.25">
      <c r="A322" s="170"/>
      <c r="B322" s="1501"/>
      <c r="C322" s="316"/>
      <c r="D322" s="316"/>
      <c r="E322" s="316"/>
      <c r="F322" s="548" t="s">
        <v>67</v>
      </c>
      <c r="G322" s="1838">
        <f>$G311*ACT!G140/SUM(ACT!$G140,$H240:$I240)</f>
        <v>228.03538319934637</v>
      </c>
      <c r="H322" s="1838">
        <f>$G311*H240/SUM(ACT!$G140,$H240:$I240)</f>
        <v>784.14185992270677</v>
      </c>
      <c r="I322" s="1840">
        <f>$G311*I240/SUM(ACT!$G140,$H240:$I240)</f>
        <v>2.4788359749228004</v>
      </c>
      <c r="J322" s="1506" t="str">
        <f t="shared" si="28"/>
        <v>Ok</v>
      </c>
      <c r="K322" s="1846">
        <f>$H311*NSW!G53/SUM(NSW!$G53:$I53)</f>
        <v>1899.6080744180952</v>
      </c>
      <c r="L322" s="1838">
        <f>$H311*NSW!H53/SUM(NSW!$G53:$I53)</f>
        <v>18781.605026995596</v>
      </c>
      <c r="M322" s="1840">
        <f>$H311*NSW!I53/SUM(NSW!$G53:$I53)</f>
        <v>12331.812841721212</v>
      </c>
      <c r="N322" s="1506" t="str">
        <f t="shared" si="29"/>
        <v>Ok</v>
      </c>
      <c r="O322" s="311"/>
      <c r="P322" s="311"/>
      <c r="Q322" s="311"/>
      <c r="R322" s="311"/>
    </row>
    <row r="323" spans="1:18" s="188" customFormat="1" x14ac:dyDescent="0.25">
      <c r="A323" s="170"/>
      <c r="B323" s="1501"/>
      <c r="C323" s="316"/>
      <c r="D323" s="316"/>
      <c r="E323" s="316"/>
      <c r="F323" s="548" t="s">
        <v>65</v>
      </c>
      <c r="G323" s="1838">
        <f>$G312*ACT!G141/SUM(ACT!$G141,$H241:$I241)</f>
        <v>623.13616996775636</v>
      </c>
      <c r="H323" s="1838">
        <f>$G312*H241/SUM(ACT!$G141,$H241:$I241)</f>
        <v>0</v>
      </c>
      <c r="I323" s="1840">
        <f>$G312*I241/SUM(ACT!$G141,$H241:$I241)</f>
        <v>0</v>
      </c>
      <c r="J323" s="1506" t="str">
        <f t="shared" si="28"/>
        <v>Ok</v>
      </c>
      <c r="K323" s="1846">
        <f>$H312*NSW!G54/SUM(NSW!$G54:$I54)</f>
        <v>12700.012993686976</v>
      </c>
      <c r="L323" s="1838">
        <f>$H312*NSW!H54/SUM(NSW!$G54:$I54)</f>
        <v>0</v>
      </c>
      <c r="M323" s="1840">
        <f>$H312*NSW!I54/SUM(NSW!$G54:$I54)</f>
        <v>0</v>
      </c>
      <c r="N323" s="1506" t="str">
        <f t="shared" si="29"/>
        <v>Ok</v>
      </c>
      <c r="O323" s="311"/>
      <c r="P323" s="311"/>
      <c r="Q323" s="311"/>
      <c r="R323" s="311"/>
    </row>
    <row r="324" spans="1:18" s="188" customFormat="1" x14ac:dyDescent="0.25">
      <c r="A324" s="170"/>
      <c r="B324" s="1501"/>
      <c r="C324" s="316"/>
      <c r="D324" s="316"/>
      <c r="E324" s="316"/>
      <c r="F324" s="548" t="s">
        <v>20</v>
      </c>
      <c r="G324" s="1838">
        <f>$G313*ACT!G142/SUM(ACT!$G142:$I142)</f>
        <v>4391.6891901073632</v>
      </c>
      <c r="H324" s="1838">
        <f>$G313*ACT!H142/SUM(ACT!$G142:$I142)</f>
        <v>9878.3840503296888</v>
      </c>
      <c r="I324" s="1840">
        <f>$G313*ACT!I142/SUM(ACT!$G142:$I142)</f>
        <v>631.81829696795432</v>
      </c>
      <c r="J324" s="1506" t="str">
        <f t="shared" si="28"/>
        <v>Ok</v>
      </c>
      <c r="K324" s="1846">
        <f>$H313*NSW!G55/SUM(NSW!$G55:$I55)</f>
        <v>28802.902078806208</v>
      </c>
      <c r="L324" s="1838">
        <f>$H313*NSW!H55/SUM(NSW!$G55:$I55)</f>
        <v>73141.493637591062</v>
      </c>
      <c r="M324" s="1840">
        <f>$H313*NSW!I55/SUM(NSW!$G55:$I55)</f>
        <v>7134.7023072854117</v>
      </c>
      <c r="N324" s="1506" t="str">
        <f t="shared" si="29"/>
        <v>Ok</v>
      </c>
      <c r="O324" s="311"/>
      <c r="P324" s="311"/>
      <c r="Q324" s="311"/>
      <c r="R324" s="311"/>
    </row>
    <row r="325" spans="1:18" s="188" customFormat="1" x14ac:dyDescent="0.25">
      <c r="A325" s="170"/>
      <c r="B325" s="1501"/>
      <c r="C325" s="316"/>
      <c r="D325" s="316"/>
      <c r="E325" s="316"/>
      <c r="F325" s="548" t="s">
        <v>27</v>
      </c>
      <c r="G325" s="1841">
        <f>$G314*ACT!G145/SUM(ACT!$G145:$I145)</f>
        <v>1254.8458714407118</v>
      </c>
      <c r="H325" s="1842">
        <f>$G314*ACT!H145/SUM(ACT!$G145:$I145)</f>
        <v>1429.8894687583031</v>
      </c>
      <c r="I325" s="1843">
        <f>$G314*ACT!I145/SUM(ACT!$G145:$I145)</f>
        <v>273.59563140724993</v>
      </c>
      <c r="J325" s="1506" t="str">
        <f t="shared" si="28"/>
        <v>Ok</v>
      </c>
      <c r="K325" s="1841">
        <f>$H314*NSW!G58/SUM(NSW!$G58:$I58)</f>
        <v>117697.44563383023</v>
      </c>
      <c r="L325" s="1842">
        <f>$H314*NSW!H58/SUM(NSW!$G58:$I58)</f>
        <v>167604.41161133946</v>
      </c>
      <c r="M325" s="1843">
        <f>$H314*NSW!I58/SUM(NSW!$G58:$I58)</f>
        <v>85717.273149333269</v>
      </c>
      <c r="N325" s="1506" t="str">
        <f t="shared" si="29"/>
        <v>Ok</v>
      </c>
      <c r="O325" s="311"/>
      <c r="P325" s="311"/>
      <c r="Q325" s="311"/>
      <c r="R325" s="311"/>
    </row>
    <row r="326" spans="1:18" s="188" customFormat="1" x14ac:dyDescent="0.25">
      <c r="A326" s="170"/>
      <c r="B326" s="1501"/>
      <c r="C326" s="316"/>
      <c r="D326" s="316"/>
      <c r="E326" s="316"/>
      <c r="F326" s="1502"/>
      <c r="G326" s="1504"/>
      <c r="H326" s="1504"/>
      <c r="I326" s="1504"/>
      <c r="J326" s="311"/>
      <c r="K326" s="1504"/>
      <c r="L326" s="1504"/>
      <c r="M326" s="1504"/>
      <c r="N326" s="1504"/>
      <c r="O326" s="311"/>
      <c r="P326" s="311"/>
      <c r="Q326" s="311"/>
      <c r="R326" s="311"/>
    </row>
    <row r="327" spans="1:18" s="188" customFormat="1" x14ac:dyDescent="0.25">
      <c r="A327" s="170"/>
      <c r="B327" s="1501"/>
      <c r="C327" s="316"/>
      <c r="D327" s="316"/>
      <c r="E327" s="316"/>
      <c r="F327" s="314"/>
      <c r="G327" s="1500" t="s">
        <v>5</v>
      </c>
      <c r="H327" s="1504"/>
      <c r="I327" s="1504"/>
      <c r="J327" s="311"/>
      <c r="K327" s="1500" t="s">
        <v>6</v>
      </c>
      <c r="L327" s="1504"/>
      <c r="M327" s="1504"/>
      <c r="N327" s="1504"/>
      <c r="O327" s="311"/>
      <c r="P327" s="311"/>
      <c r="Q327" s="311"/>
      <c r="R327" s="311"/>
    </row>
    <row r="328" spans="1:18" s="188" customFormat="1" x14ac:dyDescent="0.25">
      <c r="A328" s="170"/>
      <c r="B328" s="1501"/>
      <c r="C328" s="316"/>
      <c r="D328" s="316"/>
      <c r="E328" s="316"/>
      <c r="F328" s="567"/>
      <c r="G328" s="1505" t="s">
        <v>16</v>
      </c>
      <c r="H328" s="1505" t="s">
        <v>17</v>
      </c>
      <c r="I328" s="1505" t="s">
        <v>18</v>
      </c>
      <c r="J328" s="1506" t="s">
        <v>386</v>
      </c>
      <c r="K328" s="1505" t="s">
        <v>16</v>
      </c>
      <c r="L328" s="1505" t="s">
        <v>17</v>
      </c>
      <c r="M328" s="1505" t="s">
        <v>18</v>
      </c>
      <c r="N328" s="1506" t="s">
        <v>386</v>
      </c>
      <c r="O328" s="311"/>
      <c r="P328" s="311"/>
      <c r="Q328" s="311"/>
      <c r="R328" s="311"/>
    </row>
    <row r="329" spans="1:18" s="188" customFormat="1" x14ac:dyDescent="0.25">
      <c r="A329" s="170"/>
      <c r="B329" s="1501"/>
      <c r="C329" s="316"/>
      <c r="D329" s="316"/>
      <c r="E329" s="316"/>
      <c r="F329" s="548" t="s">
        <v>61</v>
      </c>
      <c r="G329" s="1844">
        <f>$I309*NT!G39/SUM(NT!$G39:$I39)</f>
        <v>6459.5538672984803</v>
      </c>
      <c r="H329" s="1845">
        <f>$I309*NT!H39/SUM(NT!$G39:$I39)</f>
        <v>1311.5845415834481</v>
      </c>
      <c r="I329" s="1839">
        <f>$I309*NT!I39/SUM(NT!$G39:$I39)</f>
        <v>0</v>
      </c>
      <c r="J329" s="1506" t="str">
        <f t="shared" ref="J329:J334" si="30">IF(SUM(G329:I329)=I309,"Ok","Error")</f>
        <v>Ok</v>
      </c>
      <c r="K329" s="1844">
        <f>$J309*Qld!G37/SUM(Qld!$G37:$I37)</f>
        <v>82977.736415398394</v>
      </c>
      <c r="L329" s="1845">
        <f>$J309*Qld!H37/SUM(Qld!$G37:$I37)</f>
        <v>44781.839557754574</v>
      </c>
      <c r="M329" s="1839">
        <f>$J309*Qld!I37/SUM(Qld!$G37:$I37)</f>
        <v>0</v>
      </c>
      <c r="N329" s="1506" t="str">
        <f t="shared" ref="N329:N334" si="31">IF(SUM(K329:M329)=J309,"Ok","Error")</f>
        <v>Ok</v>
      </c>
      <c r="O329" s="1507"/>
      <c r="P329" s="311"/>
      <c r="Q329" s="311"/>
      <c r="R329" s="311"/>
    </row>
    <row r="330" spans="1:18" s="188" customFormat="1" x14ac:dyDescent="0.25">
      <c r="A330" s="170"/>
      <c r="B330" s="1501"/>
      <c r="C330" s="316"/>
      <c r="D330" s="316"/>
      <c r="E330" s="316"/>
      <c r="F330" s="548" t="s">
        <v>63</v>
      </c>
      <c r="G330" s="1846">
        <f>$I310*NT!G40/SUM(NT!$G40:$I40)</f>
        <v>853.24379446062039</v>
      </c>
      <c r="H330" s="1838">
        <f>$I310*NT!H40/SUM(NT!$G40:$I40)</f>
        <v>68.371094951109114</v>
      </c>
      <c r="I330" s="1840">
        <f>$I310*NT!I40/SUM(NT!$G40:$I40)</f>
        <v>103.42349023765094</v>
      </c>
      <c r="J330" s="1506" t="str">
        <f t="shared" si="30"/>
        <v>Ok</v>
      </c>
      <c r="K330" s="1846">
        <f>$J310*Qld!G38/SUM(Qld!$G38:$I38)</f>
        <v>10974.887081562727</v>
      </c>
      <c r="L330" s="1838">
        <f>$J310*Qld!H38/SUM(Qld!$G38:$I38)</f>
        <v>2337.4699609060576</v>
      </c>
      <c r="M330" s="1840">
        <f>$J310*Qld!I38/SUM(Qld!$G38:$I38)</f>
        <v>1132.6692793101581</v>
      </c>
      <c r="N330" s="1506" t="str">
        <f t="shared" si="31"/>
        <v>Ok</v>
      </c>
      <c r="O330" s="311"/>
      <c r="P330" s="311"/>
      <c r="Q330" s="311"/>
      <c r="R330" s="311"/>
    </row>
    <row r="331" spans="1:18" s="188" customFormat="1" x14ac:dyDescent="0.25">
      <c r="A331" s="170"/>
      <c r="B331" s="1501"/>
      <c r="C331" s="316"/>
      <c r="D331" s="316"/>
      <c r="E331" s="316"/>
      <c r="F331" s="548" t="s">
        <v>67</v>
      </c>
      <c r="G331" s="1846">
        <f>$I311*NT!G41/SUM(NT!$G41:$I41)</f>
        <v>47.094460951216938</v>
      </c>
      <c r="H331" s="1838">
        <f>$I311*NT!H41/SUM(NT!$G41:$I41)</f>
        <v>194.58223743272256</v>
      </c>
      <c r="I331" s="1840">
        <f>$I311*NT!I41/SUM(NT!$G41:$I41)</f>
        <v>282.56676570730161</v>
      </c>
      <c r="J331" s="1506" t="str">
        <f t="shared" si="30"/>
        <v>Ok</v>
      </c>
      <c r="K331" s="1846">
        <f>$J311*Qld!G39/SUM(Qld!$G39:$I39)</f>
        <v>604.13759501346419</v>
      </c>
      <c r="L331" s="1838">
        <f>$J311*Qld!H39/SUM(Qld!$G39:$I39)</f>
        <v>6634.6162199389446</v>
      </c>
      <c r="M331" s="1840">
        <f>$J311*Qld!I39/SUM(Qld!$G39:$I39)</f>
        <v>3086.3425216586807</v>
      </c>
      <c r="N331" s="1506" t="str">
        <f t="shared" si="31"/>
        <v>Ok</v>
      </c>
      <c r="O331" s="311"/>
      <c r="P331" s="311"/>
      <c r="Q331" s="311"/>
      <c r="R331" s="311"/>
    </row>
    <row r="332" spans="1:18" s="188" customFormat="1" x14ac:dyDescent="0.25">
      <c r="A332" s="170"/>
      <c r="B332" s="1501"/>
      <c r="C332" s="316"/>
      <c r="D332" s="316"/>
      <c r="E332" s="316"/>
      <c r="F332" s="548" t="s">
        <v>65</v>
      </c>
      <c r="G332" s="1846">
        <f>$I312*NT!G42/SUM(NT!$G42:$I42)</f>
        <v>245.88319597791261</v>
      </c>
      <c r="H332" s="1838">
        <f>$I312*NT!H42/SUM(NT!$G42:$I42)</f>
        <v>0</v>
      </c>
      <c r="I332" s="1840">
        <f>$I312*NT!I42/SUM(NT!$G42:$I42)</f>
        <v>0</v>
      </c>
      <c r="J332" s="1506" t="str">
        <f t="shared" si="30"/>
        <v>Ok</v>
      </c>
      <c r="K332" s="1846">
        <f>$J312*Qld!G40/SUM(Qld!$G40:$I40)</f>
        <v>3167.2071516326901</v>
      </c>
      <c r="L332" s="1838">
        <f>$J312*Qld!H40/SUM(Qld!$G40:$I40)</f>
        <v>0</v>
      </c>
      <c r="M332" s="1840">
        <f>$J312*Qld!I40/SUM(Qld!$G40:$I40)</f>
        <v>0</v>
      </c>
      <c r="N332" s="1506" t="str">
        <f t="shared" si="31"/>
        <v>Ok</v>
      </c>
      <c r="O332" s="311"/>
      <c r="P332" s="311"/>
      <c r="Q332" s="311"/>
      <c r="R332" s="311"/>
    </row>
    <row r="333" spans="1:18" s="188" customFormat="1" x14ac:dyDescent="0.25">
      <c r="A333" s="170"/>
      <c r="B333" s="1501"/>
      <c r="C333" s="316"/>
      <c r="D333" s="316"/>
      <c r="E333" s="316"/>
      <c r="F333" s="548" t="s">
        <v>20</v>
      </c>
      <c r="G333" s="1846">
        <f>$I313*NT!G43/SUM(NT!$G43:$I43)</f>
        <v>2330.0290205609535</v>
      </c>
      <c r="H333" s="1838">
        <f>$I313*NT!H43/SUM(NT!$G43:$I43)</f>
        <v>918.27555998606442</v>
      </c>
      <c r="I333" s="1840">
        <f>$I313*NT!I43/SUM(NT!$G43:$I43)</f>
        <v>537.69900474483529</v>
      </c>
      <c r="J333" s="1506" t="str">
        <f t="shared" si="30"/>
        <v>Ok</v>
      </c>
      <c r="K333" s="1846">
        <f>$J313*Qld!G41/SUM(Qld!$G41:$I41)</f>
        <v>29911.638809544056</v>
      </c>
      <c r="L333" s="1838">
        <f>$J313*Qld!H41/SUM(Qld!$G41:$I41)</f>
        <v>31332.74790945257</v>
      </c>
      <c r="M333" s="1840">
        <f>$J313*Qld!I41/SUM(Qld!$G41:$I41)</f>
        <v>5877.262927695394</v>
      </c>
      <c r="N333" s="1506" t="str">
        <f t="shared" si="31"/>
        <v>Ok</v>
      </c>
      <c r="O333" s="311"/>
      <c r="P333" s="311"/>
      <c r="Q333" s="311"/>
      <c r="R333" s="311"/>
    </row>
    <row r="334" spans="1:18" s="188" customFormat="1" x14ac:dyDescent="0.25">
      <c r="A334" s="170"/>
      <c r="B334" s="1501"/>
      <c r="C334" s="316"/>
      <c r="D334" s="316"/>
      <c r="E334" s="316"/>
      <c r="F334" s="548" t="s">
        <v>27</v>
      </c>
      <c r="G334" s="1841">
        <f>$I314*NT!G46/SUM(NT!$G46:$I46)</f>
        <v>347.22839817882908</v>
      </c>
      <c r="H334" s="1842">
        <f>$I314*NT!H46/SUM(NT!$G46:$I46)</f>
        <v>344.31809050905025</v>
      </c>
      <c r="I334" s="1843">
        <f>$I314*NT!I46/SUM(NT!$G46:$I46)</f>
        <v>0</v>
      </c>
      <c r="J334" s="1506" t="str">
        <f t="shared" si="30"/>
        <v>Ok</v>
      </c>
      <c r="K334" s="1841">
        <f>$J314*Qld!G44/SUM(Qld!$G44:$I44)</f>
        <v>4490.5795011924129</v>
      </c>
      <c r="L334" s="1842">
        <f>$J314*Qld!H44/SUM(Qld!$G44:$I44)</f>
        <v>11835.689819583911</v>
      </c>
      <c r="M334" s="1843">
        <f>$J314*Qld!I44/SUM(Qld!$G44:$I44)</f>
        <v>0</v>
      </c>
      <c r="N334" s="1506" t="str">
        <f t="shared" si="31"/>
        <v>Ok</v>
      </c>
      <c r="O334" s="311"/>
      <c r="P334" s="311"/>
      <c r="Q334" s="311"/>
      <c r="R334" s="311"/>
    </row>
    <row r="335" spans="1:18" s="188" customFormat="1" x14ac:dyDescent="0.25">
      <c r="A335" s="170"/>
      <c r="B335" s="1501"/>
      <c r="C335" s="316"/>
      <c r="D335" s="316"/>
      <c r="E335" s="316"/>
      <c r="F335" s="1502"/>
      <c r="G335" s="1504"/>
      <c r="H335" s="1504"/>
      <c r="I335" s="1504"/>
      <c r="J335" s="311"/>
      <c r="K335" s="1504"/>
      <c r="L335" s="1504"/>
      <c r="M335" s="1504"/>
      <c r="N335" s="1504"/>
      <c r="O335" s="311"/>
      <c r="P335" s="311"/>
      <c r="Q335" s="311"/>
      <c r="R335" s="311"/>
    </row>
    <row r="336" spans="1:18" s="188" customFormat="1" x14ac:dyDescent="0.25">
      <c r="A336" s="170"/>
      <c r="B336" s="1501"/>
      <c r="C336" s="316"/>
      <c r="D336" s="316"/>
      <c r="E336" s="316"/>
      <c r="F336" s="314"/>
      <c r="G336" s="1500" t="s">
        <v>7</v>
      </c>
      <c r="H336" s="1504"/>
      <c r="I336" s="1504"/>
      <c r="J336" s="311"/>
      <c r="K336" s="1500" t="s">
        <v>8</v>
      </c>
      <c r="L336" s="1504"/>
      <c r="M336" s="1504"/>
      <c r="N336" s="1504"/>
      <c r="O336" s="311"/>
      <c r="P336" s="311"/>
      <c r="Q336" s="311"/>
      <c r="R336" s="311"/>
    </row>
    <row r="337" spans="1:18" s="188" customFormat="1" x14ac:dyDescent="0.25">
      <c r="A337" s="170"/>
      <c r="B337" s="1501"/>
      <c r="C337" s="316"/>
      <c r="D337" s="316"/>
      <c r="E337" s="316"/>
      <c r="F337" s="567"/>
      <c r="G337" s="1505" t="s">
        <v>16</v>
      </c>
      <c r="H337" s="1505" t="s">
        <v>17</v>
      </c>
      <c r="I337" s="1505" t="s">
        <v>18</v>
      </c>
      <c r="J337" s="1506" t="s">
        <v>386</v>
      </c>
      <c r="K337" s="1505" t="s">
        <v>16</v>
      </c>
      <c r="L337" s="1505" t="s">
        <v>17</v>
      </c>
      <c r="M337" s="1505" t="s">
        <v>18</v>
      </c>
      <c r="N337" s="1506" t="s">
        <v>386</v>
      </c>
      <c r="O337" s="311"/>
      <c r="P337" s="311"/>
      <c r="Q337" s="311"/>
      <c r="R337" s="311"/>
    </row>
    <row r="338" spans="1:18" s="188" customFormat="1" x14ac:dyDescent="0.25">
      <c r="A338" s="170"/>
      <c r="B338" s="1501"/>
      <c r="C338" s="316"/>
      <c r="D338" s="316"/>
      <c r="E338" s="316"/>
      <c r="F338" s="548" t="s">
        <v>61</v>
      </c>
      <c r="G338" s="1844">
        <f>$K309*SA!G120/SUM(SA!$G120:$I120)</f>
        <v>38352.252059193364</v>
      </c>
      <c r="H338" s="1845">
        <f>$K309*SA!H120/SUM(SA!$G120:$I120)</f>
        <v>14704.680500590055</v>
      </c>
      <c r="I338" s="1839">
        <f>$K309*SA!I120/SUM(SA!$G120:$I120)</f>
        <v>0</v>
      </c>
      <c r="J338" s="1506" t="str">
        <f t="shared" ref="J338:J343" si="32">IF(SUM(G338:I338)=K309,"Ok","Error")</f>
        <v>Ok</v>
      </c>
      <c r="K338" s="1844">
        <f>$L309*Tas!G29/SUM(Tas!$G29:$I29)</f>
        <v>17716.997719138351</v>
      </c>
      <c r="L338" s="1845">
        <f>$L309*Tas!H29/SUM(Tas!$G29:$I29)</f>
        <v>12494.821710432541</v>
      </c>
      <c r="M338" s="1839">
        <f>$L309*Tas!I29/SUM(Tas!$G29:$I29)</f>
        <v>0</v>
      </c>
      <c r="N338" s="1506" t="str">
        <f>IF(SUM(K338:M338)=L309,"Ok","Error")</f>
        <v>Ok</v>
      </c>
      <c r="O338" s="311"/>
      <c r="P338" s="311"/>
      <c r="Q338" s="311"/>
      <c r="R338" s="311"/>
    </row>
    <row r="339" spans="1:18" s="188" customFormat="1" x14ac:dyDescent="0.25">
      <c r="A339" s="170"/>
      <c r="B339" s="1501"/>
      <c r="C339" s="316"/>
      <c r="D339" s="316"/>
      <c r="E339" s="316"/>
      <c r="F339" s="548" t="s">
        <v>63</v>
      </c>
      <c r="G339" s="1846">
        <f>$K310*SA!G121/SUM(SA!$G121:$I121)</f>
        <v>1723.269383935613</v>
      </c>
      <c r="H339" s="1838">
        <f>$K310*SA!H121/SUM(SA!$G121:$I121)</f>
        <v>589.89019882036359</v>
      </c>
      <c r="I339" s="1840">
        <f>$K310*SA!I121/SUM(SA!$G121:$I121)</f>
        <v>1478.0786435127604</v>
      </c>
      <c r="J339" s="1506" t="str">
        <f t="shared" si="32"/>
        <v>Ok</v>
      </c>
      <c r="K339" s="1846">
        <f>$L310*Tas!G30/SUM(Tas!$G30:$I30)</f>
        <v>2625.6456149939177</v>
      </c>
      <c r="L339" s="1838">
        <f>$L310*Tas!H30/SUM(Tas!$G30:$I30)</f>
        <v>730.7716227481626</v>
      </c>
      <c r="M339" s="1840">
        <f>$L310*Tas!I30/SUM(Tas!$G30:$I30)</f>
        <v>57.868912677175054</v>
      </c>
      <c r="N339" s="1506" t="str">
        <f>IF(SUM(K339:M339)=L310,"Ok","Error")</f>
        <v>Ok</v>
      </c>
      <c r="O339" s="311"/>
      <c r="P339" s="311"/>
      <c r="Q339" s="311"/>
      <c r="R339" s="311"/>
    </row>
    <row r="340" spans="1:18" s="188" customFormat="1" x14ac:dyDescent="0.25">
      <c r="A340" s="170"/>
      <c r="B340" s="1501"/>
      <c r="C340" s="316"/>
      <c r="D340" s="316"/>
      <c r="E340" s="316"/>
      <c r="F340" s="548" t="s">
        <v>67</v>
      </c>
      <c r="G340" s="1846">
        <f>$K311*SA!G122/SUM(SA!$G122:$I122)</f>
        <v>323.76177979670888</v>
      </c>
      <c r="H340" s="1838">
        <f>$K311*SA!H122/SUM(SA!$G122:$I122)</f>
        <v>933.5758201513396</v>
      </c>
      <c r="I340" s="1840">
        <f>$K311*SA!I122/SUM(SA!$G122:$I122)</f>
        <v>5636.9694428416233</v>
      </c>
      <c r="J340" s="1506" t="str">
        <f t="shared" si="32"/>
        <v>Ok</v>
      </c>
      <c r="K340" s="1846">
        <f>$L311*Tas!G31/SUM(Tas!$G31:$I31)</f>
        <v>92.079589155843919</v>
      </c>
      <c r="L340" s="1838">
        <f>$L311*Tas!H31/SUM(Tas!$G31:$I31)</f>
        <v>1321.4261733438398</v>
      </c>
      <c r="M340" s="1840">
        <f>$L311*Tas!I31/SUM(Tas!$G31:$I31)</f>
        <v>100.4564404473109</v>
      </c>
      <c r="N340" s="1506" t="str">
        <f>IF(ROUND(SUM(K340:M340),0)=ROUND(L311,0),"Ok","Error")</f>
        <v>Ok</v>
      </c>
      <c r="O340" s="1507"/>
      <c r="P340" s="311"/>
      <c r="Q340" s="311"/>
      <c r="R340" s="311"/>
    </row>
    <row r="341" spans="1:18" s="188" customFormat="1" x14ac:dyDescent="0.25">
      <c r="A341" s="170"/>
      <c r="B341" s="1501"/>
      <c r="C341" s="316"/>
      <c r="D341" s="316"/>
      <c r="E341" s="316"/>
      <c r="F341" s="548" t="s">
        <v>65</v>
      </c>
      <c r="G341" s="1846">
        <f>$K312*SA!G123/SUM(SA!$G123:$I123)</f>
        <v>1575.3824526542892</v>
      </c>
      <c r="H341" s="1838">
        <f>$K312*SA!H123/SUM(SA!$G123:$I123)</f>
        <v>294.55115631575694</v>
      </c>
      <c r="I341" s="1840">
        <f>$K312*SA!I123/SUM(SA!$G123:$I123)</f>
        <v>66.776351599010354</v>
      </c>
      <c r="J341" s="1506" t="str">
        <f t="shared" si="32"/>
        <v>Ok</v>
      </c>
      <c r="K341" s="1846">
        <f>$L312*Tas!G32/SUM(Tas!$G32:$I32)</f>
        <v>846.17121211689903</v>
      </c>
      <c r="L341" s="1838">
        <f>$L312*Tas!H32/SUM(Tas!$G32:$I32)</f>
        <v>0</v>
      </c>
      <c r="M341" s="1840">
        <f>$L312*Tas!I32/SUM(Tas!$G32:$I32)</f>
        <v>0</v>
      </c>
      <c r="N341" s="1506" t="str">
        <f>IF(SUM(K341:M341)=L312,"Ok","Error")</f>
        <v>Ok</v>
      </c>
      <c r="O341" s="311"/>
      <c r="P341" s="311"/>
      <c r="Q341" s="311"/>
      <c r="R341" s="311"/>
    </row>
    <row r="342" spans="1:18" s="188" customFormat="1" x14ac:dyDescent="0.25">
      <c r="A342" s="170"/>
      <c r="B342" s="1501"/>
      <c r="C342" s="316"/>
      <c r="D342" s="316"/>
      <c r="E342" s="316"/>
      <c r="F342" s="548" t="s">
        <v>20</v>
      </c>
      <c r="G342" s="1846">
        <f>$K313*SA!G124/SUM(SA!$G124:$I124)</f>
        <v>10949.544213604398</v>
      </c>
      <c r="H342" s="1838">
        <f>$K313*SA!H124/SUM(SA!$G124:$I124)</f>
        <v>7552.2971591119313</v>
      </c>
      <c r="I342" s="1840">
        <f>$K313*SA!I124/SUM(SA!$G124:$I124)</f>
        <v>1451.6436878162633</v>
      </c>
      <c r="J342" s="1506" t="str">
        <f t="shared" si="32"/>
        <v>Ok</v>
      </c>
      <c r="K342" s="1846">
        <f>$L313*Tas!G33/SUM(Tas!$G33:$I33)</f>
        <v>5777.6149181400469</v>
      </c>
      <c r="L342" s="1838">
        <f>$L313*Tas!H33/SUM(Tas!$G33:$I33)</f>
        <v>7908.7246791961015</v>
      </c>
      <c r="M342" s="1840">
        <f>$L313*Tas!I33/SUM(Tas!$G33:$I33)</f>
        <v>242.43183961937325</v>
      </c>
      <c r="N342" s="1506" t="str">
        <f>IF(SUM(K342:M342)=L313,"Ok","Error")</f>
        <v>Ok</v>
      </c>
      <c r="O342" s="311"/>
      <c r="P342" s="311"/>
      <c r="Q342" s="311"/>
      <c r="R342" s="311"/>
    </row>
    <row r="343" spans="1:18" s="188" customFormat="1" x14ac:dyDescent="0.25">
      <c r="A343" s="170"/>
      <c r="B343" s="1501"/>
      <c r="C343" s="316"/>
      <c r="D343" s="316"/>
      <c r="E343" s="316"/>
      <c r="F343" s="548" t="s">
        <v>27</v>
      </c>
      <c r="G343" s="1841">
        <f>$K314*SA!G127/SUM(SA!$G127:$I127)</f>
        <v>3031.9152838920986</v>
      </c>
      <c r="H343" s="1842">
        <f>$K314*SA!H127/SUM(SA!$G127:$I127)</f>
        <v>2897.0874039316514</v>
      </c>
      <c r="I343" s="1843">
        <f>$K314*SA!I127/SUM(SA!$G127:$I127)</f>
        <v>2860.7008898930198</v>
      </c>
      <c r="J343" s="1506" t="str">
        <f t="shared" si="32"/>
        <v>Ok</v>
      </c>
      <c r="K343" s="1841">
        <f>$L314*Tas!G36/SUM(Tas!$G36:$I36)</f>
        <v>744.81934299601517</v>
      </c>
      <c r="L343" s="1842">
        <f>$L314*Tas!H36/SUM(Tas!$G36:$I36)</f>
        <v>2565.3210226607084</v>
      </c>
      <c r="M343" s="1843">
        <f>$L314*Tas!I36/SUM(Tas!$G36:$I36)</f>
        <v>0</v>
      </c>
      <c r="N343" s="1506" t="str">
        <f>IF(SUM(K343:M343)=L314,"Ok","Error")</f>
        <v>Ok</v>
      </c>
      <c r="O343" s="311"/>
      <c r="P343" s="311"/>
      <c r="Q343" s="311"/>
      <c r="R343" s="311"/>
    </row>
    <row r="344" spans="1:18" s="188" customFormat="1" x14ac:dyDescent="0.25">
      <c r="A344" s="170"/>
      <c r="B344" s="1501"/>
      <c r="C344" s="316"/>
      <c r="D344" s="316"/>
      <c r="E344" s="316"/>
      <c r="F344" s="1502"/>
      <c r="G344" s="1504"/>
      <c r="H344" s="1504"/>
      <c r="I344" s="1504"/>
      <c r="J344" s="311"/>
      <c r="K344" s="1504"/>
      <c r="L344" s="1504"/>
      <c r="M344" s="1504"/>
      <c r="N344" s="1504"/>
      <c r="O344" s="311"/>
      <c r="P344" s="311"/>
      <c r="Q344" s="311"/>
      <c r="R344" s="311"/>
    </row>
    <row r="345" spans="1:18" s="188" customFormat="1" x14ac:dyDescent="0.25">
      <c r="A345" s="170"/>
      <c r="B345" s="1501"/>
      <c r="C345" s="316"/>
      <c r="D345" s="316"/>
      <c r="E345" s="316"/>
      <c r="F345" s="314"/>
      <c r="G345" s="1500" t="s">
        <v>9</v>
      </c>
      <c r="H345" s="1504"/>
      <c r="I345" s="1504"/>
      <c r="J345" s="311"/>
      <c r="K345" s="1500" t="s">
        <v>374</v>
      </c>
      <c r="L345" s="1504"/>
      <c r="M345" s="1504"/>
      <c r="N345" s="1504"/>
      <c r="O345" s="311"/>
      <c r="P345" s="311"/>
      <c r="Q345" s="311"/>
      <c r="R345" s="311"/>
    </row>
    <row r="346" spans="1:18" s="188" customFormat="1" x14ac:dyDescent="0.25">
      <c r="A346" s="170"/>
      <c r="B346" s="1501"/>
      <c r="C346" s="316"/>
      <c r="D346" s="316"/>
      <c r="E346" s="316"/>
      <c r="F346" s="567"/>
      <c r="G346" s="1505" t="s">
        <v>16</v>
      </c>
      <c r="H346" s="1505" t="s">
        <v>17</v>
      </c>
      <c r="I346" s="1505" t="s">
        <v>18</v>
      </c>
      <c r="J346" s="1506" t="s">
        <v>386</v>
      </c>
      <c r="K346" s="1505" t="s">
        <v>16</v>
      </c>
      <c r="L346" s="1505" t="s">
        <v>17</v>
      </c>
      <c r="M346" s="1505" t="s">
        <v>18</v>
      </c>
      <c r="N346" s="1506" t="s">
        <v>386</v>
      </c>
      <c r="O346" s="311"/>
      <c r="P346" s="311"/>
      <c r="Q346" s="311"/>
      <c r="R346" s="311"/>
    </row>
    <row r="347" spans="1:18" s="188" customFormat="1" x14ac:dyDescent="0.25">
      <c r="A347" s="170"/>
      <c r="B347" s="1501"/>
      <c r="C347" s="316"/>
      <c r="D347" s="316"/>
      <c r="E347" s="316"/>
      <c r="F347" s="548" t="s">
        <v>61</v>
      </c>
      <c r="G347" s="1838">
        <f>$M309*Vic!G74/SUM(Vic!$G74:$I74)</f>
        <v>278290.74365170707</v>
      </c>
      <c r="H347" s="1838">
        <f>$M309*Vic!H74/SUM(Vic!$G74:$I74)</f>
        <v>74244.899735307568</v>
      </c>
      <c r="I347" s="1839">
        <f>$M309*Vic!I74/SUM(Vic!$G74:$I74)</f>
        <v>0</v>
      </c>
      <c r="J347" s="1506" t="str">
        <f t="shared" ref="J347:J352" si="33">IF(SUM(G347:I347)=M309,"Ok","Error")</f>
        <v>Ok</v>
      </c>
      <c r="K347" s="1844">
        <f>$N309*WA!G37/SUM(WA!$G37:$I37)</f>
        <v>81442.06024943119</v>
      </c>
      <c r="L347" s="1845">
        <f>$N309*WA!H37/SUM(WA!$G37:$I37)</f>
        <v>35491.256244321536</v>
      </c>
      <c r="M347" s="1839">
        <f>$N309*WA!I37/SUM(WA!$G37:$I37)</f>
        <v>0</v>
      </c>
      <c r="N347" s="1506" t="str">
        <f>IF(SUM(K347:M347)=N309,"Ok","Error")</f>
        <v>Ok</v>
      </c>
      <c r="O347" s="311"/>
      <c r="P347" s="311"/>
      <c r="Q347" s="311"/>
      <c r="R347" s="311"/>
    </row>
    <row r="348" spans="1:18" s="188" customFormat="1" x14ac:dyDescent="0.25">
      <c r="A348" s="170"/>
      <c r="B348" s="1501"/>
      <c r="C348" s="316"/>
      <c r="D348" s="316"/>
      <c r="E348" s="316"/>
      <c r="F348" s="548" t="s">
        <v>63</v>
      </c>
      <c r="G348" s="1838">
        <f>$M310*Vic!G75/SUM(Vic!$G75:$I75)</f>
        <v>16003.558307219537</v>
      </c>
      <c r="H348" s="1838">
        <f>$M310*Vic!H75/SUM(Vic!$G75:$I75)</f>
        <v>8502.7053790435111</v>
      </c>
      <c r="I348" s="1840">
        <f>$M310*Vic!I75/SUM(Vic!$G75:$I75)</f>
        <v>2087.3279324988989</v>
      </c>
      <c r="J348" s="1506" t="str">
        <f t="shared" si="33"/>
        <v>Ok</v>
      </c>
      <c r="K348" s="1846">
        <f>$N310*WA!G38/SUM(WA!$G38:$I38)</f>
        <v>10741.210497182634</v>
      </c>
      <c r="L348" s="1838">
        <f>$N310*WA!H38/SUM(WA!$G38:$I38)</f>
        <v>1847.2746882426495</v>
      </c>
      <c r="M348" s="1840">
        <f>$N310*WA!I38/SUM(WA!$G38:$I38)</f>
        <v>2133.0564960300221</v>
      </c>
      <c r="N348" s="1506" t="str">
        <f>IF(SUM(K348:M348)=N310,"Ok","Error")</f>
        <v>Ok</v>
      </c>
      <c r="O348" s="311"/>
      <c r="P348" s="311"/>
      <c r="Q348" s="311"/>
      <c r="R348" s="311"/>
    </row>
    <row r="349" spans="1:18" s="188" customFormat="1" x14ac:dyDescent="0.25">
      <c r="A349" s="170"/>
      <c r="B349" s="1501"/>
      <c r="C349" s="316"/>
      <c r="D349" s="316"/>
      <c r="E349" s="316"/>
      <c r="F349" s="548" t="s">
        <v>67</v>
      </c>
      <c r="G349" s="1838">
        <f>$M311*Vic!G76/SUM(Vic!$G76:$I76)</f>
        <v>593.57648695552609</v>
      </c>
      <c r="H349" s="1838">
        <f>$M311*Vic!H76/SUM(Vic!$G76:$I76)</f>
        <v>14446.845917584562</v>
      </c>
      <c r="I349" s="1840">
        <f>$M311*Vic!I76/SUM(Vic!$G76:$I76)</f>
        <v>8346.0220090617895</v>
      </c>
      <c r="J349" s="1506" t="str">
        <f t="shared" si="33"/>
        <v>Ok</v>
      </c>
      <c r="K349" s="1846">
        <f>$N311*WA!G39/SUM(WA!$G39:$I39)</f>
        <v>595.57969230026208</v>
      </c>
      <c r="L349" s="1838">
        <f>$N311*WA!H39/SUM(WA!$G39:$I39)</f>
        <v>5281.4369411192756</v>
      </c>
      <c r="M349" s="1840">
        <f>$N311*WA!I39/SUM(WA!$G39:$I39)</f>
        <v>5854.5593188909115</v>
      </c>
      <c r="N349" s="1506" t="str">
        <f>IF(SUM(K349:M349)=N311,"Ok","Error")</f>
        <v>Ok</v>
      </c>
      <c r="O349" s="311"/>
      <c r="P349" s="311"/>
      <c r="Q349" s="311"/>
      <c r="R349" s="311"/>
    </row>
    <row r="350" spans="1:18" s="188" customFormat="1" x14ac:dyDescent="0.25">
      <c r="A350" s="170"/>
      <c r="B350" s="1501"/>
      <c r="C350" s="316"/>
      <c r="D350" s="316"/>
      <c r="E350" s="316"/>
      <c r="F350" s="548" t="s">
        <v>65</v>
      </c>
      <c r="G350" s="1838">
        <f>$M312*Vic!G77/SUM(Vic!$G77:$I77)</f>
        <v>0</v>
      </c>
      <c r="H350" s="1838">
        <f>$M312*Vic!H77/SUM(Vic!$G77:$I77)</f>
        <v>576.9843192112653</v>
      </c>
      <c r="I350" s="1840">
        <f>$M312*Vic!I77/SUM(Vic!$G77:$I77)</f>
        <v>0</v>
      </c>
      <c r="J350" s="1506" t="str">
        <f t="shared" si="33"/>
        <v>Ok</v>
      </c>
      <c r="K350" s="1846">
        <f>$N312*WA!G40/SUM(WA!$G40:$I40)</f>
        <v>3092.2471855503068</v>
      </c>
      <c r="L350" s="1838">
        <f>$N312*WA!H40/SUM(WA!$G40:$I40)</f>
        <v>0</v>
      </c>
      <c r="M350" s="1840">
        <f>$N312*WA!I40/SUM(WA!$G40:$I40)</f>
        <v>0</v>
      </c>
      <c r="N350" s="1506" t="str">
        <f>IF(ROUND(SUM(K350:M350),-3)=ROUND(N312,-3),"Ok","Error")</f>
        <v>Ok</v>
      </c>
      <c r="O350" s="311"/>
      <c r="P350" s="311"/>
      <c r="Q350" s="311"/>
      <c r="R350" s="311"/>
    </row>
    <row r="351" spans="1:18" s="188" customFormat="1" x14ac:dyDescent="0.25">
      <c r="A351" s="170"/>
      <c r="B351" s="1501"/>
      <c r="C351" s="316"/>
      <c r="D351" s="316"/>
      <c r="E351" s="316"/>
      <c r="F351" s="548" t="s">
        <v>20</v>
      </c>
      <c r="G351" s="1838">
        <f>$M313*Vic!G78/SUM(Vic!$G78:$I78)</f>
        <v>81919.690357350511</v>
      </c>
      <c r="H351" s="1838">
        <f>$M313*Vic!H78/SUM(Vic!$G78:$I78)</f>
        <v>79358.583537739411</v>
      </c>
      <c r="I351" s="1840">
        <f>$M313*Vic!I78/SUM(Vic!$G78:$I78)</f>
        <v>2149.2843434188817</v>
      </c>
      <c r="J351" s="1506" t="str">
        <f t="shared" si="33"/>
        <v>Ok</v>
      </c>
      <c r="K351" s="1846">
        <f>$N313*WA!G41/SUM(WA!$G41:$I41)</f>
        <v>29409.632867850149</v>
      </c>
      <c r="L351" s="1838">
        <f>$N313*WA!H41/SUM(WA!$G41:$I41)</f>
        <v>24875.977406388156</v>
      </c>
      <c r="M351" s="1840">
        <f>$N313*WA!I41/SUM(WA!$G41:$I41)</f>
        <v>11119.124287816072</v>
      </c>
      <c r="N351" s="1506" t="str">
        <f>IF(SUM(K351:M351)=N313,"Ok","Error")</f>
        <v>Ok</v>
      </c>
      <c r="O351" s="311"/>
      <c r="P351" s="311"/>
      <c r="Q351" s="311"/>
      <c r="R351" s="311"/>
    </row>
    <row r="352" spans="1:18" s="188" customFormat="1" x14ac:dyDescent="0.25">
      <c r="A352" s="170"/>
      <c r="B352" s="1501"/>
      <c r="C352" s="316"/>
      <c r="D352" s="316"/>
      <c r="E352" s="316"/>
      <c r="F352" s="548" t="s">
        <v>27</v>
      </c>
      <c r="G352" s="1842">
        <f>$M314*Vic!G82/SUM(Vic!$G82:$I82)</f>
        <v>20188.502608661791</v>
      </c>
      <c r="H352" s="1842">
        <f>$M314*Vic!H82/SUM(Vic!$G82:$I82)</f>
        <v>27297.819321017341</v>
      </c>
      <c r="I352" s="1843">
        <f>$M314*Vic!I82/SUM(Vic!$G82:$I82)</f>
        <v>3474.7677363309081</v>
      </c>
      <c r="J352" s="1506" t="str">
        <f t="shared" si="33"/>
        <v>Ok</v>
      </c>
      <c r="K352" s="1841">
        <f>$N314*WA!G44/SUM(WA!$G44:$I44)</f>
        <v>5626.8430231856173</v>
      </c>
      <c r="L352" s="1842">
        <f>$N314*WA!H44/SUM(WA!$G44:$I44)</f>
        <v>11975.351203700688</v>
      </c>
      <c r="M352" s="1843">
        <f>$N314*WA!I44/SUM(WA!$G44:$I44)</f>
        <v>0</v>
      </c>
      <c r="N352" s="1506" t="str">
        <f>IF(SUM(K352:M352)=N314,"Ok","Error")</f>
        <v>Ok</v>
      </c>
      <c r="O352" s="311"/>
      <c r="P352" s="311"/>
      <c r="Q352" s="311"/>
      <c r="R352" s="311"/>
    </row>
    <row r="353" spans="1:19" x14ac:dyDescent="0.25">
      <c r="A353" s="170"/>
      <c r="B353" s="344"/>
      <c r="C353" s="224"/>
      <c r="D353" s="224"/>
      <c r="E353" s="224"/>
      <c r="F353" s="318"/>
      <c r="G353" s="345"/>
      <c r="H353" s="345"/>
      <c r="I353" s="345"/>
      <c r="J353" s="345"/>
      <c r="K353" s="345"/>
      <c r="L353" s="345"/>
      <c r="M353" s="345"/>
      <c r="N353" s="345"/>
      <c r="O353" s="222"/>
      <c r="P353" s="222"/>
      <c r="Q353" s="222"/>
      <c r="R353" s="222"/>
    </row>
    <row r="354" spans="1:19" x14ac:dyDescent="0.25">
      <c r="A354" s="170"/>
      <c r="B354" s="183"/>
      <c r="F354" s="33"/>
      <c r="G354" s="162"/>
      <c r="H354" s="162"/>
      <c r="I354" s="162"/>
      <c r="J354" s="162"/>
      <c r="K354" s="162"/>
      <c r="L354" s="162"/>
      <c r="M354" s="162"/>
      <c r="N354" s="162"/>
    </row>
    <row r="355" spans="1:19" ht="15.75" x14ac:dyDescent="0.25">
      <c r="A355" s="170"/>
      <c r="B355" s="166" t="s">
        <v>689</v>
      </c>
      <c r="C355" s="167"/>
      <c r="D355" s="167"/>
      <c r="E355" s="167"/>
      <c r="F355" s="167"/>
      <c r="G355" s="167"/>
      <c r="H355" s="167"/>
      <c r="I355" s="167"/>
      <c r="J355" s="167"/>
      <c r="K355" s="167"/>
      <c r="L355" s="167"/>
      <c r="M355" s="167"/>
      <c r="N355" s="167"/>
      <c r="O355" s="167"/>
      <c r="P355" s="167"/>
      <c r="Q355" s="167"/>
      <c r="R355" s="167"/>
      <c r="S355" s="155"/>
    </row>
    <row r="356" spans="1:19" ht="13.5" customHeight="1" x14ac:dyDescent="0.25">
      <c r="A356" s="170"/>
    </row>
    <row r="357" spans="1:19" ht="12.75" customHeight="1" x14ac:dyDescent="0.2">
      <c r="A357" s="170"/>
      <c r="B357" s="1775" t="s">
        <v>720</v>
      </c>
      <c r="C357" s="1776" t="s">
        <v>669</v>
      </c>
      <c r="G357" s="1266" t="s">
        <v>898</v>
      </c>
      <c r="H357" s="2089">
        <v>12.2</v>
      </c>
      <c r="J357" s="1265"/>
      <c r="Q357" s="2097" t="s">
        <v>104</v>
      </c>
      <c r="R357" s="2764" t="s">
        <v>895</v>
      </c>
    </row>
    <row r="358" spans="1:19" ht="13.5" customHeight="1" x14ac:dyDescent="0.25">
      <c r="A358" s="170"/>
      <c r="B358" s="450"/>
      <c r="C358" s="2750" t="s">
        <v>882</v>
      </c>
      <c r="D358" s="7"/>
      <c r="G358" s="1266" t="s">
        <v>899</v>
      </c>
      <c r="H358" s="1267">
        <v>0.3</v>
      </c>
      <c r="Q358" s="451"/>
      <c r="R358" s="2765"/>
    </row>
    <row r="359" spans="1:19" ht="13.5" customHeight="1" x14ac:dyDescent="0.25">
      <c r="A359" s="170"/>
      <c r="B359" s="450"/>
      <c r="C359" s="2766"/>
      <c r="D359" s="7"/>
      <c r="G359" s="1266" t="s">
        <v>901</v>
      </c>
      <c r="H359" s="1268">
        <f>3600*24*365/1000</f>
        <v>31536</v>
      </c>
      <c r="Q359" s="184" t="s">
        <v>100</v>
      </c>
      <c r="R359" s="225" t="s">
        <v>896</v>
      </c>
    </row>
    <row r="360" spans="1:19" ht="13.5" customHeight="1" x14ac:dyDescent="0.25">
      <c r="A360" s="170"/>
      <c r="B360" s="335" t="s">
        <v>341</v>
      </c>
      <c r="C360" s="2731" t="s">
        <v>670</v>
      </c>
      <c r="G360" s="1266" t="s">
        <v>902</v>
      </c>
      <c r="H360" s="1267">
        <v>0.9</v>
      </c>
      <c r="Q360" s="2079" t="s">
        <v>446</v>
      </c>
      <c r="R360" s="2098" t="s">
        <v>897</v>
      </c>
    </row>
    <row r="361" spans="1:19" ht="13.5" customHeight="1" x14ac:dyDescent="0.25">
      <c r="A361" s="170"/>
      <c r="B361" s="450"/>
      <c r="C361" s="2732"/>
      <c r="G361" s="1266" t="s">
        <v>900</v>
      </c>
      <c r="H361" s="1269">
        <f>H359*H360/H358/H357</f>
        <v>7754.7540983606577</v>
      </c>
      <c r="Q361" s="184" t="s">
        <v>352</v>
      </c>
      <c r="R361" s="225" t="s">
        <v>388</v>
      </c>
    </row>
    <row r="362" spans="1:19" ht="13.5" customHeight="1" x14ac:dyDescent="0.25">
      <c r="A362" s="170"/>
      <c r="B362" s="450"/>
      <c r="C362" s="2733"/>
      <c r="I362" s="1268"/>
      <c r="Q362" s="184" t="s">
        <v>99</v>
      </c>
      <c r="R362" s="227">
        <v>42156</v>
      </c>
    </row>
    <row r="363" spans="1:19" ht="38.25" x14ac:dyDescent="0.2">
      <c r="A363" s="170"/>
      <c r="B363" s="165"/>
      <c r="D363" s="7"/>
      <c r="E363" s="7"/>
      <c r="F363" s="23" t="s">
        <v>671</v>
      </c>
      <c r="G363" s="2088" t="s">
        <v>672</v>
      </c>
      <c r="H363" s="2088" t="s">
        <v>673</v>
      </c>
      <c r="I363" s="2088" t="s">
        <v>674</v>
      </c>
      <c r="J363" s="2088" t="s">
        <v>675</v>
      </c>
      <c r="K363" s="2088" t="s">
        <v>682</v>
      </c>
      <c r="L363" s="2088" t="s">
        <v>676</v>
      </c>
      <c r="M363" s="2088" t="s">
        <v>677</v>
      </c>
      <c r="N363" s="2088" t="s">
        <v>683</v>
      </c>
      <c r="O363" s="2088" t="s">
        <v>684</v>
      </c>
      <c r="P363" s="1496"/>
      <c r="Q363" s="1497"/>
    </row>
    <row r="364" spans="1:19" x14ac:dyDescent="0.2">
      <c r="A364" s="170"/>
      <c r="E364" s="7"/>
      <c r="F364" s="581" t="s">
        <v>680</v>
      </c>
      <c r="G364" s="2090" t="s">
        <v>4</v>
      </c>
      <c r="H364" s="2091" t="s">
        <v>679</v>
      </c>
      <c r="I364" s="2092">
        <v>3.9</v>
      </c>
      <c r="J364" s="2092" t="s">
        <v>678</v>
      </c>
      <c r="K364" s="2093">
        <v>1</v>
      </c>
      <c r="L364" s="2094" t="s">
        <v>371</v>
      </c>
      <c r="M364" s="2095" t="s">
        <v>17</v>
      </c>
      <c r="N364" s="2094">
        <f>IF(AND(K364&gt;0,L364&lt;&gt;"Primary production waste"),I364*K364*$H$361,"")</f>
        <v>30243.540983606563</v>
      </c>
      <c r="O364" s="2096" t="s">
        <v>681</v>
      </c>
      <c r="P364" s="545"/>
      <c r="Q364" s="2099" t="s">
        <v>104</v>
      </c>
      <c r="R364" s="2100" t="s">
        <v>685</v>
      </c>
    </row>
    <row r="365" spans="1:19" x14ac:dyDescent="0.2">
      <c r="A365" s="170"/>
      <c r="E365" s="7"/>
      <c r="F365" s="188"/>
      <c r="G365" s="188"/>
      <c r="H365" s="188"/>
      <c r="I365" s="188"/>
      <c r="J365" s="188"/>
      <c r="K365" s="188"/>
      <c r="L365" s="188"/>
      <c r="M365" s="188"/>
      <c r="N365" s="188"/>
      <c r="O365" s="188"/>
      <c r="P365" s="545"/>
      <c r="Q365" s="184" t="s">
        <v>100</v>
      </c>
      <c r="R365" s="225" t="s">
        <v>686</v>
      </c>
    </row>
    <row r="366" spans="1:19" ht="13.5" customHeight="1" x14ac:dyDescent="0.2">
      <c r="A366" s="170"/>
      <c r="F366" s="188"/>
      <c r="G366" s="188"/>
      <c r="H366" s="188"/>
      <c r="I366" s="188"/>
      <c r="J366" s="188"/>
      <c r="K366" s="188"/>
      <c r="L366" s="188"/>
      <c r="M366" s="188"/>
      <c r="N366" s="188"/>
      <c r="O366" s="188"/>
      <c r="P366" s="545"/>
      <c r="Q366" s="2079" t="s">
        <v>446</v>
      </c>
      <c r="R366" s="2723" t="s">
        <v>880</v>
      </c>
    </row>
    <row r="367" spans="1:19" ht="13.5" customHeight="1" x14ac:dyDescent="0.2">
      <c r="A367" s="170"/>
      <c r="C367" s="188"/>
      <c r="D367" s="188"/>
      <c r="F367" s="188"/>
      <c r="G367" s="188"/>
      <c r="H367" s="188"/>
      <c r="I367" s="188"/>
      <c r="J367" s="188"/>
      <c r="K367" s="188"/>
      <c r="L367" s="188"/>
      <c r="M367" s="188"/>
      <c r="N367" s="188"/>
      <c r="O367" s="188"/>
      <c r="P367" s="545"/>
      <c r="Q367" s="450"/>
      <c r="R367" s="2725"/>
    </row>
    <row r="368" spans="1:19" ht="13.5" customHeight="1" x14ac:dyDescent="0.2">
      <c r="A368" s="170"/>
      <c r="C368" s="188"/>
      <c r="D368" s="188"/>
      <c r="F368" s="188"/>
      <c r="G368" s="188"/>
      <c r="H368" s="188"/>
      <c r="I368" s="188"/>
      <c r="J368" s="188"/>
      <c r="K368" s="188"/>
      <c r="L368" s="188"/>
      <c r="M368" s="188"/>
      <c r="N368" s="188"/>
      <c r="O368" s="188"/>
      <c r="P368" s="545"/>
      <c r="Q368" s="450"/>
      <c r="R368" s="2101" t="s">
        <v>687</v>
      </c>
    </row>
    <row r="369" spans="1:19" ht="13.5" customHeight="1" x14ac:dyDescent="0.2">
      <c r="A369" s="170"/>
      <c r="F369" s="188"/>
      <c r="G369" s="188"/>
      <c r="H369" s="188"/>
      <c r="I369" s="188"/>
      <c r="J369" s="188"/>
      <c r="K369" s="188"/>
      <c r="L369" s="188"/>
      <c r="M369" s="188"/>
      <c r="N369" s="188"/>
      <c r="O369" s="188"/>
      <c r="P369" s="545"/>
      <c r="Q369" s="451"/>
      <c r="R369" s="2102" t="s">
        <v>688</v>
      </c>
    </row>
    <row r="370" spans="1:19" ht="13.5" customHeight="1" x14ac:dyDescent="0.2">
      <c r="A370" s="170"/>
      <c r="F370" s="188"/>
      <c r="G370" s="188"/>
      <c r="H370" s="188"/>
      <c r="I370" s="188"/>
      <c r="J370" s="188"/>
      <c r="K370" s="188"/>
      <c r="L370" s="188"/>
      <c r="M370" s="188"/>
      <c r="N370" s="188"/>
      <c r="O370" s="188"/>
      <c r="P370" s="545"/>
      <c r="Q370" s="184" t="s">
        <v>352</v>
      </c>
      <c r="R370" s="225" t="s">
        <v>388</v>
      </c>
    </row>
    <row r="371" spans="1:19" ht="13.5" customHeight="1" x14ac:dyDescent="0.2">
      <c r="A371" s="170"/>
      <c r="F371" s="188"/>
      <c r="G371" s="188"/>
      <c r="H371" s="188"/>
      <c r="I371" s="188"/>
      <c r="J371" s="188"/>
      <c r="K371" s="188"/>
      <c r="L371" s="188"/>
      <c r="M371" s="188"/>
      <c r="N371" s="188"/>
      <c r="O371" s="188"/>
      <c r="P371" s="545"/>
      <c r="Q371" s="184" t="s">
        <v>99</v>
      </c>
      <c r="R371" s="227"/>
    </row>
    <row r="372" spans="1:19" ht="13.5" customHeight="1" x14ac:dyDescent="0.2">
      <c r="A372" s="170"/>
      <c r="F372" s="188"/>
      <c r="G372" s="188"/>
      <c r="H372" s="188"/>
      <c r="I372" s="188"/>
      <c r="J372" s="188"/>
      <c r="K372" s="188"/>
      <c r="L372" s="188"/>
      <c r="M372" s="188"/>
      <c r="N372" s="188"/>
      <c r="O372" s="188"/>
      <c r="P372" s="545"/>
    </row>
    <row r="373" spans="1:19" ht="15.75" x14ac:dyDescent="0.25">
      <c r="A373" s="170"/>
      <c r="B373" s="166" t="s">
        <v>464</v>
      </c>
      <c r="C373" s="167"/>
      <c r="D373" s="167"/>
      <c r="E373" s="167"/>
      <c r="F373" s="167"/>
      <c r="G373" s="167"/>
      <c r="H373" s="167"/>
      <c r="I373" s="167"/>
      <c r="J373" s="167"/>
      <c r="K373" s="167"/>
      <c r="L373" s="167"/>
      <c r="M373" s="167"/>
      <c r="N373" s="167"/>
      <c r="O373" s="167"/>
      <c r="P373" s="167"/>
      <c r="Q373" s="167"/>
      <c r="R373" s="167"/>
      <c r="S373" s="155"/>
    </row>
    <row r="374" spans="1:19" s="188" customFormat="1" x14ac:dyDescent="0.25">
      <c r="A374" s="170"/>
      <c r="B374" s="191"/>
      <c r="C374" s="199"/>
      <c r="D374" s="199"/>
      <c r="E374" s="199"/>
      <c r="F374" s="191"/>
      <c r="G374" s="199"/>
      <c r="H374" s="199"/>
    </row>
    <row r="375" spans="1:19" s="188" customFormat="1" x14ac:dyDescent="0.2">
      <c r="A375" s="170"/>
      <c r="B375" s="1118" t="s">
        <v>125</v>
      </c>
      <c r="C375" s="2754" t="s">
        <v>1089</v>
      </c>
      <c r="D375" s="199"/>
      <c r="E375" s="199"/>
      <c r="F375" s="1733" t="s">
        <v>1084</v>
      </c>
      <c r="G375" s="1886">
        <v>310000</v>
      </c>
      <c r="H375" s="199"/>
      <c r="Q375" s="184" t="s">
        <v>104</v>
      </c>
      <c r="R375" s="225" t="s">
        <v>1090</v>
      </c>
    </row>
    <row r="376" spans="1:19" s="188" customFormat="1" x14ac:dyDescent="0.2">
      <c r="A376" s="170"/>
      <c r="B376" s="1777"/>
      <c r="C376" s="2763"/>
      <c r="D376" s="199"/>
      <c r="E376" s="199"/>
      <c r="F376" s="1733" t="s">
        <v>1085</v>
      </c>
      <c r="G376" s="1887">
        <v>0.21</v>
      </c>
      <c r="Q376" s="184" t="s">
        <v>100</v>
      </c>
      <c r="R376" s="225" t="s">
        <v>874</v>
      </c>
    </row>
    <row r="377" spans="1:19" s="188" customFormat="1" ht="12.75" customHeight="1" x14ac:dyDescent="0.25">
      <c r="A377" s="170"/>
      <c r="B377" s="2726" t="s">
        <v>323</v>
      </c>
      <c r="C377" s="2731" t="s">
        <v>1101</v>
      </c>
      <c r="D377" s="199"/>
      <c r="E377" s="199"/>
      <c r="F377" s="191"/>
      <c r="G377" s="199"/>
      <c r="H377" s="199"/>
      <c r="Q377" s="1730" t="s">
        <v>10</v>
      </c>
      <c r="R377" s="2723" t="s">
        <v>1083</v>
      </c>
    </row>
    <row r="378" spans="1:19" s="188" customFormat="1" x14ac:dyDescent="0.2">
      <c r="A378" s="170"/>
      <c r="B378" s="2728"/>
      <c r="C378" s="2733"/>
      <c r="D378" s="199"/>
      <c r="E378" s="199"/>
      <c r="F378" s="1734"/>
      <c r="G378" s="1735" t="s">
        <v>3</v>
      </c>
      <c r="H378" s="1735" t="s">
        <v>4</v>
      </c>
      <c r="I378" s="1735" t="s">
        <v>5</v>
      </c>
      <c r="J378" s="1735" t="s">
        <v>6</v>
      </c>
      <c r="K378" s="1735" t="s">
        <v>7</v>
      </c>
      <c r="L378" s="1735" t="s">
        <v>8</v>
      </c>
      <c r="M378" s="1735" t="s">
        <v>9</v>
      </c>
      <c r="N378" s="1735" t="s">
        <v>374</v>
      </c>
      <c r="Q378" s="452"/>
      <c r="R378" s="2724"/>
    </row>
    <row r="379" spans="1:19" s="188" customFormat="1" x14ac:dyDescent="0.2">
      <c r="A379" s="170"/>
      <c r="B379" s="191"/>
      <c r="C379" s="199"/>
      <c r="D379" s="199"/>
      <c r="E379" s="199"/>
      <c r="F379" s="1733" t="s">
        <v>1086</v>
      </c>
      <c r="G379" s="1880">
        <v>0.05</v>
      </c>
      <c r="H379" s="1881">
        <v>0.23</v>
      </c>
      <c r="I379" s="1881">
        <v>0.01</v>
      </c>
      <c r="J379" s="1881">
        <v>0.2</v>
      </c>
      <c r="K379" s="1881">
        <v>0.09</v>
      </c>
      <c r="L379" s="1881">
        <v>0.05</v>
      </c>
      <c r="M379" s="1881">
        <v>0.28999999999999998</v>
      </c>
      <c r="N379" s="1882">
        <v>0.08</v>
      </c>
      <c r="Q379" s="872"/>
      <c r="R379" s="2724"/>
    </row>
    <row r="380" spans="1:19" s="188" customFormat="1" x14ac:dyDescent="0.2">
      <c r="A380" s="170"/>
      <c r="B380" s="191"/>
      <c r="C380" s="199"/>
      <c r="D380" s="199"/>
      <c r="E380" s="199"/>
      <c r="F380" s="1735" t="s">
        <v>1087</v>
      </c>
      <c r="G380" s="1883">
        <f>G379*$G375/$G376</f>
        <v>73809.523809523816</v>
      </c>
      <c r="H380" s="1884">
        <f t="shared" ref="H380:N380" si="34">H379*$G375/$G376</f>
        <v>339523.80952380953</v>
      </c>
      <c r="I380" s="1884">
        <f t="shared" si="34"/>
        <v>14761.904761904763</v>
      </c>
      <c r="J380" s="1884">
        <f t="shared" si="34"/>
        <v>295238.09523809527</v>
      </c>
      <c r="K380" s="1884">
        <f t="shared" si="34"/>
        <v>132857.14285714287</v>
      </c>
      <c r="L380" s="1884">
        <f t="shared" si="34"/>
        <v>73809.523809523816</v>
      </c>
      <c r="M380" s="1884">
        <f t="shared" si="34"/>
        <v>428095.23809523811</v>
      </c>
      <c r="N380" s="1885">
        <f t="shared" si="34"/>
        <v>118095.23809523811</v>
      </c>
      <c r="Q380" s="226"/>
      <c r="R380" s="2725"/>
    </row>
    <row r="381" spans="1:19" s="188" customFormat="1" x14ac:dyDescent="0.25">
      <c r="A381" s="170"/>
      <c r="B381" s="191"/>
      <c r="C381" s="199"/>
      <c r="D381" s="199"/>
      <c r="E381" s="199"/>
      <c r="F381" s="191"/>
      <c r="G381" s="199"/>
      <c r="H381" s="199"/>
      <c r="Q381" s="184" t="s">
        <v>352</v>
      </c>
      <c r="R381" s="225" t="s">
        <v>388</v>
      </c>
    </row>
    <row r="382" spans="1:19" s="188" customFormat="1" x14ac:dyDescent="0.25">
      <c r="A382" s="170"/>
      <c r="B382" s="191"/>
      <c r="C382" s="199"/>
      <c r="D382" s="199"/>
      <c r="E382" s="199"/>
      <c r="F382" s="191"/>
      <c r="G382" s="199"/>
      <c r="H382" s="199"/>
      <c r="Q382" s="184" t="s">
        <v>99</v>
      </c>
      <c r="R382" s="227">
        <v>42619</v>
      </c>
    </row>
    <row r="383" spans="1:19" s="188" customFormat="1" x14ac:dyDescent="0.25">
      <c r="A383" s="170"/>
      <c r="B383" s="2726" t="s">
        <v>323</v>
      </c>
      <c r="C383" s="2731" t="s">
        <v>1100</v>
      </c>
      <c r="F383" s="122" t="s">
        <v>1088</v>
      </c>
      <c r="G383" s="1735" t="s">
        <v>3</v>
      </c>
      <c r="H383" s="1735" t="s">
        <v>4</v>
      </c>
      <c r="I383" s="1735" t="s">
        <v>5</v>
      </c>
      <c r="J383" s="1735" t="s">
        <v>6</v>
      </c>
      <c r="K383" s="1735" t="s">
        <v>7</v>
      </c>
      <c r="L383" s="1735" t="s">
        <v>8</v>
      </c>
      <c r="M383" s="1735" t="s">
        <v>9</v>
      </c>
      <c r="N383" s="1735" t="s">
        <v>374</v>
      </c>
    </row>
    <row r="384" spans="1:19" s="188" customFormat="1" x14ac:dyDescent="0.25">
      <c r="A384" s="170"/>
      <c r="B384" s="2728"/>
      <c r="C384" s="2733"/>
      <c r="D384" s="1736"/>
      <c r="E384" s="199"/>
      <c r="F384" s="556" t="s">
        <v>417</v>
      </c>
      <c r="G384" s="1868">
        <v>0.69</v>
      </c>
      <c r="H384" s="1869">
        <v>0.69</v>
      </c>
      <c r="I384" s="1870">
        <v>0.63</v>
      </c>
      <c r="J384" s="1869">
        <v>0.98</v>
      </c>
      <c r="K384" s="1870">
        <v>1</v>
      </c>
      <c r="L384" s="1870">
        <v>0.93</v>
      </c>
      <c r="M384" s="1870">
        <v>0.22</v>
      </c>
      <c r="N384" s="1871">
        <v>0.63</v>
      </c>
      <c r="Q384" s="184" t="s">
        <v>104</v>
      </c>
      <c r="R384" s="225" t="s">
        <v>1091</v>
      </c>
    </row>
    <row r="385" spans="1:18" s="188" customFormat="1" x14ac:dyDescent="0.25">
      <c r="A385" s="170"/>
      <c r="D385" s="199"/>
      <c r="E385" s="199"/>
      <c r="F385" s="556" t="s">
        <v>873</v>
      </c>
      <c r="G385" s="1872">
        <v>0.2</v>
      </c>
      <c r="H385" s="1873">
        <v>0.2</v>
      </c>
      <c r="I385" s="1874">
        <v>0.14000000000000001</v>
      </c>
      <c r="J385" s="1873"/>
      <c r="K385" s="1874"/>
      <c r="L385" s="1874"/>
      <c r="M385" s="1874">
        <v>0.02</v>
      </c>
      <c r="N385" s="1875">
        <v>0.14000000000000001</v>
      </c>
      <c r="Q385" s="184" t="s">
        <v>100</v>
      </c>
      <c r="R385" s="225" t="s">
        <v>101</v>
      </c>
    </row>
    <row r="386" spans="1:18" s="188" customFormat="1" x14ac:dyDescent="0.25">
      <c r="A386" s="170"/>
      <c r="B386" s="191"/>
      <c r="C386" s="199"/>
      <c r="D386" s="199"/>
      <c r="E386" s="199"/>
      <c r="F386" s="556" t="s">
        <v>872</v>
      </c>
      <c r="G386" s="1872">
        <v>0.04</v>
      </c>
      <c r="H386" s="1873">
        <v>0.04</v>
      </c>
      <c r="I386" s="1874"/>
      <c r="J386" s="1873"/>
      <c r="K386" s="1874"/>
      <c r="L386" s="1874"/>
      <c r="M386" s="1874">
        <v>0.49</v>
      </c>
      <c r="N386" s="1875"/>
      <c r="Q386" s="1730" t="s">
        <v>10</v>
      </c>
      <c r="R386" s="2723" t="s">
        <v>1083</v>
      </c>
    </row>
    <row r="387" spans="1:18" s="188" customFormat="1" x14ac:dyDescent="0.25">
      <c r="A387" s="170"/>
      <c r="D387" s="199"/>
      <c r="E387" s="199"/>
      <c r="F387" s="556" t="s">
        <v>419</v>
      </c>
      <c r="G387" s="1872">
        <v>0.02</v>
      </c>
      <c r="H387" s="1873">
        <v>0.02</v>
      </c>
      <c r="I387" s="1874">
        <v>0.09</v>
      </c>
      <c r="J387" s="1873">
        <v>0.02</v>
      </c>
      <c r="K387" s="1874"/>
      <c r="L387" s="1874">
        <v>0.01</v>
      </c>
      <c r="M387" s="1874"/>
      <c r="N387" s="1875">
        <v>0.09</v>
      </c>
      <c r="Q387" s="452"/>
      <c r="R387" s="2724"/>
    </row>
    <row r="388" spans="1:18" s="188" customFormat="1" x14ac:dyDescent="0.25">
      <c r="A388" s="170"/>
      <c r="D388" s="199"/>
      <c r="E388" s="199"/>
      <c r="F388" s="556" t="s">
        <v>871</v>
      </c>
      <c r="G388" s="1872">
        <v>0.03</v>
      </c>
      <c r="H388" s="1873">
        <v>0.03</v>
      </c>
      <c r="I388" s="1874"/>
      <c r="J388" s="1874"/>
      <c r="K388" s="1874"/>
      <c r="L388" s="1874"/>
      <c r="M388" s="1874"/>
      <c r="N388" s="1875"/>
      <c r="Q388" s="872"/>
      <c r="R388" s="2724"/>
    </row>
    <row r="389" spans="1:18" s="188" customFormat="1" x14ac:dyDescent="0.25">
      <c r="A389" s="170"/>
      <c r="B389" s="191"/>
      <c r="C389" s="199"/>
      <c r="D389" s="199"/>
      <c r="E389" s="199"/>
      <c r="F389" s="556" t="s">
        <v>420</v>
      </c>
      <c r="G389" s="1872">
        <v>0.02</v>
      </c>
      <c r="H389" s="1873">
        <v>0.02</v>
      </c>
      <c r="I389" s="1874">
        <v>0.14000000000000001</v>
      </c>
      <c r="J389" s="1874"/>
      <c r="K389" s="1874"/>
      <c r="L389" s="1874">
        <v>0.01</v>
      </c>
      <c r="M389" s="1874">
        <v>0.24</v>
      </c>
      <c r="N389" s="1875">
        <v>0.14000000000000001</v>
      </c>
      <c r="Q389" s="226"/>
      <c r="R389" s="2725"/>
    </row>
    <row r="390" spans="1:18" s="188" customFormat="1" x14ac:dyDescent="0.25">
      <c r="A390" s="170"/>
      <c r="B390" s="191"/>
      <c r="C390" s="199"/>
      <c r="D390" s="199"/>
      <c r="E390" s="199"/>
      <c r="F390" s="556" t="s">
        <v>421</v>
      </c>
      <c r="G390" s="1872"/>
      <c r="H390" s="1873"/>
      <c r="I390" s="1874"/>
      <c r="J390" s="1874"/>
      <c r="K390" s="1874"/>
      <c r="L390" s="1874"/>
      <c r="M390" s="1874"/>
      <c r="N390" s="1875"/>
      <c r="Q390" s="184" t="s">
        <v>352</v>
      </c>
      <c r="R390" s="225" t="s">
        <v>388</v>
      </c>
    </row>
    <row r="391" spans="1:18" s="188" customFormat="1" x14ac:dyDescent="0.25">
      <c r="A391" s="170"/>
      <c r="B391" s="191"/>
      <c r="C391" s="199"/>
      <c r="D391" s="199"/>
      <c r="E391" s="199"/>
      <c r="F391" s="556" t="s">
        <v>27</v>
      </c>
      <c r="G391" s="1876">
        <v>0</v>
      </c>
      <c r="H391" s="1877">
        <v>0</v>
      </c>
      <c r="I391" s="1878"/>
      <c r="J391" s="1878"/>
      <c r="K391" s="1878"/>
      <c r="L391" s="1878">
        <v>0.05</v>
      </c>
      <c r="M391" s="1878">
        <v>0.03</v>
      </c>
      <c r="N391" s="1879"/>
      <c r="Q391" s="184" t="s">
        <v>99</v>
      </c>
      <c r="R391" s="227">
        <v>42619</v>
      </c>
    </row>
    <row r="392" spans="1:18" s="188" customFormat="1" x14ac:dyDescent="0.25">
      <c r="A392" s="170"/>
      <c r="B392" s="191"/>
      <c r="C392" s="199"/>
      <c r="D392" s="199"/>
      <c r="E392" s="199"/>
      <c r="F392" s="191"/>
      <c r="G392" s="199"/>
      <c r="H392" s="199"/>
    </row>
    <row r="393" spans="1:18" s="188" customFormat="1" x14ac:dyDescent="0.25">
      <c r="A393" s="353"/>
      <c r="B393" s="314"/>
      <c r="C393" s="316"/>
      <c r="D393" s="316"/>
      <c r="E393" s="316"/>
      <c r="F393" s="314"/>
      <c r="G393" s="316"/>
      <c r="H393" s="316"/>
      <c r="I393" s="311"/>
      <c r="J393" s="311"/>
      <c r="K393" s="311"/>
      <c r="L393" s="311"/>
      <c r="M393" s="311"/>
      <c r="N393" s="311"/>
      <c r="O393" s="311"/>
      <c r="P393" s="311"/>
      <c r="Q393" s="311"/>
      <c r="R393" s="311"/>
    </row>
    <row r="394" spans="1:18" s="188" customFormat="1" x14ac:dyDescent="0.25">
      <c r="A394" s="353"/>
      <c r="B394" s="1729" t="s">
        <v>126</v>
      </c>
      <c r="C394" s="2718" t="s">
        <v>1094</v>
      </c>
      <c r="D394" s="316"/>
      <c r="E394" s="316"/>
      <c r="F394" s="1748" t="s">
        <v>1098</v>
      </c>
      <c r="G394" s="1746" t="s">
        <v>3</v>
      </c>
      <c r="H394" s="1746" t="s">
        <v>4</v>
      </c>
      <c r="I394" s="1746" t="s">
        <v>5</v>
      </c>
      <c r="J394" s="1746" t="s">
        <v>6</v>
      </c>
      <c r="K394" s="1746" t="s">
        <v>7</v>
      </c>
      <c r="L394" s="1746" t="s">
        <v>8</v>
      </c>
      <c r="M394" s="1746" t="s">
        <v>9</v>
      </c>
      <c r="N394" s="1746" t="s">
        <v>374</v>
      </c>
      <c r="O394" s="311"/>
      <c r="P394" s="311"/>
      <c r="Q394" s="113" t="s">
        <v>100</v>
      </c>
      <c r="R394" s="37" t="s">
        <v>1092</v>
      </c>
    </row>
    <row r="395" spans="1:18" s="188" customFormat="1" ht="12.75" customHeight="1" x14ac:dyDescent="0.25">
      <c r="A395" s="353"/>
      <c r="B395" s="221"/>
      <c r="C395" s="2774"/>
      <c r="D395" s="316"/>
      <c r="E395" s="316"/>
      <c r="F395" s="558" t="s">
        <v>417</v>
      </c>
      <c r="G395" s="1737">
        <f>G384*G$380</f>
        <v>50928.571428571428</v>
      </c>
      <c r="H395" s="1738">
        <f t="shared" ref="H395:N395" si="35">H384*H$380</f>
        <v>234271.42857142855</v>
      </c>
      <c r="I395" s="1738">
        <f t="shared" si="35"/>
        <v>9300.0000000000018</v>
      </c>
      <c r="J395" s="1738">
        <f t="shared" si="35"/>
        <v>289333.33333333337</v>
      </c>
      <c r="K395" s="1738">
        <f t="shared" si="35"/>
        <v>132857.14285714287</v>
      </c>
      <c r="L395" s="1738">
        <f t="shared" si="35"/>
        <v>68642.857142857159</v>
      </c>
      <c r="M395" s="1738">
        <f t="shared" si="35"/>
        <v>94180.952380952382</v>
      </c>
      <c r="N395" s="1739">
        <f t="shared" si="35"/>
        <v>74400.000000000015</v>
      </c>
      <c r="O395" s="311"/>
      <c r="P395" s="311"/>
      <c r="Q395" s="311"/>
      <c r="R395" s="311"/>
    </row>
    <row r="396" spans="1:18" s="188" customFormat="1" x14ac:dyDescent="0.25">
      <c r="A396" s="353"/>
      <c r="B396" s="2592" t="s">
        <v>323</v>
      </c>
      <c r="C396" s="2596" t="s">
        <v>875</v>
      </c>
      <c r="D396" s="316"/>
      <c r="E396" s="316"/>
      <c r="F396" s="558" t="s">
        <v>873</v>
      </c>
      <c r="G396" s="1740">
        <f t="shared" ref="G396:N402" si="36">G385*G$380</f>
        <v>14761.904761904763</v>
      </c>
      <c r="H396" s="1741">
        <f t="shared" si="36"/>
        <v>67904.761904761908</v>
      </c>
      <c r="I396" s="1741">
        <f t="shared" si="36"/>
        <v>2066.666666666667</v>
      </c>
      <c r="J396" s="1741">
        <f t="shared" si="36"/>
        <v>0</v>
      </c>
      <c r="K396" s="1741">
        <f t="shared" si="36"/>
        <v>0</v>
      </c>
      <c r="L396" s="1741">
        <f t="shared" si="36"/>
        <v>0</v>
      </c>
      <c r="M396" s="1741">
        <f t="shared" si="36"/>
        <v>8561.9047619047615</v>
      </c>
      <c r="N396" s="1742">
        <f t="shared" si="36"/>
        <v>16533.333333333336</v>
      </c>
      <c r="O396" s="311"/>
      <c r="P396" s="311"/>
      <c r="Q396" s="311"/>
      <c r="R396" s="311"/>
    </row>
    <row r="397" spans="1:18" s="188" customFormat="1" x14ac:dyDescent="0.25">
      <c r="A397" s="353"/>
      <c r="B397" s="2593"/>
      <c r="C397" s="2597"/>
      <c r="D397" s="316"/>
      <c r="E397" s="316"/>
      <c r="F397" s="558" t="s">
        <v>872</v>
      </c>
      <c r="G397" s="1740">
        <f t="shared" si="36"/>
        <v>2952.3809523809527</v>
      </c>
      <c r="H397" s="1741">
        <f t="shared" si="36"/>
        <v>13580.952380952382</v>
      </c>
      <c r="I397" s="1741">
        <f t="shared" si="36"/>
        <v>0</v>
      </c>
      <c r="J397" s="1741">
        <f t="shared" si="36"/>
        <v>0</v>
      </c>
      <c r="K397" s="1741">
        <f t="shared" si="36"/>
        <v>0</v>
      </c>
      <c r="L397" s="1741">
        <f t="shared" si="36"/>
        <v>0</v>
      </c>
      <c r="M397" s="1741">
        <f t="shared" si="36"/>
        <v>209766.66666666666</v>
      </c>
      <c r="N397" s="1742">
        <f t="shared" si="36"/>
        <v>0</v>
      </c>
      <c r="O397" s="311"/>
      <c r="P397" s="311"/>
      <c r="Q397" s="311"/>
      <c r="R397" s="311"/>
    </row>
    <row r="398" spans="1:18" s="188" customFormat="1" x14ac:dyDescent="0.25">
      <c r="A398" s="353"/>
      <c r="B398" s="236"/>
      <c r="C398" s="2596" t="s">
        <v>905</v>
      </c>
      <c r="D398" s="316"/>
      <c r="E398" s="316"/>
      <c r="F398" s="558" t="s">
        <v>419</v>
      </c>
      <c r="G398" s="1740">
        <f t="shared" si="36"/>
        <v>1476.1904761904764</v>
      </c>
      <c r="H398" s="1741">
        <f t="shared" si="36"/>
        <v>6790.4761904761908</v>
      </c>
      <c r="I398" s="1741">
        <f t="shared" si="36"/>
        <v>1328.5714285714287</v>
      </c>
      <c r="J398" s="1741">
        <f t="shared" si="36"/>
        <v>5904.7619047619055</v>
      </c>
      <c r="K398" s="1741">
        <f t="shared" si="36"/>
        <v>0</v>
      </c>
      <c r="L398" s="1741">
        <f t="shared" si="36"/>
        <v>738.09523809523819</v>
      </c>
      <c r="M398" s="1741">
        <f t="shared" si="36"/>
        <v>0</v>
      </c>
      <c r="N398" s="1742">
        <f t="shared" si="36"/>
        <v>10628.571428571429</v>
      </c>
      <c r="O398" s="311"/>
      <c r="P398" s="311"/>
      <c r="Q398" s="311"/>
      <c r="R398" s="311"/>
    </row>
    <row r="399" spans="1:18" s="188" customFormat="1" x14ac:dyDescent="0.25">
      <c r="A399" s="353"/>
      <c r="B399" s="236"/>
      <c r="C399" s="2597"/>
      <c r="D399" s="316"/>
      <c r="E399" s="316"/>
      <c r="F399" s="558" t="s">
        <v>871</v>
      </c>
      <c r="G399" s="1740">
        <f t="shared" si="36"/>
        <v>2214.2857142857142</v>
      </c>
      <c r="H399" s="1741">
        <f t="shared" si="36"/>
        <v>10185.714285714286</v>
      </c>
      <c r="I399" s="1741">
        <f t="shared" si="36"/>
        <v>0</v>
      </c>
      <c r="J399" s="1741">
        <f t="shared" si="36"/>
        <v>0</v>
      </c>
      <c r="K399" s="1741">
        <f t="shared" si="36"/>
        <v>0</v>
      </c>
      <c r="L399" s="1741">
        <f t="shared" si="36"/>
        <v>0</v>
      </c>
      <c r="M399" s="1741">
        <f t="shared" si="36"/>
        <v>0</v>
      </c>
      <c r="N399" s="1742">
        <f t="shared" si="36"/>
        <v>0</v>
      </c>
      <c r="O399" s="311"/>
      <c r="P399" s="311"/>
      <c r="Q399" s="311"/>
      <c r="R399" s="311"/>
    </row>
    <row r="400" spans="1:18" s="188" customFormat="1" x14ac:dyDescent="0.25">
      <c r="A400" s="353"/>
      <c r="B400" s="2593"/>
      <c r="C400" s="2596" t="s">
        <v>423</v>
      </c>
      <c r="D400" s="316"/>
      <c r="E400" s="316"/>
      <c r="F400" s="558" t="s">
        <v>420</v>
      </c>
      <c r="G400" s="1740">
        <f t="shared" si="36"/>
        <v>1476.1904761904764</v>
      </c>
      <c r="H400" s="1741">
        <f t="shared" si="36"/>
        <v>6790.4761904761908</v>
      </c>
      <c r="I400" s="1741">
        <f t="shared" si="36"/>
        <v>2066.666666666667</v>
      </c>
      <c r="J400" s="1741">
        <f t="shared" si="36"/>
        <v>0</v>
      </c>
      <c r="K400" s="1741">
        <f t="shared" si="36"/>
        <v>0</v>
      </c>
      <c r="L400" s="1741">
        <f t="shared" si="36"/>
        <v>738.09523809523819</v>
      </c>
      <c r="M400" s="1741">
        <f t="shared" si="36"/>
        <v>102742.85714285714</v>
      </c>
      <c r="N400" s="1742">
        <f t="shared" si="36"/>
        <v>16533.333333333336</v>
      </c>
      <c r="O400" s="311"/>
      <c r="P400" s="311"/>
      <c r="Q400" s="311"/>
      <c r="R400" s="311"/>
    </row>
    <row r="401" spans="1:18" s="188" customFormat="1" x14ac:dyDescent="0.25">
      <c r="A401" s="353"/>
      <c r="B401" s="2594"/>
      <c r="C401" s="2630"/>
      <c r="D401" s="316"/>
      <c r="E401" s="316"/>
      <c r="F401" s="558" t="s">
        <v>421</v>
      </c>
      <c r="G401" s="1740">
        <f t="shared" si="36"/>
        <v>0</v>
      </c>
      <c r="H401" s="1741">
        <f t="shared" si="36"/>
        <v>0</v>
      </c>
      <c r="I401" s="1741">
        <f t="shared" si="36"/>
        <v>0</v>
      </c>
      <c r="J401" s="1741">
        <f t="shared" si="36"/>
        <v>0</v>
      </c>
      <c r="K401" s="1741">
        <f t="shared" si="36"/>
        <v>0</v>
      </c>
      <c r="L401" s="1741">
        <f t="shared" si="36"/>
        <v>0</v>
      </c>
      <c r="M401" s="1741">
        <f t="shared" si="36"/>
        <v>0</v>
      </c>
      <c r="N401" s="1742">
        <f t="shared" si="36"/>
        <v>0</v>
      </c>
      <c r="O401" s="311"/>
      <c r="P401" s="311"/>
      <c r="Q401" s="311"/>
      <c r="R401" s="311"/>
    </row>
    <row r="402" spans="1:18" s="188" customFormat="1" x14ac:dyDescent="0.25">
      <c r="A402" s="353"/>
      <c r="B402" s="1727" t="s">
        <v>324</v>
      </c>
      <c r="C402" s="200"/>
      <c r="D402" s="316"/>
      <c r="E402" s="316"/>
      <c r="F402" s="558" t="s">
        <v>27</v>
      </c>
      <c r="G402" s="1743">
        <f t="shared" si="36"/>
        <v>0</v>
      </c>
      <c r="H402" s="1744">
        <f t="shared" si="36"/>
        <v>0</v>
      </c>
      <c r="I402" s="1744">
        <f t="shared" si="36"/>
        <v>0</v>
      </c>
      <c r="J402" s="1744">
        <f t="shared" si="36"/>
        <v>0</v>
      </c>
      <c r="K402" s="1744">
        <f t="shared" si="36"/>
        <v>0</v>
      </c>
      <c r="L402" s="1744">
        <f t="shared" si="36"/>
        <v>3690.4761904761908</v>
      </c>
      <c r="M402" s="1744">
        <f t="shared" si="36"/>
        <v>12842.857142857143</v>
      </c>
      <c r="N402" s="1745">
        <f t="shared" si="36"/>
        <v>0</v>
      </c>
      <c r="O402" s="311"/>
      <c r="P402" s="311"/>
      <c r="Q402" s="311"/>
      <c r="R402" s="311"/>
    </row>
    <row r="403" spans="1:18" s="188" customFormat="1" x14ac:dyDescent="0.25">
      <c r="A403" s="353"/>
      <c r="B403" s="67" t="s">
        <v>424</v>
      </c>
      <c r="C403" s="69" t="s">
        <v>1095</v>
      </c>
      <c r="D403" s="316"/>
      <c r="E403" s="316"/>
      <c r="F403" s="314"/>
      <c r="G403" s="316"/>
      <c r="H403" s="316"/>
      <c r="I403" s="311"/>
      <c r="J403" s="311"/>
      <c r="K403" s="311"/>
      <c r="L403" s="311"/>
      <c r="M403" s="311"/>
      <c r="N403" s="311"/>
      <c r="O403" s="311"/>
      <c r="P403" s="311"/>
      <c r="Q403" s="311"/>
      <c r="R403" s="311"/>
    </row>
    <row r="404" spans="1:18" s="188" customFormat="1" x14ac:dyDescent="0.25">
      <c r="A404" s="353"/>
      <c r="B404" s="1101" t="str">
        <f t="shared" ref="B404:B411" si="37">F395</f>
        <v>Agriculture</v>
      </c>
      <c r="C404" s="1105" t="s">
        <v>416</v>
      </c>
      <c r="D404" s="316"/>
      <c r="E404" s="316"/>
      <c r="F404" s="1524" t="s">
        <v>1093</v>
      </c>
      <c r="G404" s="1847">
        <v>1</v>
      </c>
      <c r="H404" s="1848">
        <v>1</v>
      </c>
      <c r="I404" s="1848">
        <v>1</v>
      </c>
      <c r="J404" s="1848">
        <v>1</v>
      </c>
      <c r="K404" s="1848">
        <v>1</v>
      </c>
      <c r="L404" s="1848">
        <v>1</v>
      </c>
      <c r="M404" s="1848">
        <v>1</v>
      </c>
      <c r="N404" s="1849">
        <v>1</v>
      </c>
      <c r="O404" s="311"/>
      <c r="P404" s="311"/>
      <c r="Q404" s="311"/>
      <c r="R404" s="311"/>
    </row>
    <row r="405" spans="1:18" s="188" customFormat="1" x14ac:dyDescent="0.25">
      <c r="A405" s="353"/>
      <c r="B405" s="1102" t="str">
        <f t="shared" si="37"/>
        <v>Landscaping (compost)</v>
      </c>
      <c r="C405" s="1106" t="s">
        <v>416</v>
      </c>
      <c r="D405" s="316"/>
      <c r="E405" s="316"/>
      <c r="F405" s="314"/>
      <c r="G405" s="316"/>
      <c r="H405" s="316"/>
      <c r="I405" s="311"/>
      <c r="J405" s="311"/>
      <c r="K405" s="311"/>
      <c r="L405" s="311"/>
      <c r="M405" s="311"/>
      <c r="N405" s="311"/>
      <c r="O405" s="311"/>
      <c r="P405" s="311"/>
      <c r="Q405" s="311"/>
      <c r="R405" s="311"/>
    </row>
    <row r="406" spans="1:18" s="188" customFormat="1" x14ac:dyDescent="0.25">
      <c r="A406" s="353"/>
      <c r="B406" s="1102" t="str">
        <f t="shared" si="37"/>
        <v>Land rehabilitation</v>
      </c>
      <c r="C406" s="1106" t="s">
        <v>416</v>
      </c>
      <c r="D406" s="316"/>
      <c r="E406" s="316"/>
      <c r="F406" s="1753" t="s">
        <v>1096</v>
      </c>
      <c r="G406" s="311"/>
      <c r="H406" s="311"/>
      <c r="I406" s="311"/>
      <c r="J406" s="311"/>
      <c r="K406" s="311"/>
      <c r="L406" s="311"/>
      <c r="M406" s="311"/>
      <c r="N406" s="311"/>
      <c r="O406" s="311"/>
      <c r="P406" s="311"/>
      <c r="Q406" s="311"/>
      <c r="R406" s="311"/>
    </row>
    <row r="407" spans="1:18" s="188" customFormat="1" x14ac:dyDescent="0.25">
      <c r="A407" s="353"/>
      <c r="B407" s="1102" t="str">
        <f t="shared" si="37"/>
        <v>Landfill</v>
      </c>
      <c r="C407" s="1107" t="s">
        <v>113</v>
      </c>
      <c r="D407" s="316"/>
      <c r="E407" s="316"/>
      <c r="F407" s="1750" t="s">
        <v>113</v>
      </c>
      <c r="G407" s="1109">
        <f>SUMIF($C$404:$C$411,$F407,G$395:G$402)</f>
        <v>3690.4761904761908</v>
      </c>
      <c r="H407" s="848">
        <f t="shared" ref="H407:N407" si="38">SUMIF($C$404:$C$411,$F407,H$395:H$402)</f>
        <v>16976.190476190477</v>
      </c>
      <c r="I407" s="848">
        <f t="shared" si="38"/>
        <v>1328.5714285714287</v>
      </c>
      <c r="J407" s="848">
        <f t="shared" si="38"/>
        <v>5904.7619047619055</v>
      </c>
      <c r="K407" s="848">
        <f t="shared" si="38"/>
        <v>0</v>
      </c>
      <c r="L407" s="848">
        <f t="shared" si="38"/>
        <v>738.09523809523819</v>
      </c>
      <c r="M407" s="848">
        <f t="shared" si="38"/>
        <v>0</v>
      </c>
      <c r="N407" s="849">
        <f t="shared" si="38"/>
        <v>10628.571428571429</v>
      </c>
      <c r="O407" s="311"/>
      <c r="P407" s="311"/>
      <c r="Q407" s="311"/>
      <c r="R407" s="311"/>
    </row>
    <row r="408" spans="1:18" s="188" customFormat="1" x14ac:dyDescent="0.25">
      <c r="A408" s="353"/>
      <c r="B408" s="1102" t="str">
        <f t="shared" si="37"/>
        <v>Ocean discharge</v>
      </c>
      <c r="C408" s="1107" t="s">
        <v>113</v>
      </c>
      <c r="D408" s="316"/>
      <c r="E408" s="316"/>
      <c r="F408" s="344" t="s">
        <v>416</v>
      </c>
      <c r="G408" s="1110">
        <f t="shared" ref="G408:N410" si="39">SUMIF($C$404:$C$411,$F408,G$395:G$402)</f>
        <v>68642.85714285713</v>
      </c>
      <c r="H408" s="181">
        <f t="shared" si="39"/>
        <v>315757.14285714284</v>
      </c>
      <c r="I408" s="181">
        <f t="shared" si="39"/>
        <v>11366.666666666668</v>
      </c>
      <c r="J408" s="181">
        <f t="shared" si="39"/>
        <v>289333.33333333337</v>
      </c>
      <c r="K408" s="181">
        <f t="shared" si="39"/>
        <v>132857.14285714287</v>
      </c>
      <c r="L408" s="181">
        <f t="shared" si="39"/>
        <v>68642.857142857159</v>
      </c>
      <c r="M408" s="181">
        <f t="shared" si="39"/>
        <v>312509.52380952379</v>
      </c>
      <c r="N408" s="182">
        <f t="shared" si="39"/>
        <v>90933.333333333343</v>
      </c>
      <c r="O408" s="311"/>
      <c r="P408" s="311"/>
      <c r="Q408" s="311"/>
      <c r="R408" s="311"/>
    </row>
    <row r="409" spans="1:18" s="188" customFormat="1" x14ac:dyDescent="0.25">
      <c r="A409" s="353"/>
      <c r="B409" s="1102" t="str">
        <f t="shared" si="37"/>
        <v>Stockpile</v>
      </c>
      <c r="C409" s="1107" t="s">
        <v>906</v>
      </c>
      <c r="D409" s="316"/>
      <c r="E409" s="316"/>
      <c r="F409" s="1750" t="s">
        <v>906</v>
      </c>
      <c r="G409" s="1110">
        <f t="shared" si="39"/>
        <v>1476.1904761904764</v>
      </c>
      <c r="H409" s="181">
        <f t="shared" si="39"/>
        <v>6790.4761904761908</v>
      </c>
      <c r="I409" s="181">
        <f t="shared" si="39"/>
        <v>2066.666666666667</v>
      </c>
      <c r="J409" s="181">
        <f t="shared" si="39"/>
        <v>0</v>
      </c>
      <c r="K409" s="181">
        <f t="shared" si="39"/>
        <v>0</v>
      </c>
      <c r="L409" s="181">
        <f t="shared" si="39"/>
        <v>738.09523809523819</v>
      </c>
      <c r="M409" s="181">
        <f t="shared" si="39"/>
        <v>102742.85714285714</v>
      </c>
      <c r="N409" s="182">
        <f t="shared" si="39"/>
        <v>16533.333333333336</v>
      </c>
      <c r="O409" s="311"/>
      <c r="P409" s="311"/>
      <c r="Q409" s="311"/>
      <c r="R409" s="311"/>
    </row>
    <row r="410" spans="1:18" s="188" customFormat="1" x14ac:dyDescent="0.25">
      <c r="A410" s="353"/>
      <c r="B410" s="1102" t="str">
        <f t="shared" si="37"/>
        <v>Unspecified</v>
      </c>
      <c r="C410" s="1107" t="s">
        <v>107</v>
      </c>
      <c r="D410" s="316"/>
      <c r="E410" s="316"/>
      <c r="F410" s="344" t="s">
        <v>107</v>
      </c>
      <c r="G410" s="1111">
        <f t="shared" si="39"/>
        <v>0</v>
      </c>
      <c r="H410" s="850">
        <f t="shared" si="39"/>
        <v>0</v>
      </c>
      <c r="I410" s="850">
        <f t="shared" si="39"/>
        <v>0</v>
      </c>
      <c r="J410" s="850">
        <f t="shared" si="39"/>
        <v>0</v>
      </c>
      <c r="K410" s="850">
        <f t="shared" si="39"/>
        <v>0</v>
      </c>
      <c r="L410" s="850">
        <f t="shared" si="39"/>
        <v>3690.4761904761908</v>
      </c>
      <c r="M410" s="850">
        <f t="shared" si="39"/>
        <v>12842.857142857143</v>
      </c>
      <c r="N410" s="851">
        <f t="shared" si="39"/>
        <v>0</v>
      </c>
      <c r="O410" s="311"/>
      <c r="P410" s="311"/>
      <c r="Q410" s="311"/>
      <c r="R410" s="311"/>
    </row>
    <row r="411" spans="1:18" s="188" customFormat="1" x14ac:dyDescent="0.2">
      <c r="A411" s="353"/>
      <c r="B411" s="1103" t="str">
        <f t="shared" si="37"/>
        <v>Other</v>
      </c>
      <c r="C411" s="1104" t="s">
        <v>107</v>
      </c>
      <c r="D411" s="316"/>
      <c r="E411" s="316"/>
      <c r="F411" s="1751" t="s">
        <v>659</v>
      </c>
      <c r="G411" s="1754" t="str">
        <f>IF(SUM(G407:G410)=SUM(G395:G402),"Ok","Error")</f>
        <v>Ok</v>
      </c>
      <c r="H411" s="1754" t="str">
        <f t="shared" ref="H411:N411" si="40">IF(SUM(H407:H410)=SUM(H395:H402),"Ok","Error")</f>
        <v>Ok</v>
      </c>
      <c r="I411" s="1754" t="str">
        <f t="shared" si="40"/>
        <v>Ok</v>
      </c>
      <c r="J411" s="1754" t="str">
        <f t="shared" si="40"/>
        <v>Ok</v>
      </c>
      <c r="K411" s="1754" t="str">
        <f t="shared" si="40"/>
        <v>Ok</v>
      </c>
      <c r="L411" s="1754" t="str">
        <f t="shared" si="40"/>
        <v>Ok</v>
      </c>
      <c r="M411" s="1754" t="str">
        <f t="shared" si="40"/>
        <v>Ok</v>
      </c>
      <c r="N411" s="1754" t="str">
        <f t="shared" si="40"/>
        <v>Ok</v>
      </c>
      <c r="O411" s="311"/>
      <c r="P411" s="311"/>
      <c r="Q411" s="311"/>
      <c r="R411" s="311"/>
    </row>
    <row r="412" spans="1:18" s="188" customFormat="1" x14ac:dyDescent="0.25">
      <c r="A412" s="353"/>
      <c r="B412" s="311"/>
      <c r="C412" s="311"/>
      <c r="D412" s="311"/>
      <c r="E412" s="311"/>
      <c r="F412" s="311"/>
      <c r="G412" s="311"/>
      <c r="H412" s="311"/>
      <c r="I412" s="311"/>
      <c r="J412" s="311"/>
      <c r="K412" s="311"/>
      <c r="L412" s="311"/>
      <c r="M412" s="311"/>
      <c r="N412" s="311"/>
      <c r="O412" s="311"/>
      <c r="P412" s="311"/>
      <c r="Q412" s="311"/>
      <c r="R412" s="311"/>
    </row>
    <row r="413" spans="1:18" s="188" customFormat="1" x14ac:dyDescent="0.2">
      <c r="A413" s="353"/>
      <c r="B413" s="311"/>
      <c r="C413" s="311"/>
      <c r="D413" s="316"/>
      <c r="E413" s="316"/>
      <c r="F413" s="1748" t="s">
        <v>1097</v>
      </c>
      <c r="G413" s="449"/>
      <c r="H413" s="311"/>
      <c r="I413" s="311"/>
      <c r="J413" s="311"/>
      <c r="K413" s="311"/>
      <c r="L413" s="311"/>
      <c r="M413" s="311"/>
      <c r="N413" s="311"/>
      <c r="O413" s="1749" t="s">
        <v>433</v>
      </c>
      <c r="P413" s="215"/>
      <c r="Q413" s="311"/>
      <c r="R413" s="311"/>
    </row>
    <row r="414" spans="1:18" s="188" customFormat="1" x14ac:dyDescent="0.2">
      <c r="A414" s="353"/>
      <c r="B414" s="311"/>
      <c r="C414" s="311"/>
      <c r="D414" s="316"/>
      <c r="E414" s="316"/>
      <c r="F414" s="344" t="s">
        <v>113</v>
      </c>
      <c r="G414" s="1109">
        <f t="shared" ref="G414:N416" si="41">G407*(1+G$410/SUM(G$407:G$409))</f>
        <v>3690.4761904761908</v>
      </c>
      <c r="H414" s="848">
        <f t="shared" si="41"/>
        <v>16976.190476190477</v>
      </c>
      <c r="I414" s="848">
        <f t="shared" si="41"/>
        <v>1328.5714285714287</v>
      </c>
      <c r="J414" s="848">
        <f t="shared" si="41"/>
        <v>5904.7619047619055</v>
      </c>
      <c r="K414" s="848">
        <f t="shared" si="41"/>
        <v>0</v>
      </c>
      <c r="L414" s="848">
        <f t="shared" si="41"/>
        <v>776.94235588972435</v>
      </c>
      <c r="M414" s="848">
        <f t="shared" si="41"/>
        <v>0</v>
      </c>
      <c r="N414" s="849">
        <f t="shared" si="41"/>
        <v>10628.571428571429</v>
      </c>
      <c r="O414" s="1498">
        <f>SUM(G414:N414)</f>
        <v>39305.513784461153</v>
      </c>
      <c r="P414" s="215"/>
      <c r="Q414" s="113" t="s">
        <v>393</v>
      </c>
      <c r="R414" s="37" t="s">
        <v>1099</v>
      </c>
    </row>
    <row r="415" spans="1:18" s="188" customFormat="1" x14ac:dyDescent="0.2">
      <c r="A415" s="353"/>
      <c r="B415" s="311"/>
      <c r="C415" s="311"/>
      <c r="D415" s="316"/>
      <c r="E415" s="316"/>
      <c r="F415" s="1750" t="s">
        <v>416</v>
      </c>
      <c r="G415" s="1110">
        <f t="shared" si="41"/>
        <v>68642.85714285713</v>
      </c>
      <c r="H415" s="181">
        <f t="shared" si="41"/>
        <v>315757.14285714284</v>
      </c>
      <c r="I415" s="181">
        <f t="shared" si="41"/>
        <v>11366.666666666668</v>
      </c>
      <c r="J415" s="181">
        <f t="shared" si="41"/>
        <v>289333.33333333337</v>
      </c>
      <c r="K415" s="181">
        <f t="shared" si="41"/>
        <v>132857.14285714287</v>
      </c>
      <c r="L415" s="181">
        <f t="shared" si="41"/>
        <v>72255.639097744381</v>
      </c>
      <c r="M415" s="181">
        <f t="shared" si="41"/>
        <v>322174.766813942</v>
      </c>
      <c r="N415" s="182">
        <f t="shared" si="41"/>
        <v>90933.333333333343</v>
      </c>
      <c r="O415" s="1499">
        <f>SUM(G415:N415)</f>
        <v>1303320.8821021623</v>
      </c>
      <c r="P415" s="215"/>
      <c r="Q415" s="113" t="s">
        <v>100</v>
      </c>
      <c r="R415" s="37" t="s">
        <v>422</v>
      </c>
    </row>
    <row r="416" spans="1:18" s="188" customFormat="1" x14ac:dyDescent="0.2">
      <c r="A416" s="353"/>
      <c r="B416" s="311"/>
      <c r="C416" s="311"/>
      <c r="D416" s="316"/>
      <c r="E416" s="316"/>
      <c r="F416" s="1750" t="s">
        <v>906</v>
      </c>
      <c r="G416" s="1110">
        <f t="shared" si="41"/>
        <v>1476.1904761904764</v>
      </c>
      <c r="H416" s="181">
        <f t="shared" si="41"/>
        <v>6790.4761904761908</v>
      </c>
      <c r="I416" s="181">
        <f t="shared" si="41"/>
        <v>2066.666666666667</v>
      </c>
      <c r="J416" s="181">
        <f t="shared" si="41"/>
        <v>0</v>
      </c>
      <c r="K416" s="181">
        <f t="shared" si="41"/>
        <v>0</v>
      </c>
      <c r="L416" s="181">
        <f t="shared" si="41"/>
        <v>776.94235588972435</v>
      </c>
      <c r="M416" s="181">
        <f t="shared" si="41"/>
        <v>105920.47128129602</v>
      </c>
      <c r="N416" s="182">
        <f t="shared" si="41"/>
        <v>16533.333333333336</v>
      </c>
      <c r="O416" s="1282">
        <f>SUM(G416:N416)</f>
        <v>133564.08030385242</v>
      </c>
      <c r="P416" s="215"/>
      <c r="Q416" s="215"/>
      <c r="R416" s="215"/>
    </row>
    <row r="417" spans="1:19" s="188" customFormat="1" x14ac:dyDescent="0.2">
      <c r="A417" s="353"/>
      <c r="B417" s="311"/>
      <c r="C417" s="311"/>
      <c r="D417" s="316"/>
      <c r="E417" s="316"/>
      <c r="F417" s="1751" t="s">
        <v>659</v>
      </c>
      <c r="G417" s="1752" t="str">
        <f>IF(SUM(G414:G416)=SUM(G395:G402),"Ok","Error")</f>
        <v>Ok</v>
      </c>
      <c r="H417" s="1752" t="str">
        <f t="shared" ref="H417:N417" si="42">IF(SUM(H414:H416)=SUM(H395:H402),"Ok","Error")</f>
        <v>Ok</v>
      </c>
      <c r="I417" s="1752" t="str">
        <f t="shared" si="42"/>
        <v>Ok</v>
      </c>
      <c r="J417" s="1752" t="str">
        <f t="shared" si="42"/>
        <v>Ok</v>
      </c>
      <c r="K417" s="1752" t="str">
        <f t="shared" si="42"/>
        <v>Ok</v>
      </c>
      <c r="L417" s="1752" t="str">
        <f t="shared" si="42"/>
        <v>Ok</v>
      </c>
      <c r="M417" s="1752" t="str">
        <f t="shared" si="42"/>
        <v>Ok</v>
      </c>
      <c r="N417" s="1752" t="str">
        <f t="shared" si="42"/>
        <v>Ok</v>
      </c>
      <c r="O417" s="215"/>
      <c r="P417" s="311"/>
      <c r="Q417" s="311"/>
      <c r="R417" s="311"/>
    </row>
    <row r="418" spans="1:19" ht="15.75" x14ac:dyDescent="0.25">
      <c r="A418" s="170"/>
      <c r="B418" s="166" t="s">
        <v>857</v>
      </c>
      <c r="C418" s="167"/>
      <c r="D418" s="167"/>
      <c r="E418" s="167"/>
      <c r="F418" s="167"/>
      <c r="G418" s="167"/>
      <c r="H418" s="167"/>
      <c r="I418" s="167"/>
      <c r="J418" s="167"/>
      <c r="K418" s="167"/>
      <c r="L418" s="167"/>
      <c r="M418" s="167"/>
      <c r="N418" s="167"/>
      <c r="O418" s="167"/>
      <c r="P418" s="167"/>
      <c r="Q418" s="167"/>
      <c r="R418" s="167"/>
      <c r="S418" s="155"/>
    </row>
    <row r="419" spans="1:19" s="144" customFormat="1" x14ac:dyDescent="0.2"/>
    <row r="420" spans="1:19" s="144" customFormat="1" ht="12.75" customHeight="1" x14ac:dyDescent="0.2">
      <c r="B420" s="335" t="s">
        <v>353</v>
      </c>
      <c r="C420" s="2759" t="s">
        <v>862</v>
      </c>
      <c r="E420" s="49"/>
      <c r="H420" s="2392" t="s">
        <v>346</v>
      </c>
    </row>
    <row r="421" spans="1:19" s="144" customFormat="1" ht="15" customHeight="1" x14ac:dyDescent="0.2">
      <c r="B421" s="450"/>
      <c r="C421" s="2759"/>
      <c r="E421" s="49"/>
      <c r="F421" s="49"/>
      <c r="G421" s="2758" t="s">
        <v>860</v>
      </c>
      <c r="H421" s="1087" t="s">
        <v>113</v>
      </c>
      <c r="I421" s="1070"/>
      <c r="J421" s="1070"/>
      <c r="K421" s="1070"/>
      <c r="L421" s="2769" t="s">
        <v>1325</v>
      </c>
      <c r="M421" s="1086"/>
      <c r="N421" s="2767" t="s">
        <v>38</v>
      </c>
      <c r="Q421" s="1730" t="s">
        <v>104</v>
      </c>
      <c r="R421" s="2723" t="s">
        <v>1324</v>
      </c>
    </row>
    <row r="422" spans="1:19" s="144" customFormat="1" x14ac:dyDescent="0.2">
      <c r="B422" s="450"/>
      <c r="C422" s="2759"/>
      <c r="F422" s="85" t="s">
        <v>861</v>
      </c>
      <c r="G422" s="2758"/>
      <c r="H422" s="2393" t="s">
        <v>4</v>
      </c>
      <c r="I422" s="2394" t="s">
        <v>6</v>
      </c>
      <c r="J422" s="2394" t="s">
        <v>9</v>
      </c>
      <c r="K422" s="2394" t="s">
        <v>374</v>
      </c>
      <c r="L422" s="2770"/>
      <c r="M422" s="1493" t="s">
        <v>114</v>
      </c>
      <c r="N422" s="2768"/>
      <c r="O422" s="1108" t="s">
        <v>386</v>
      </c>
      <c r="Q422" s="1760"/>
      <c r="R422" s="2725"/>
    </row>
    <row r="423" spans="1:19" s="144" customFormat="1" x14ac:dyDescent="0.2">
      <c r="B423" s="1778"/>
      <c r="C423" s="2757" t="s">
        <v>354</v>
      </c>
      <c r="F423" s="116" t="s">
        <v>143</v>
      </c>
      <c r="G423" s="49" t="s">
        <v>142</v>
      </c>
      <c r="H423" s="2346"/>
      <c r="I423" s="2347">
        <v>0.86752471753821803</v>
      </c>
      <c r="J423" s="2347"/>
      <c r="K423" s="2347">
        <v>0.11510564490696944</v>
      </c>
      <c r="L423" s="2348">
        <v>0.85998706054456531</v>
      </c>
      <c r="M423" s="2347">
        <v>0.1400129394554247</v>
      </c>
      <c r="N423" s="2348">
        <v>1E-14</v>
      </c>
      <c r="O423" s="1094" t="str">
        <f>IF(SUM(L423:N423)=1,"Ok","Error")</f>
        <v>Ok</v>
      </c>
      <c r="Q423" s="184" t="s">
        <v>100</v>
      </c>
      <c r="R423" s="225" t="s">
        <v>101</v>
      </c>
    </row>
    <row r="424" spans="1:19" s="144" customFormat="1" x14ac:dyDescent="0.2">
      <c r="B424" s="1778"/>
      <c r="C424" s="2757"/>
      <c r="F424" s="116" t="s">
        <v>152</v>
      </c>
      <c r="G424" s="49" t="s">
        <v>151</v>
      </c>
      <c r="H424" s="2349"/>
      <c r="I424" s="2350">
        <v>0.20949823447829255</v>
      </c>
      <c r="J424" s="2350"/>
      <c r="K424" s="2350">
        <v>2.8104683595491637E-2</v>
      </c>
      <c r="L424" s="2351">
        <v>0.20845119124304962</v>
      </c>
      <c r="M424" s="2350">
        <v>0.79154880875694045</v>
      </c>
      <c r="N424" s="2351">
        <v>1E-14</v>
      </c>
      <c r="O424" s="1094" t="str">
        <f t="shared" ref="O424:O439" si="43">IF(SUM(L424:N424)=1,"Ok","Error")</f>
        <v>Ok</v>
      </c>
      <c r="Q424" s="184" t="s">
        <v>10</v>
      </c>
      <c r="R424" s="315" t="s">
        <v>1315</v>
      </c>
    </row>
    <row r="425" spans="1:19" s="144" customFormat="1" x14ac:dyDescent="0.2">
      <c r="B425" s="1778"/>
      <c r="C425" s="2757"/>
      <c r="F425" s="116" t="s">
        <v>156</v>
      </c>
      <c r="G425" s="49" t="s">
        <v>155</v>
      </c>
      <c r="H425" s="2349"/>
      <c r="I425" s="2350">
        <v>0.24349942226301413</v>
      </c>
      <c r="J425" s="2350">
        <v>5.7639087699207926E-2</v>
      </c>
      <c r="K425" s="2350">
        <v>1.1818906764987018E-3</v>
      </c>
      <c r="L425" s="2351">
        <v>0.23993875434961862</v>
      </c>
      <c r="M425" s="2350">
        <v>0.76006124565037136</v>
      </c>
      <c r="N425" s="2351">
        <v>1E-14</v>
      </c>
      <c r="O425" s="1094" t="str">
        <f t="shared" si="43"/>
        <v>Ok</v>
      </c>
      <c r="Q425" s="184" t="s">
        <v>352</v>
      </c>
      <c r="R425" s="225" t="s">
        <v>356</v>
      </c>
    </row>
    <row r="426" spans="1:19" s="144" customFormat="1" ht="15" customHeight="1" x14ac:dyDescent="0.2">
      <c r="B426" s="1778"/>
      <c r="C426" s="2757" t="s">
        <v>355</v>
      </c>
      <c r="F426" s="116" t="s">
        <v>160</v>
      </c>
      <c r="G426" s="49" t="s">
        <v>159</v>
      </c>
      <c r="H426" s="2349">
        <v>1</v>
      </c>
      <c r="I426" s="2350">
        <v>0.16911643222817507</v>
      </c>
      <c r="J426" s="2350">
        <v>8.1863290946575282E-2</v>
      </c>
      <c r="K426" s="2350">
        <v>1.4588496020391064E-3</v>
      </c>
      <c r="L426" s="2351">
        <v>0.27885655619337485</v>
      </c>
      <c r="M426" s="2350">
        <v>0.7211434438066151</v>
      </c>
      <c r="N426" s="2351">
        <v>1E-14</v>
      </c>
      <c r="O426" s="1094" t="str">
        <f t="shared" si="43"/>
        <v>Ok</v>
      </c>
      <c r="Q426" s="184" t="s">
        <v>99</v>
      </c>
      <c r="R426" s="227">
        <v>42709</v>
      </c>
    </row>
    <row r="427" spans="1:19" s="144" customFormat="1" x14ac:dyDescent="0.2">
      <c r="B427" s="1778"/>
      <c r="C427" s="2757"/>
      <c r="F427" s="116" t="s">
        <v>210</v>
      </c>
      <c r="G427" s="49" t="s">
        <v>209</v>
      </c>
      <c r="H427" s="2349"/>
      <c r="I427" s="2350">
        <v>9.7624314706165255E-2</v>
      </c>
      <c r="J427" s="2350"/>
      <c r="K427" s="2350"/>
      <c r="L427" s="2351">
        <v>1.0868543172729636E-2</v>
      </c>
      <c r="M427" s="2350">
        <v>0.98913145682726034</v>
      </c>
      <c r="N427" s="2351">
        <v>1E-14</v>
      </c>
      <c r="O427" s="1094" t="str">
        <f t="shared" si="43"/>
        <v>Ok</v>
      </c>
    </row>
    <row r="428" spans="1:19" s="144" customFormat="1" x14ac:dyDescent="0.2">
      <c r="B428" s="1778"/>
      <c r="C428" s="2760"/>
      <c r="F428" s="62" t="s">
        <v>214</v>
      </c>
      <c r="G428" s="49" t="s">
        <v>213</v>
      </c>
      <c r="H428" s="2349"/>
      <c r="I428" s="2350">
        <v>0.35617987348951402</v>
      </c>
      <c r="J428" s="2350">
        <v>4.0126825497670687E-3</v>
      </c>
      <c r="K428" s="2350">
        <v>3.4337128540277206E-2</v>
      </c>
      <c r="L428" s="2351">
        <v>0.3204583383110679</v>
      </c>
      <c r="M428" s="2350">
        <v>0.67954166168892205</v>
      </c>
      <c r="N428" s="2351">
        <v>1E-14</v>
      </c>
      <c r="O428" s="1094" t="str">
        <f t="shared" si="43"/>
        <v>Ok</v>
      </c>
    </row>
    <row r="429" spans="1:19" s="144" customFormat="1" ht="12.75" customHeight="1" x14ac:dyDescent="0.2">
      <c r="B429" s="1068"/>
      <c r="C429" s="1069"/>
      <c r="F429" s="116" t="s">
        <v>220</v>
      </c>
      <c r="G429" s="49" t="s">
        <v>219</v>
      </c>
      <c r="H429" s="2349"/>
      <c r="I429" s="2350">
        <v>0.14408582658017896</v>
      </c>
      <c r="J429" s="2350">
        <v>1.5993769523693574E-3</v>
      </c>
      <c r="K429" s="2350">
        <v>3.3865692912250292E-2</v>
      </c>
      <c r="L429" s="2351">
        <v>8.4982760097592216E-2</v>
      </c>
      <c r="M429" s="2350">
        <v>0.91501723990239781</v>
      </c>
      <c r="N429" s="2351">
        <v>1E-14</v>
      </c>
      <c r="O429" s="1094" t="str">
        <f t="shared" si="43"/>
        <v>Ok</v>
      </c>
    </row>
    <row r="430" spans="1:19" s="144" customFormat="1" x14ac:dyDescent="0.2">
      <c r="B430" s="1070"/>
      <c r="C430" s="1071"/>
      <c r="F430" s="116" t="s">
        <v>230</v>
      </c>
      <c r="G430" s="49" t="s">
        <v>229</v>
      </c>
      <c r="H430" s="2349"/>
      <c r="I430" s="2350">
        <v>0.32924502676873774</v>
      </c>
      <c r="J430" s="2350"/>
      <c r="K430" s="2350">
        <v>0.97681483850335771</v>
      </c>
      <c r="L430" s="2351">
        <v>6.7043083882651872E-2</v>
      </c>
      <c r="M430" s="2350">
        <v>0.93295691611733811</v>
      </c>
      <c r="N430" s="2351">
        <v>1E-14</v>
      </c>
      <c r="O430" s="1094" t="str">
        <f t="shared" si="43"/>
        <v>Ok</v>
      </c>
    </row>
    <row r="431" spans="1:19" s="144" customFormat="1" ht="12.75" customHeight="1" x14ac:dyDescent="0.2">
      <c r="B431" s="1070"/>
      <c r="C431" s="1071"/>
      <c r="F431" s="116" t="s">
        <v>238</v>
      </c>
      <c r="G431" s="49" t="s">
        <v>237</v>
      </c>
      <c r="H431" s="2349">
        <v>3.1880736291541533E-4</v>
      </c>
      <c r="I431" s="2350">
        <v>0.19148392604073083</v>
      </c>
      <c r="J431" s="2350">
        <v>1.0648501217689356E-3</v>
      </c>
      <c r="K431" s="2350">
        <v>6.2107315852518363E-4</v>
      </c>
      <c r="L431" s="2351">
        <v>0.10735658723446989</v>
      </c>
      <c r="M431" s="2350">
        <v>0.89264341276552006</v>
      </c>
      <c r="N431" s="2351">
        <v>1E-14</v>
      </c>
      <c r="O431" s="1094" t="str">
        <f t="shared" si="43"/>
        <v>Ok</v>
      </c>
    </row>
    <row r="432" spans="1:19" s="144" customFormat="1" x14ac:dyDescent="0.2">
      <c r="B432" s="1070"/>
      <c r="C432" s="1071"/>
      <c r="F432" s="116" t="s">
        <v>246</v>
      </c>
      <c r="G432" s="49" t="s">
        <v>245</v>
      </c>
      <c r="H432" s="2349"/>
      <c r="I432" s="2350">
        <v>6.0313530261148454E-2</v>
      </c>
      <c r="J432" s="2350">
        <v>9.0970325858780524E-4</v>
      </c>
      <c r="K432" s="2350">
        <v>1.5213808303419066E-2</v>
      </c>
      <c r="L432" s="2351">
        <v>5.0515795645862699E-2</v>
      </c>
      <c r="M432" s="2350">
        <v>0.94948420435412728</v>
      </c>
      <c r="N432" s="2351">
        <v>1E-14</v>
      </c>
      <c r="O432" s="1094" t="str">
        <f t="shared" si="43"/>
        <v>Ok</v>
      </c>
    </row>
    <row r="433" spans="2:18" s="144" customFormat="1" x14ac:dyDescent="0.2">
      <c r="F433" s="116" t="s">
        <v>256</v>
      </c>
      <c r="G433" s="49" t="s">
        <v>255</v>
      </c>
      <c r="H433" s="2349">
        <v>0.98924458096332257</v>
      </c>
      <c r="I433" s="2350">
        <v>0.5557617679841067</v>
      </c>
      <c r="J433" s="2350">
        <v>0.97136501964031496</v>
      </c>
      <c r="K433" s="2350">
        <v>2.554897468849528E-2</v>
      </c>
      <c r="L433" s="2351">
        <v>0.72591345901687043</v>
      </c>
      <c r="M433" s="2350">
        <v>0.27408654098311958</v>
      </c>
      <c r="N433" s="2351">
        <v>1E-14</v>
      </c>
      <c r="O433" s="1094" t="str">
        <f t="shared" si="43"/>
        <v>Ok</v>
      </c>
    </row>
    <row r="434" spans="2:18" s="144" customFormat="1" x14ac:dyDescent="0.2">
      <c r="F434" s="117" t="s">
        <v>343</v>
      </c>
      <c r="G434" s="49" t="s">
        <v>281</v>
      </c>
      <c r="H434" s="2349">
        <v>1</v>
      </c>
      <c r="I434" s="2350">
        <v>0.96848982231245806</v>
      </c>
      <c r="J434" s="2350">
        <v>0.95806927671150477</v>
      </c>
      <c r="K434" s="2350">
        <v>0.92306966486361353</v>
      </c>
      <c r="L434" s="2351">
        <v>0.98476786913682057</v>
      </c>
      <c r="M434" s="2350">
        <v>1.5232130863169427E-2</v>
      </c>
      <c r="N434" s="2351">
        <v>1E-14</v>
      </c>
      <c r="O434" s="1094" t="str">
        <f t="shared" si="43"/>
        <v>Ok</v>
      </c>
    </row>
    <row r="435" spans="2:18" s="144" customFormat="1" x14ac:dyDescent="0.2">
      <c r="B435" s="145"/>
      <c r="F435" s="117" t="s">
        <v>97</v>
      </c>
      <c r="G435" s="49" t="s">
        <v>293</v>
      </c>
      <c r="H435" s="2349">
        <v>1</v>
      </c>
      <c r="I435" s="2350">
        <v>0.99954811084062767</v>
      </c>
      <c r="J435" s="2350">
        <v>0.9994373363543938</v>
      </c>
      <c r="K435" s="2350"/>
      <c r="L435" s="2351">
        <v>1</v>
      </c>
      <c r="M435" s="2350">
        <v>-1E-14</v>
      </c>
      <c r="N435" s="2351">
        <v>1E-14</v>
      </c>
      <c r="O435" s="1094" t="str">
        <f t="shared" si="43"/>
        <v>Ok</v>
      </c>
    </row>
    <row r="436" spans="2:18" s="144" customFormat="1" x14ac:dyDescent="0.2">
      <c r="F436" s="117" t="s">
        <v>345</v>
      </c>
      <c r="G436" s="49" t="s">
        <v>344</v>
      </c>
      <c r="H436" s="2771" t="s">
        <v>1327</v>
      </c>
      <c r="I436" s="2772"/>
      <c r="J436" s="2772"/>
      <c r="K436" s="2772"/>
      <c r="L436" s="2772"/>
      <c r="M436" s="2772"/>
      <c r="N436" s="2773"/>
      <c r="O436" s="1094"/>
    </row>
    <row r="437" spans="2:18" s="49" customFormat="1" x14ac:dyDescent="0.2">
      <c r="F437" s="116" t="s">
        <v>297</v>
      </c>
      <c r="G437" s="49" t="s">
        <v>296</v>
      </c>
      <c r="H437" s="2349">
        <v>1</v>
      </c>
      <c r="I437" s="2350">
        <v>0.7568759448453678</v>
      </c>
      <c r="J437" s="2350">
        <v>0.98981832822927973</v>
      </c>
      <c r="K437" s="2350">
        <v>0.99858344955817457</v>
      </c>
      <c r="L437" s="2351">
        <v>0.77178508812041025</v>
      </c>
      <c r="M437" s="2350">
        <v>0.22821491187957976</v>
      </c>
      <c r="N437" s="2351">
        <v>1E-14</v>
      </c>
      <c r="O437" s="1094" t="str">
        <f t="shared" si="43"/>
        <v>Ok</v>
      </c>
    </row>
    <row r="438" spans="2:18" s="49" customFormat="1" x14ac:dyDescent="0.2">
      <c r="F438" s="1277" t="s">
        <v>39</v>
      </c>
      <c r="G438" s="1276" t="s">
        <v>309</v>
      </c>
      <c r="H438" s="2349"/>
      <c r="I438" s="2350">
        <v>0.36931924927090021</v>
      </c>
      <c r="J438" s="2350"/>
      <c r="K438" s="2350">
        <v>0.31679446238190184</v>
      </c>
      <c r="L438" s="2351">
        <v>0.3589877656793608</v>
      </c>
      <c r="M438" s="2350">
        <v>0.64101223432062926</v>
      </c>
      <c r="N438" s="2351">
        <v>1E-14</v>
      </c>
      <c r="O438" s="1094" t="str">
        <f t="shared" si="43"/>
        <v>Ok</v>
      </c>
    </row>
    <row r="439" spans="2:18" s="49" customFormat="1" x14ac:dyDescent="0.2">
      <c r="F439" s="1277" t="s">
        <v>904</v>
      </c>
      <c r="G439" s="49" t="s">
        <v>303</v>
      </c>
      <c r="H439" s="2352"/>
      <c r="I439" s="2353">
        <v>0.19742968083652587</v>
      </c>
      <c r="J439" s="2353">
        <v>3.5625488294918684E-2</v>
      </c>
      <c r="K439" s="2353">
        <v>0.90702947845804993</v>
      </c>
      <c r="L439" s="2354">
        <v>0.19216273416569493</v>
      </c>
      <c r="M439" s="2353">
        <v>0.80783726583429505</v>
      </c>
      <c r="N439" s="2354">
        <v>1E-14</v>
      </c>
      <c r="O439" s="1094" t="str">
        <f t="shared" si="43"/>
        <v>Ok</v>
      </c>
    </row>
    <row r="440" spans="2:18" s="49" customFormat="1" ht="12.75" customHeight="1" x14ac:dyDescent="0.2">
      <c r="F440" s="144"/>
      <c r="G440" s="144"/>
      <c r="H440" s="2395"/>
      <c r="I440" s="1066"/>
    </row>
    <row r="441" spans="2:18" s="49" customFormat="1" ht="12.75" customHeight="1" x14ac:dyDescent="0.2">
      <c r="F441" s="144"/>
      <c r="G441" s="144"/>
      <c r="H441" s="2396" t="s">
        <v>113</v>
      </c>
      <c r="I441" s="1066"/>
    </row>
    <row r="442" spans="2:18" s="49" customFormat="1" ht="12.75" customHeight="1" x14ac:dyDescent="0.2">
      <c r="H442" s="2396" t="s">
        <v>3</v>
      </c>
      <c r="I442" s="2396" t="s">
        <v>4</v>
      </c>
      <c r="J442" s="2396" t="s">
        <v>5</v>
      </c>
      <c r="K442" s="2396" t="s">
        <v>6</v>
      </c>
      <c r="L442" s="2396" t="s">
        <v>7</v>
      </c>
      <c r="M442" s="2396" t="s">
        <v>8</v>
      </c>
      <c r="N442" s="2396" t="s">
        <v>9</v>
      </c>
      <c r="O442" s="2396" t="s">
        <v>374</v>
      </c>
    </row>
    <row r="443" spans="2:18" s="49" customFormat="1" ht="12.75" customHeight="1" x14ac:dyDescent="0.2">
      <c r="F443" s="139" t="s">
        <v>1326</v>
      </c>
      <c r="G443" s="49" t="s">
        <v>344</v>
      </c>
      <c r="H443" s="2397">
        <v>5.1020408163265307E-2</v>
      </c>
      <c r="I443" s="2398">
        <v>6.5269530653463109E-2</v>
      </c>
      <c r="J443" s="2398">
        <v>0.10465116279069767</v>
      </c>
      <c r="K443" s="2398">
        <v>0.35115813070118929</v>
      </c>
      <c r="L443" s="2398">
        <v>0.21630669506079056</v>
      </c>
      <c r="M443" s="2398">
        <v>1.0638297872340425E-2</v>
      </c>
      <c r="N443" s="2398">
        <v>3.019230299914151E-2</v>
      </c>
      <c r="O443" s="2399">
        <v>0.10119907633431639</v>
      </c>
    </row>
    <row r="444" spans="2:18" s="49" customFormat="1" ht="12.75" customHeight="1" x14ac:dyDescent="0.2">
      <c r="F444" s="144"/>
      <c r="G444" s="144"/>
      <c r="H444" s="2395"/>
      <c r="I444" s="1066"/>
    </row>
    <row r="445" spans="2:18" s="49" customFormat="1" ht="12.75" customHeight="1" x14ac:dyDescent="0.2">
      <c r="G445" s="2758" t="s">
        <v>860</v>
      </c>
      <c r="H445" s="2762" t="s">
        <v>864</v>
      </c>
      <c r="I445" s="1083" t="s">
        <v>865</v>
      </c>
      <c r="J445" s="1072"/>
    </row>
    <row r="446" spans="2:18" s="49" customFormat="1" ht="12.75" customHeight="1" x14ac:dyDescent="0.2">
      <c r="B446" s="335" t="s">
        <v>353</v>
      </c>
      <c r="C446" s="2757" t="s">
        <v>858</v>
      </c>
      <c r="F446" s="85" t="s">
        <v>861</v>
      </c>
      <c r="G446" s="2758"/>
      <c r="H446" s="2762"/>
      <c r="I446" s="1084" t="s">
        <v>17</v>
      </c>
      <c r="J446" s="1085" t="s">
        <v>18</v>
      </c>
      <c r="Q446" s="1730" t="s">
        <v>104</v>
      </c>
      <c r="R446" s="2723" t="s">
        <v>866</v>
      </c>
    </row>
    <row r="447" spans="2:18" s="49" customFormat="1" x14ac:dyDescent="0.2">
      <c r="B447" s="450"/>
      <c r="C447" s="2757"/>
      <c r="F447" s="116" t="s">
        <v>143</v>
      </c>
      <c r="G447" s="49" t="s">
        <v>142</v>
      </c>
      <c r="H447" s="2343" t="s">
        <v>349</v>
      </c>
      <c r="I447" s="2355">
        <v>1</v>
      </c>
      <c r="J447" s="2356"/>
      <c r="Q447" s="1760"/>
      <c r="R447" s="2725"/>
    </row>
    <row r="448" spans="2:18" s="49" customFormat="1" x14ac:dyDescent="0.2">
      <c r="B448" s="450"/>
      <c r="C448" s="2757" t="s">
        <v>859</v>
      </c>
      <c r="F448" s="116" t="s">
        <v>152</v>
      </c>
      <c r="G448" s="49" t="s">
        <v>151</v>
      </c>
      <c r="H448" s="2344" t="s">
        <v>349</v>
      </c>
      <c r="I448" s="2357">
        <v>1</v>
      </c>
      <c r="J448" s="2358"/>
      <c r="Q448" s="184" t="s">
        <v>100</v>
      </c>
      <c r="R448" s="225" t="s">
        <v>101</v>
      </c>
    </row>
    <row r="449" spans="2:18" s="49" customFormat="1" ht="12.75" customHeight="1" x14ac:dyDescent="0.2">
      <c r="B449" s="1778"/>
      <c r="C449" s="2760"/>
      <c r="F449" s="116" t="s">
        <v>156</v>
      </c>
      <c r="G449" s="49" t="s">
        <v>155</v>
      </c>
      <c r="H449" s="2344" t="s">
        <v>349</v>
      </c>
      <c r="I449" s="2357">
        <v>1</v>
      </c>
      <c r="J449" s="2358"/>
      <c r="Q449" s="184" t="s">
        <v>10</v>
      </c>
      <c r="R449" s="315" t="s">
        <v>863</v>
      </c>
    </row>
    <row r="450" spans="2:18" s="49" customFormat="1" x14ac:dyDescent="0.2">
      <c r="B450" s="1068"/>
      <c r="C450" s="1069"/>
      <c r="F450" s="116" t="s">
        <v>160</v>
      </c>
      <c r="G450" s="49" t="s">
        <v>159</v>
      </c>
      <c r="H450" s="2344" t="s">
        <v>350</v>
      </c>
      <c r="I450" s="2357">
        <v>1</v>
      </c>
      <c r="J450" s="2358"/>
      <c r="Q450" s="184" t="s">
        <v>352</v>
      </c>
      <c r="R450" s="225" t="s">
        <v>356</v>
      </c>
    </row>
    <row r="451" spans="2:18" s="49" customFormat="1" x14ac:dyDescent="0.2">
      <c r="B451" s="1070"/>
      <c r="C451" s="1071"/>
      <c r="F451" s="116" t="s">
        <v>210</v>
      </c>
      <c r="G451" s="49" t="s">
        <v>209</v>
      </c>
      <c r="H451" s="2344" t="s">
        <v>349</v>
      </c>
      <c r="I451" s="2357">
        <v>1</v>
      </c>
      <c r="J451" s="2358"/>
      <c r="Q451" s="184" t="s">
        <v>99</v>
      </c>
      <c r="R451" s="227">
        <v>42125</v>
      </c>
    </row>
    <row r="452" spans="2:18" s="49" customFormat="1" ht="12.75" customHeight="1" x14ac:dyDescent="0.2">
      <c r="B452" s="1070"/>
      <c r="C452" s="1071"/>
      <c r="F452" s="62" t="s">
        <v>214</v>
      </c>
      <c r="G452" s="49" t="s">
        <v>213</v>
      </c>
      <c r="H452" s="2344" t="s">
        <v>349</v>
      </c>
      <c r="I452" s="2357">
        <v>1</v>
      </c>
      <c r="J452" s="2358"/>
    </row>
    <row r="453" spans="2:18" s="49" customFormat="1" x14ac:dyDescent="0.2">
      <c r="B453" s="1070"/>
      <c r="C453" s="1071"/>
      <c r="F453" s="116" t="s">
        <v>220</v>
      </c>
      <c r="G453" s="49" t="s">
        <v>219</v>
      </c>
      <c r="H453" s="2344" t="s">
        <v>349</v>
      </c>
      <c r="I453" s="2357">
        <v>1</v>
      </c>
      <c r="J453" s="2358"/>
    </row>
    <row r="454" spans="2:18" s="49" customFormat="1" x14ac:dyDescent="0.2">
      <c r="B454" s="1070"/>
      <c r="C454" s="1071"/>
      <c r="F454" s="116" t="s">
        <v>230</v>
      </c>
      <c r="G454" s="49" t="s">
        <v>229</v>
      </c>
      <c r="H454" s="2344" t="s">
        <v>349</v>
      </c>
      <c r="I454" s="2357">
        <v>1</v>
      </c>
      <c r="J454" s="2358"/>
    </row>
    <row r="455" spans="2:18" s="49" customFormat="1" x14ac:dyDescent="0.2">
      <c r="B455" s="1070"/>
      <c r="C455" s="1072"/>
      <c r="F455" s="116" t="s">
        <v>238</v>
      </c>
      <c r="G455" s="49" t="s">
        <v>237</v>
      </c>
      <c r="H455" s="2344" t="s">
        <v>349</v>
      </c>
      <c r="I455" s="2357">
        <v>1</v>
      </c>
      <c r="J455" s="2358"/>
    </row>
    <row r="456" spans="2:18" s="49" customFormat="1" x14ac:dyDescent="0.2">
      <c r="B456" s="1070"/>
      <c r="C456" s="1072"/>
      <c r="F456" s="116" t="s">
        <v>246</v>
      </c>
      <c r="G456" s="49" t="s">
        <v>245</v>
      </c>
      <c r="H456" s="2344" t="s">
        <v>349</v>
      </c>
      <c r="I456" s="2357">
        <v>1</v>
      </c>
      <c r="J456" s="2358"/>
    </row>
    <row r="457" spans="2:18" s="49" customFormat="1" x14ac:dyDescent="0.2">
      <c r="B457" s="1070"/>
      <c r="C457" s="1072"/>
      <c r="F457" s="116" t="s">
        <v>256</v>
      </c>
      <c r="G457" s="49" t="s">
        <v>255</v>
      </c>
      <c r="H457" s="2344" t="s">
        <v>349</v>
      </c>
      <c r="I457" s="2357">
        <v>1</v>
      </c>
      <c r="J457" s="2358"/>
    </row>
    <row r="458" spans="2:18" s="49" customFormat="1" x14ac:dyDescent="0.2">
      <c r="B458" s="1070"/>
      <c r="C458" s="1072"/>
      <c r="F458" s="117" t="s">
        <v>343</v>
      </c>
      <c r="G458" s="49" t="s">
        <v>281</v>
      </c>
      <c r="H458" s="2344" t="s">
        <v>350</v>
      </c>
      <c r="I458" s="2359">
        <f>1-J458</f>
        <v>0.28000000000000003</v>
      </c>
      <c r="J458" s="2360">
        <v>0.72</v>
      </c>
    </row>
    <row r="459" spans="2:18" s="49" customFormat="1" x14ac:dyDescent="0.2">
      <c r="F459" s="117" t="s">
        <v>97</v>
      </c>
      <c r="G459" s="49" t="s">
        <v>293</v>
      </c>
      <c r="H459" s="2344" t="s">
        <v>350</v>
      </c>
      <c r="I459" s="2359">
        <f>1-J459</f>
        <v>0.45999999999999996</v>
      </c>
      <c r="J459" s="2360">
        <v>0.54</v>
      </c>
    </row>
    <row r="460" spans="2:18" s="49" customFormat="1" x14ac:dyDescent="0.2">
      <c r="F460" s="117" t="s">
        <v>345</v>
      </c>
      <c r="G460" s="49" t="s">
        <v>344</v>
      </c>
      <c r="H460" s="2344" t="s">
        <v>350</v>
      </c>
      <c r="I460" s="2357">
        <v>1</v>
      </c>
      <c r="J460" s="2358"/>
    </row>
    <row r="461" spans="2:18" s="49" customFormat="1" x14ac:dyDescent="0.2">
      <c r="F461" s="116" t="s">
        <v>297</v>
      </c>
      <c r="G461" s="49" t="s">
        <v>296</v>
      </c>
      <c r="H461" s="2344" t="s">
        <v>350</v>
      </c>
      <c r="I461" s="2357">
        <v>1</v>
      </c>
      <c r="J461" s="2358"/>
    </row>
    <row r="462" spans="2:18" s="49" customFormat="1" x14ac:dyDescent="0.2">
      <c r="F462" s="1277" t="s">
        <v>39</v>
      </c>
      <c r="G462" s="1276" t="s">
        <v>309</v>
      </c>
      <c r="H462" s="2344" t="s">
        <v>350</v>
      </c>
      <c r="I462" s="2357">
        <v>1</v>
      </c>
      <c r="J462" s="2358"/>
    </row>
    <row r="463" spans="2:18" s="49" customFormat="1" x14ac:dyDescent="0.2">
      <c r="F463" s="1277" t="s">
        <v>904</v>
      </c>
      <c r="G463" s="49" t="s">
        <v>303</v>
      </c>
      <c r="H463" s="2345" t="s">
        <v>350</v>
      </c>
      <c r="I463" s="2361">
        <v>1</v>
      </c>
      <c r="J463" s="2362"/>
    </row>
    <row r="464" spans="2:18" s="49" customFormat="1" x14ac:dyDescent="0.2"/>
    <row r="465" spans="1:23" ht="15.75" x14ac:dyDescent="0.25">
      <c r="A465" s="170"/>
      <c r="B465" s="166" t="s">
        <v>437</v>
      </c>
      <c r="C465" s="167"/>
      <c r="D465" s="167"/>
      <c r="E465" s="167"/>
      <c r="F465" s="167"/>
      <c r="G465" s="167"/>
      <c r="H465" s="167"/>
      <c r="I465" s="167"/>
      <c r="J465" s="167"/>
      <c r="K465" s="167"/>
      <c r="L465" s="167"/>
      <c r="M465" s="167"/>
      <c r="N465" s="167"/>
      <c r="O465" s="167"/>
      <c r="P465" s="167"/>
      <c r="Q465" s="167"/>
      <c r="R465" s="167"/>
      <c r="S465" s="155"/>
    </row>
    <row r="466" spans="1:23" x14ac:dyDescent="0.25">
      <c r="B466" s="7"/>
      <c r="C466" s="7"/>
      <c r="D466" s="7"/>
      <c r="E466" s="7"/>
      <c r="I466" s="10"/>
      <c r="J466" s="5"/>
      <c r="K466" s="10"/>
      <c r="L466" s="10"/>
    </row>
    <row r="467" spans="1:23" s="188" customFormat="1" x14ac:dyDescent="0.2">
      <c r="F467" s="233"/>
      <c r="G467" s="1095" t="s">
        <v>3</v>
      </c>
      <c r="H467" s="1095" t="s">
        <v>4</v>
      </c>
      <c r="I467" s="1095" t="s">
        <v>5</v>
      </c>
      <c r="J467" s="1095" t="s">
        <v>6</v>
      </c>
      <c r="K467" s="1095" t="s">
        <v>7</v>
      </c>
      <c r="L467" s="1095" t="s">
        <v>8</v>
      </c>
      <c r="M467" s="1095" t="s">
        <v>9</v>
      </c>
      <c r="N467" s="1095" t="s">
        <v>374</v>
      </c>
      <c r="O467" s="24" t="s">
        <v>433</v>
      </c>
      <c r="P467" s="218"/>
      <c r="Q467" s="184" t="s">
        <v>104</v>
      </c>
      <c r="R467" s="225" t="s">
        <v>435</v>
      </c>
      <c r="V467" s="218"/>
      <c r="W467" s="218"/>
    </row>
    <row r="468" spans="1:23" s="188" customFormat="1" x14ac:dyDescent="0.2">
      <c r="F468" s="1112">
        <v>42339</v>
      </c>
      <c r="G468" s="1865">
        <v>387742</v>
      </c>
      <c r="H468" s="1866">
        <v>7564626</v>
      </c>
      <c r="I468" s="1866">
        <v>243191</v>
      </c>
      <c r="J468" s="1866">
        <v>4749057</v>
      </c>
      <c r="K468" s="1866">
        <v>1691605</v>
      </c>
      <c r="L468" s="1866">
        <v>515294</v>
      </c>
      <c r="M468" s="1866">
        <v>5886555</v>
      </c>
      <c r="N468" s="1866">
        <v>2572919</v>
      </c>
      <c r="O468" s="1867">
        <v>23614205</v>
      </c>
      <c r="P468" s="218"/>
      <c r="Q468" s="184" t="s">
        <v>100</v>
      </c>
      <c r="R468" s="225" t="s">
        <v>436</v>
      </c>
      <c r="V468" s="218"/>
      <c r="W468" s="218"/>
    </row>
    <row r="469" spans="1:23" s="188" customFormat="1" ht="12.75" customHeight="1" x14ac:dyDescent="0.2">
      <c r="O469" s="218"/>
      <c r="P469" s="218"/>
      <c r="Q469" s="1730" t="s">
        <v>10</v>
      </c>
      <c r="R469" s="2723" t="s">
        <v>1151</v>
      </c>
      <c r="V469" s="218"/>
      <c r="W469" s="218"/>
    </row>
    <row r="470" spans="1:23" s="188" customFormat="1" x14ac:dyDescent="0.2">
      <c r="O470" s="218"/>
      <c r="P470" s="218"/>
      <c r="Q470" s="226"/>
      <c r="R470" s="2725"/>
      <c r="V470" s="218"/>
      <c r="W470" s="218"/>
    </row>
    <row r="471" spans="1:23" s="188" customFormat="1" x14ac:dyDescent="0.2">
      <c r="O471" s="218"/>
      <c r="P471" s="218"/>
      <c r="Q471" s="184" t="s">
        <v>352</v>
      </c>
      <c r="R471" s="225" t="s">
        <v>388</v>
      </c>
      <c r="V471" s="218"/>
      <c r="W471" s="218"/>
    </row>
    <row r="472" spans="1:23" s="188" customFormat="1" x14ac:dyDescent="0.2">
      <c r="F472" s="218"/>
      <c r="G472" s="218"/>
      <c r="H472" s="218"/>
      <c r="I472" s="218"/>
      <c r="J472" s="218"/>
      <c r="K472" s="218"/>
      <c r="L472" s="218"/>
      <c r="M472" s="218"/>
      <c r="N472" s="218"/>
      <c r="O472" s="218"/>
      <c r="P472" s="218"/>
      <c r="Q472" s="184" t="s">
        <v>99</v>
      </c>
      <c r="R472" s="227">
        <v>42618</v>
      </c>
      <c r="V472" s="218"/>
      <c r="W472" s="218"/>
    </row>
    <row r="473" spans="1:23" s="188" customFormat="1" x14ac:dyDescent="0.2">
      <c r="P473" s="102"/>
      <c r="V473" s="218"/>
      <c r="W473" s="218"/>
    </row>
    <row r="474" spans="1:23" x14ac:dyDescent="0.25">
      <c r="B474" s="222"/>
      <c r="C474" s="222"/>
      <c r="D474" s="222"/>
      <c r="E474" s="222"/>
      <c r="F474" s="223"/>
      <c r="G474" s="224"/>
      <c r="H474" s="224"/>
      <c r="I474" s="224"/>
      <c r="J474" s="223"/>
      <c r="K474" s="224"/>
      <c r="L474" s="224"/>
      <c r="M474" s="222"/>
      <c r="N474" s="222"/>
      <c r="O474" s="222"/>
      <c r="P474" s="222"/>
      <c r="Q474" s="222"/>
      <c r="R474" s="222"/>
    </row>
    <row r="475" spans="1:23" x14ac:dyDescent="0.2">
      <c r="B475" s="163" t="s">
        <v>341</v>
      </c>
      <c r="C475" s="2761" t="s">
        <v>878</v>
      </c>
      <c r="D475" s="222"/>
      <c r="E475" s="222"/>
      <c r="F475" s="216"/>
      <c r="G475" s="1113">
        <v>2014</v>
      </c>
      <c r="H475" s="313">
        <v>2015</v>
      </c>
      <c r="I475" s="313" t="s">
        <v>958</v>
      </c>
      <c r="J475" s="222"/>
      <c r="K475" s="222"/>
      <c r="L475" s="222"/>
      <c r="M475" s="222"/>
      <c r="N475" s="222"/>
      <c r="O475" s="222"/>
      <c r="P475" s="222"/>
      <c r="Q475" s="113" t="s">
        <v>104</v>
      </c>
      <c r="R475" s="37" t="s">
        <v>811</v>
      </c>
    </row>
    <row r="476" spans="1:23" x14ac:dyDescent="0.2">
      <c r="B476" s="446"/>
      <c r="C476" s="2761"/>
      <c r="D476" s="222"/>
      <c r="E476" s="222"/>
      <c r="F476" s="595" t="s">
        <v>694</v>
      </c>
      <c r="G476" s="1850">
        <v>40832</v>
      </c>
      <c r="H476" s="1851">
        <v>40657</v>
      </c>
      <c r="I476" s="1852">
        <f>AVERAGE(G476:H476)</f>
        <v>40744.5</v>
      </c>
      <c r="J476" s="222"/>
      <c r="K476" s="222"/>
      <c r="L476" s="222"/>
      <c r="M476" s="222"/>
      <c r="N476" s="222"/>
      <c r="O476" s="222"/>
      <c r="P476" s="222"/>
      <c r="Q476" s="113" t="s">
        <v>100</v>
      </c>
      <c r="R476" s="37" t="s">
        <v>436</v>
      </c>
    </row>
    <row r="477" spans="1:23" ht="12.75" customHeight="1" x14ac:dyDescent="0.25">
      <c r="B477" s="222"/>
      <c r="C477" s="222"/>
      <c r="D477" s="222"/>
      <c r="E477" s="222"/>
      <c r="F477" s="222"/>
      <c r="G477" s="224"/>
      <c r="H477" s="1519"/>
      <c r="I477" s="224"/>
      <c r="J477" s="222"/>
      <c r="K477" s="222"/>
      <c r="L477" s="224"/>
      <c r="M477" s="222"/>
      <c r="N477" s="222"/>
      <c r="O477" s="222"/>
      <c r="P477" s="222"/>
      <c r="Q477" s="1727" t="s">
        <v>446</v>
      </c>
      <c r="R477" s="2586" t="s">
        <v>877</v>
      </c>
    </row>
    <row r="478" spans="1:23" x14ac:dyDescent="0.2">
      <c r="B478" s="222"/>
      <c r="C478" s="222"/>
      <c r="D478" s="222"/>
      <c r="E478" s="222"/>
      <c r="F478" s="871" t="s">
        <v>809</v>
      </c>
      <c r="G478" s="1853">
        <v>28263</v>
      </c>
      <c r="H478" s="1854">
        <v>27972</v>
      </c>
      <c r="I478" s="1855">
        <f t="shared" ref="I478:I483" si="44">AVERAGE(G478:H478)</f>
        <v>28117.5</v>
      </c>
      <c r="J478" s="222"/>
      <c r="K478" s="222"/>
      <c r="L478" s="222"/>
      <c r="M478" s="222"/>
      <c r="N478" s="222"/>
      <c r="O478" s="222"/>
      <c r="P478" s="222"/>
      <c r="Q478" s="1761"/>
      <c r="R478" s="2588"/>
    </row>
    <row r="479" spans="1:23" ht="12.75" customHeight="1" x14ac:dyDescent="0.2">
      <c r="B479" s="222"/>
      <c r="C479" s="222"/>
      <c r="D479" s="222"/>
      <c r="E479" s="222"/>
      <c r="F479" s="1514" t="s">
        <v>959</v>
      </c>
      <c r="G479" s="1856">
        <v>82238</v>
      </c>
      <c r="H479" s="1857">
        <v>82912</v>
      </c>
      <c r="I479" s="1858">
        <f t="shared" si="44"/>
        <v>82575</v>
      </c>
      <c r="J479" s="222"/>
      <c r="K479" s="222"/>
      <c r="L479" s="222"/>
      <c r="M479" s="222"/>
      <c r="N479" s="222"/>
      <c r="O479" s="222"/>
      <c r="P479" s="222"/>
      <c r="Q479" s="1761"/>
      <c r="R479" s="2718" t="s">
        <v>964</v>
      </c>
    </row>
    <row r="480" spans="1:23" x14ac:dyDescent="0.2">
      <c r="B480" s="222"/>
      <c r="C480" s="222"/>
      <c r="D480" s="222"/>
      <c r="E480" s="222"/>
      <c r="F480" s="870" t="s">
        <v>810</v>
      </c>
      <c r="G480" s="1856">
        <v>11053</v>
      </c>
      <c r="H480" s="1857">
        <v>11118</v>
      </c>
      <c r="I480" s="1858">
        <f t="shared" si="44"/>
        <v>11085.5</v>
      </c>
      <c r="J480" s="222"/>
      <c r="K480" s="222"/>
      <c r="L480" s="222"/>
      <c r="M480" s="222"/>
      <c r="N480" s="222"/>
      <c r="O480" s="222"/>
      <c r="P480" s="222"/>
      <c r="Q480" s="1761"/>
      <c r="R480" s="2719"/>
    </row>
    <row r="481" spans="2:18" x14ac:dyDescent="0.2">
      <c r="B481" s="222"/>
      <c r="C481" s="222"/>
      <c r="D481" s="222"/>
      <c r="E481" s="222"/>
      <c r="F481" s="1524" t="s">
        <v>970</v>
      </c>
      <c r="G481" s="1856">
        <v>8072</v>
      </c>
      <c r="H481" s="1857">
        <v>8168</v>
      </c>
      <c r="I481" s="1858">
        <f t="shared" si="44"/>
        <v>8120</v>
      </c>
      <c r="J481" s="222"/>
      <c r="K481" s="222"/>
      <c r="L481" s="222"/>
      <c r="M481" s="222"/>
      <c r="N481" s="222"/>
      <c r="O481" s="222"/>
      <c r="P481" s="222"/>
      <c r="Q481" s="113" t="s">
        <v>352</v>
      </c>
      <c r="R481" s="37" t="s">
        <v>388</v>
      </c>
    </row>
    <row r="482" spans="2:18" x14ac:dyDescent="0.2">
      <c r="B482" s="222"/>
      <c r="C482" s="222"/>
      <c r="D482" s="222"/>
      <c r="E482" s="222"/>
      <c r="F482" s="1524" t="s">
        <v>971</v>
      </c>
      <c r="G482" s="1856">
        <v>21557</v>
      </c>
      <c r="H482" s="1857">
        <v>23614</v>
      </c>
      <c r="I482" s="1858">
        <f t="shared" si="44"/>
        <v>22585.5</v>
      </c>
      <c r="J482" s="222"/>
      <c r="K482" s="222"/>
      <c r="L482" s="222"/>
      <c r="M482" s="222"/>
      <c r="N482" s="222"/>
      <c r="O482" s="222"/>
      <c r="P482" s="222"/>
      <c r="Q482" s="113" t="s">
        <v>99</v>
      </c>
      <c r="R482" s="161" t="s">
        <v>965</v>
      </c>
    </row>
    <row r="483" spans="2:18" x14ac:dyDescent="0.2">
      <c r="B483" s="222"/>
      <c r="C483" s="222"/>
      <c r="D483" s="222"/>
      <c r="E483" s="222"/>
      <c r="F483" s="1524" t="s">
        <v>972</v>
      </c>
      <c r="G483" s="1859">
        <v>33727</v>
      </c>
      <c r="H483" s="1857">
        <v>34652</v>
      </c>
      <c r="I483" s="1860">
        <f t="shared" si="44"/>
        <v>34189.5</v>
      </c>
      <c r="J483" s="222"/>
      <c r="K483" s="222"/>
      <c r="L483" s="222"/>
      <c r="M483" s="222"/>
      <c r="N483" s="222"/>
      <c r="O483" s="222"/>
      <c r="P483" s="222"/>
      <c r="Q483" s="1516"/>
      <c r="R483" s="1516"/>
    </row>
    <row r="484" spans="2:18" x14ac:dyDescent="0.2">
      <c r="B484" s="222"/>
      <c r="C484" s="222"/>
      <c r="D484" s="222"/>
      <c r="E484" s="222"/>
      <c r="F484" s="1114" t="s">
        <v>879</v>
      </c>
      <c r="G484" s="1518"/>
      <c r="H484" s="1517"/>
      <c r="I484" s="1861">
        <f>SUM(I478:I483)</f>
        <v>186673</v>
      </c>
      <c r="J484" s="222"/>
      <c r="K484" s="222"/>
      <c r="L484" s="222"/>
      <c r="M484" s="222"/>
      <c r="N484" s="222"/>
      <c r="O484" s="222"/>
      <c r="P484" s="222"/>
      <c r="Q484" s="1516"/>
      <c r="R484" s="1516"/>
    </row>
    <row r="485" spans="2:18" x14ac:dyDescent="0.2">
      <c r="B485" s="223"/>
      <c r="C485" s="224"/>
      <c r="D485" s="224"/>
      <c r="E485" s="224"/>
      <c r="F485" s="1100" t="s">
        <v>812</v>
      </c>
      <c r="G485" s="1862">
        <v>243368</v>
      </c>
      <c r="H485" s="1863">
        <v>244307</v>
      </c>
      <c r="I485" s="1864">
        <f>AVERAGE(G485:H485)</f>
        <v>243837.5</v>
      </c>
      <c r="J485" s="222"/>
      <c r="K485" s="222"/>
      <c r="L485" s="222"/>
      <c r="M485" s="222"/>
      <c r="N485" s="222"/>
      <c r="O485" s="222"/>
      <c r="P485" s="222"/>
      <c r="Q485" s="222"/>
      <c r="R485" s="222"/>
    </row>
    <row r="486" spans="2:18" x14ac:dyDescent="0.25">
      <c r="B486" s="223"/>
      <c r="C486" s="224"/>
      <c r="D486" s="224"/>
      <c r="E486" s="224"/>
      <c r="F486" s="222"/>
      <c r="G486" s="222"/>
      <c r="H486" s="222"/>
      <c r="I486" s="222"/>
      <c r="J486" s="222"/>
      <c r="K486" s="222"/>
      <c r="L486" s="222"/>
      <c r="M486" s="222"/>
      <c r="N486" s="222"/>
      <c r="O486" s="222"/>
      <c r="P486" s="222"/>
      <c r="Q486" s="222"/>
      <c r="R486" s="222"/>
    </row>
  </sheetData>
  <sheetProtection sheet="1" objects="1" scenarios="1"/>
  <mergeCells count="73">
    <mergeCell ref="B400:B401"/>
    <mergeCell ref="C400:C401"/>
    <mergeCell ref="C394:C395"/>
    <mergeCell ref="B396:B397"/>
    <mergeCell ref="B377:B378"/>
    <mergeCell ref="C377:C378"/>
    <mergeCell ref="C383:C384"/>
    <mergeCell ref="B383:B384"/>
    <mergeCell ref="C396:C397"/>
    <mergeCell ref="H445:H446"/>
    <mergeCell ref="R469:R470"/>
    <mergeCell ref="C375:C376"/>
    <mergeCell ref="R357:R358"/>
    <mergeCell ref="C448:C449"/>
    <mergeCell ref="R377:R380"/>
    <mergeCell ref="R386:R389"/>
    <mergeCell ref="C398:C399"/>
    <mergeCell ref="C358:C359"/>
    <mergeCell ref="C360:C362"/>
    <mergeCell ref="N421:N422"/>
    <mergeCell ref="L421:L422"/>
    <mergeCell ref="H436:N436"/>
    <mergeCell ref="B202:B205"/>
    <mergeCell ref="C188:C189"/>
    <mergeCell ref="C149:C150"/>
    <mergeCell ref="R477:R478"/>
    <mergeCell ref="C240:C242"/>
    <mergeCell ref="R366:R367"/>
    <mergeCell ref="C446:C447"/>
    <mergeCell ref="R446:R447"/>
    <mergeCell ref="G445:G446"/>
    <mergeCell ref="R421:R422"/>
    <mergeCell ref="G421:G422"/>
    <mergeCell ref="C420:C422"/>
    <mergeCell ref="C423:C425"/>
    <mergeCell ref="C426:C428"/>
    <mergeCell ref="R185:R186"/>
    <mergeCell ref="C475:C476"/>
    <mergeCell ref="H77:H78"/>
    <mergeCell ref="C237:C239"/>
    <mergeCell ref="C202:C205"/>
    <mergeCell ref="C176:C177"/>
    <mergeCell ref="R168:R169"/>
    <mergeCell ref="Q188:Q190"/>
    <mergeCell ref="R188:R190"/>
    <mergeCell ref="C185:C186"/>
    <mergeCell ref="C86:C87"/>
    <mergeCell ref="R123:R125"/>
    <mergeCell ref="R100:R101"/>
    <mergeCell ref="C147:C148"/>
    <mergeCell ref="C130:C131"/>
    <mergeCell ref="C110:C111"/>
    <mergeCell ref="B46:B47"/>
    <mergeCell ref="C67:C68"/>
    <mergeCell ref="C69:C70"/>
    <mergeCell ref="C79:C80"/>
    <mergeCell ref="B79:B80"/>
    <mergeCell ref="C33:C34"/>
    <mergeCell ref="R479:R480"/>
    <mergeCell ref="C11:C14"/>
    <mergeCell ref="R48:R51"/>
    <mergeCell ref="Q48:Q51"/>
    <mergeCell ref="C46:C47"/>
    <mergeCell ref="R30:R31"/>
    <mergeCell ref="C18:C22"/>
    <mergeCell ref="C15:C17"/>
    <mergeCell ref="R177:R178"/>
    <mergeCell ref="C299:C300"/>
    <mergeCell ref="C308:C309"/>
    <mergeCell ref="R196:R197"/>
    <mergeCell ref="R88:R89"/>
    <mergeCell ref="C121:C122"/>
    <mergeCell ref="R139:R141"/>
  </mergeCells>
  <hyperlinks>
    <hyperlink ref="D4" location="Nat_data_bioen_other" display="Nat_data_bioen_other"/>
    <hyperlink ref="D3" location="Nat_data_bioen_lfill" display="Nat_data_bioen_lfill"/>
    <hyperlink ref="D2" location="Nat_data_biosolids" display="Nat_data_biosolids"/>
    <hyperlink ref="C6" location="Nat_data_flyash" display="Nat_data_flyash"/>
    <hyperlink ref="C5" location="Nat_data_plastic" display="Nat_data_plastic"/>
    <hyperlink ref="C3" location="Nat_data_CandI_rec" display="Nat_data_CandI_rec"/>
    <hyperlink ref="C2" location="Nat_data_lfill" display="Nat_data_lfill"/>
    <hyperlink ref="C32" location="Nat_data_bioen_lfill" display="Nat_data_bioen_lfill"/>
    <hyperlink ref="D5" location="Nat_data_hazwaste" display="Nat_data_hazwaste"/>
    <hyperlink ref="D6" location="Nat_data_popn" display="Nat_data_popn"/>
    <hyperlink ref="C4" location="Nat_data_recycl_strm" display="Nat_data_recycl_strm"/>
  </hyperlink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X183"/>
  <sheetViews>
    <sheetView zoomScale="85" zoomScaleNormal="85" workbookViewId="0">
      <pane xSplit="3" ySplit="5" topLeftCell="D6" activePane="bottomRight" state="frozen"/>
      <selection activeCell="C58" sqref="C58"/>
      <selection pane="topRight" activeCell="C58" sqref="C58"/>
      <selection pane="bottomLeft" activeCell="C58" sqref="C58"/>
      <selection pane="bottomRight" activeCell="D6" sqref="D6"/>
    </sheetView>
  </sheetViews>
  <sheetFormatPr defaultColWidth="9.140625" defaultRowHeight="12.75" outlineLevelRow="1" x14ac:dyDescent="0.2"/>
  <cols>
    <col min="1" max="1" width="4.28515625" style="74" customWidth="1"/>
    <col min="2" max="2" width="19.28515625" style="74" customWidth="1"/>
    <col min="3" max="3" width="35.5703125" style="74" customWidth="1"/>
    <col min="4" max="6" width="9.7109375" style="74" customWidth="1"/>
    <col min="7" max="7" width="10.85546875" style="74" customWidth="1"/>
    <col min="8" max="8" width="9.85546875" style="74" customWidth="1"/>
    <col min="9" max="9" width="10.5703125" style="74" customWidth="1"/>
    <col min="10" max="12" width="9.7109375" style="74" customWidth="1"/>
    <col min="13" max="13" width="9" style="74" customWidth="1"/>
    <col min="14" max="20" width="9.42578125" style="74" customWidth="1"/>
    <col min="21" max="21" width="9.140625" style="74"/>
    <col min="22" max="22" width="9.140625" style="75"/>
    <col min="23" max="24" width="9.140625" style="74"/>
    <col min="25" max="25" width="11" style="74" customWidth="1"/>
    <col min="26" max="26" width="10.42578125" style="74" customWidth="1"/>
    <col min="27" max="27" width="10" style="74" customWidth="1"/>
    <col min="28" max="16384" width="9.140625" style="74"/>
  </cols>
  <sheetData>
    <row r="1" spans="1:39" s="1681" customFormat="1" ht="21" x14ac:dyDescent="0.35">
      <c r="A1" s="1681" t="s">
        <v>850</v>
      </c>
      <c r="F1" s="1682" t="s">
        <v>958</v>
      </c>
      <c r="V1" s="1683"/>
    </row>
    <row r="2" spans="1:39" s="239" customFormat="1" x14ac:dyDescent="0.2">
      <c r="V2" s="240"/>
    </row>
    <row r="3" spans="1:39" s="241" customFormat="1" ht="18.75" x14ac:dyDescent="0.3">
      <c r="B3" s="268"/>
      <c r="C3" s="904" t="s">
        <v>845</v>
      </c>
      <c r="D3" s="277" t="s">
        <v>113</v>
      </c>
      <c r="E3" s="269"/>
      <c r="F3" s="269"/>
      <c r="G3" s="269"/>
      <c r="H3" s="278"/>
      <c r="I3" s="276" t="s">
        <v>114</v>
      </c>
      <c r="J3" s="270"/>
      <c r="K3" s="270"/>
      <c r="L3" s="270"/>
      <c r="M3" s="276"/>
      <c r="N3" s="2778" t="s">
        <v>38</v>
      </c>
      <c r="O3" s="2779"/>
      <c r="P3" s="2779"/>
      <c r="Q3" s="2779"/>
      <c r="R3" s="2779"/>
      <c r="S3" s="2779"/>
      <c r="T3" s="2779"/>
      <c r="U3" s="2780"/>
      <c r="Y3" s="242"/>
    </row>
    <row r="4" spans="1:39" ht="15" customHeight="1" x14ac:dyDescent="0.3">
      <c r="B4" s="2789" t="s">
        <v>843</v>
      </c>
      <c r="C4" s="2791" t="s">
        <v>844</v>
      </c>
      <c r="D4" s="2781" t="s">
        <v>453</v>
      </c>
      <c r="E4" s="2793"/>
      <c r="F4" s="2793"/>
      <c r="G4" s="2794"/>
      <c r="H4" s="2786" t="s">
        <v>110</v>
      </c>
      <c r="I4" s="2793" t="s">
        <v>111</v>
      </c>
      <c r="J4" s="2795"/>
      <c r="K4" s="2795"/>
      <c r="L4" s="2796"/>
      <c r="M4" s="2781" t="s">
        <v>110</v>
      </c>
      <c r="N4" s="2783" t="s">
        <v>456</v>
      </c>
      <c r="O4" s="2784"/>
      <c r="P4" s="2785"/>
      <c r="Q4" s="2784" t="s">
        <v>457</v>
      </c>
      <c r="R4" s="2784"/>
      <c r="S4" s="2784"/>
      <c r="T4" s="2785"/>
      <c r="U4" s="2786" t="s">
        <v>110</v>
      </c>
      <c r="V4" s="78"/>
      <c r="W4" s="241"/>
      <c r="X4" s="247"/>
      <c r="Y4" s="75"/>
    </row>
    <row r="5" spans="1:39" x14ac:dyDescent="0.2">
      <c r="B5" s="2790"/>
      <c r="C5" s="2792"/>
      <c r="D5" s="883" t="s">
        <v>16</v>
      </c>
      <c r="E5" s="300" t="s">
        <v>17</v>
      </c>
      <c r="F5" s="300" t="s">
        <v>18</v>
      </c>
      <c r="G5" s="300" t="s">
        <v>88</v>
      </c>
      <c r="H5" s="2787"/>
      <c r="I5" s="300" t="s">
        <v>16</v>
      </c>
      <c r="J5" s="300" t="s">
        <v>17</v>
      </c>
      <c r="K5" s="300" t="s">
        <v>18</v>
      </c>
      <c r="L5" s="300" t="s">
        <v>88</v>
      </c>
      <c r="M5" s="2782"/>
      <c r="N5" s="883" t="s">
        <v>16</v>
      </c>
      <c r="O5" s="300" t="s">
        <v>17</v>
      </c>
      <c r="P5" s="301" t="s">
        <v>18</v>
      </c>
      <c r="Q5" s="300" t="s">
        <v>16</v>
      </c>
      <c r="R5" s="300" t="s">
        <v>17</v>
      </c>
      <c r="S5" s="300" t="s">
        <v>18</v>
      </c>
      <c r="T5" s="300" t="s">
        <v>88</v>
      </c>
      <c r="U5" s="2787"/>
      <c r="V5" s="243"/>
      <c r="Y5" s="75"/>
    </row>
    <row r="6" spans="1:39" ht="12.75" customHeight="1" outlineLevel="1" x14ac:dyDescent="0.2">
      <c r="A6" s="459"/>
      <c r="B6" s="466" t="s">
        <v>25</v>
      </c>
      <c r="C6" s="642" t="s">
        <v>42</v>
      </c>
      <c r="D6" s="641"/>
      <c r="E6" s="27"/>
      <c r="F6" s="27"/>
      <c r="G6" s="27"/>
      <c r="H6" s="271"/>
      <c r="I6" s="958" t="str">
        <f>IF(ISNUMBER(ACT!G224),ACT!G224,"")</f>
        <v/>
      </c>
      <c r="J6" s="987" t="str">
        <f>IF(ISNUMBER(ACT!H224),ACT!H224,"")</f>
        <v/>
      </c>
      <c r="K6" s="987" t="str">
        <f>IF(ISNUMBER(ACT!I224),ACT!I224,"")</f>
        <v/>
      </c>
      <c r="L6" s="294">
        <f>IF(ISNUMBER(I6),SUM(I6:K6),ACT!J224)</f>
        <v>21776.052549117714</v>
      </c>
      <c r="M6" s="959">
        <f>L6/Pop_ACT*1000</f>
        <v>56.161191073233532</v>
      </c>
      <c r="N6" s="907"/>
      <c r="O6" s="907"/>
      <c r="P6" s="908"/>
      <c r="Q6" s="916"/>
      <c r="R6" s="917"/>
      <c r="S6" s="917"/>
      <c r="T6" s="918"/>
      <c r="U6" s="922"/>
      <c r="V6" s="78"/>
      <c r="AH6" s="245"/>
      <c r="AI6" s="78"/>
      <c r="AJ6" s="78"/>
      <c r="AK6" s="78"/>
      <c r="AL6" s="78"/>
      <c r="AM6" s="78"/>
    </row>
    <row r="7" spans="1:39" ht="12.75" customHeight="1" outlineLevel="1" x14ac:dyDescent="0.2">
      <c r="A7" s="459"/>
      <c r="B7" s="467" t="str">
        <f>B6</f>
        <v>Masonry materials</v>
      </c>
      <c r="C7" s="643" t="s">
        <v>44</v>
      </c>
      <c r="D7" s="27"/>
      <c r="E7" s="27"/>
      <c r="F7" s="27"/>
      <c r="G7" s="27"/>
      <c r="H7" s="271"/>
      <c r="I7" s="282" t="str">
        <f>IF(ISNUMBER(ACT!G225),ACT!G225,"")</f>
        <v/>
      </c>
      <c r="J7" s="29" t="str">
        <f>IF(ISNUMBER(ACT!H225),ACT!H225,"")</f>
        <v/>
      </c>
      <c r="K7" s="29" t="str">
        <f>IF(ISNUMBER(ACT!I225),ACT!I225,"")</f>
        <v/>
      </c>
      <c r="L7" s="28">
        <f>IF(ISNUMBER(I7),SUM(I7:K7),ACT!J225)</f>
        <v>34995.019419227217</v>
      </c>
      <c r="M7" s="272">
        <f>L7/Pop_ACT*1000</f>
        <v>90.253362852688682</v>
      </c>
      <c r="N7" s="907"/>
      <c r="O7" s="907"/>
      <c r="P7" s="908"/>
      <c r="Q7" s="465"/>
      <c r="R7" s="914"/>
      <c r="S7" s="914"/>
      <c r="T7" s="919"/>
      <c r="U7" s="922"/>
      <c r="V7" s="78"/>
    </row>
    <row r="8" spans="1:39" ht="12.75" customHeight="1" outlineLevel="1" x14ac:dyDescent="0.2">
      <c r="A8" s="459"/>
      <c r="B8" s="467" t="str">
        <f t="shared" ref="B8:B15" si="0">B7</f>
        <v>Masonry materials</v>
      </c>
      <c r="C8" s="643" t="s">
        <v>46</v>
      </c>
      <c r="D8" s="27"/>
      <c r="E8" s="27"/>
      <c r="F8" s="27"/>
      <c r="G8" s="27"/>
      <c r="H8" s="271"/>
      <c r="I8" s="282" t="str">
        <f>IF(ISNUMBER(ACT!G226),ACT!G226,"")</f>
        <v/>
      </c>
      <c r="J8" s="29" t="str">
        <f>IF(ISNUMBER(ACT!H226),ACT!H226,"")</f>
        <v/>
      </c>
      <c r="K8" s="29" t="str">
        <f>IF(ISNUMBER(ACT!I226),ACT!I226,"")</f>
        <v/>
      </c>
      <c r="L8" s="28">
        <f>IF(ISNUMBER(I8),SUM(I8:K8),ACT!J226)</f>
        <v>127777.98883213582</v>
      </c>
      <c r="M8" s="272">
        <f>L8/Pop_ACT*1000</f>
        <v>329.54384315378735</v>
      </c>
      <c r="N8" s="907"/>
      <c r="O8" s="907"/>
      <c r="P8" s="908"/>
      <c r="Q8" s="465"/>
      <c r="R8" s="914"/>
      <c r="S8" s="914"/>
      <c r="T8" s="919"/>
      <c r="U8" s="922"/>
      <c r="V8" s="80"/>
    </row>
    <row r="9" spans="1:39" ht="12.75" customHeight="1" outlineLevel="1" x14ac:dyDescent="0.2">
      <c r="A9" s="459"/>
      <c r="B9" s="467" t="str">
        <f t="shared" si="0"/>
        <v>Masonry materials</v>
      </c>
      <c r="C9" s="643" t="s">
        <v>47</v>
      </c>
      <c r="D9" s="27"/>
      <c r="E9" s="27"/>
      <c r="F9" s="27"/>
      <c r="G9" s="27"/>
      <c r="H9" s="271"/>
      <c r="I9" s="282"/>
      <c r="J9" s="29"/>
      <c r="K9" s="29"/>
      <c r="L9" s="28" t="str">
        <f>IF(SUM(I9:K9)&gt;0,SUM(I9:K9),"")</f>
        <v/>
      </c>
      <c r="M9" s="272" t="str">
        <f>IFERROR(L9/Pop_ACT*1000,"")</f>
        <v/>
      </c>
      <c r="N9" s="907"/>
      <c r="O9" s="907"/>
      <c r="P9" s="908"/>
      <c r="Q9" s="465"/>
      <c r="R9" s="914"/>
      <c r="S9" s="914"/>
      <c r="T9" s="919"/>
      <c r="U9" s="922"/>
      <c r="V9" s="80"/>
    </row>
    <row r="10" spans="1:39" ht="12.75" customHeight="1" outlineLevel="1" x14ac:dyDescent="0.2">
      <c r="A10" s="459"/>
      <c r="B10" s="467" t="str">
        <f t="shared" si="0"/>
        <v>Masonry materials</v>
      </c>
      <c r="C10" s="643" t="s">
        <v>49</v>
      </c>
      <c r="D10" s="27"/>
      <c r="E10" s="27"/>
      <c r="F10" s="27"/>
      <c r="G10" s="27"/>
      <c r="H10" s="280"/>
      <c r="I10" s="282" t="str">
        <f>IF(ISNUMBER(ACT!G228),ACT!G228,"")</f>
        <v/>
      </c>
      <c r="J10" s="29" t="str">
        <f>IF(ISNUMBER(ACT!H228),ACT!H228,"")</f>
        <v/>
      </c>
      <c r="K10" s="29" t="str">
        <f>IF(ISNUMBER(ACT!I228),ACT!I228,"")</f>
        <v/>
      </c>
      <c r="L10" s="28">
        <f>IF(ISNUMBER(I10),SUM(I10:K10),ACT!J227)</f>
        <v>0</v>
      </c>
      <c r="M10" s="272">
        <f t="shared" ref="M10:M20" si="1">L10/Pop_ACT*1000</f>
        <v>0</v>
      </c>
      <c r="N10" s="907"/>
      <c r="O10" s="907"/>
      <c r="P10" s="908"/>
      <c r="Q10" s="465"/>
      <c r="R10" s="914"/>
      <c r="S10" s="914"/>
      <c r="T10" s="919"/>
      <c r="U10" s="922"/>
      <c r="V10" s="80"/>
    </row>
    <row r="11" spans="1:39" s="501" customFormat="1" ht="15" x14ac:dyDescent="0.25">
      <c r="A11" s="499"/>
      <c r="B11" s="465" t="str">
        <f t="shared" si="0"/>
        <v>Masonry materials</v>
      </c>
      <c r="C11" s="644" t="s">
        <v>115</v>
      </c>
      <c r="D11" s="237">
        <f>ACT!G149</f>
        <v>2321.0042582567021</v>
      </c>
      <c r="E11" s="237">
        <f>ACT!H149</f>
        <v>2930.7211290835698</v>
      </c>
      <c r="F11" s="237">
        <f>ACT!I149</f>
        <v>8668.6622945452564</v>
      </c>
      <c r="G11" s="237">
        <f>SUM(D11:F11)</f>
        <v>13920.387681885528</v>
      </c>
      <c r="H11" s="275">
        <f>G11/Pop_ACT*1000</f>
        <v>35.901160260909386</v>
      </c>
      <c r="I11" s="237" t="str">
        <f>IF(SUM(I6:I10)&gt;0,SUM(I6:I10),"")</f>
        <v/>
      </c>
      <c r="J11" s="237" t="str">
        <f>IF(SUM(J6:J10)&gt;0,SUM(J6:J10),"")</f>
        <v/>
      </c>
      <c r="K11" s="237" t="str">
        <f>IF(SUM(K6:K10)&gt;0,SUM(K6:K10),"")</f>
        <v/>
      </c>
      <c r="L11" s="238">
        <f>SUM(L6:L10)</f>
        <v>184549.06080048074</v>
      </c>
      <c r="M11" s="273">
        <f t="shared" si="1"/>
        <v>475.95839707970953</v>
      </c>
      <c r="N11" s="907"/>
      <c r="O11" s="907"/>
      <c r="P11" s="908"/>
      <c r="Q11" s="920"/>
      <c r="R11" s="915"/>
      <c r="S11" s="915"/>
      <c r="T11" s="921"/>
      <c r="U11" s="923"/>
      <c r="V11" s="500"/>
    </row>
    <row r="12" spans="1:39" ht="12.75" customHeight="1" outlineLevel="1" x14ac:dyDescent="0.2">
      <c r="A12" s="459"/>
      <c r="B12" s="464" t="s">
        <v>28</v>
      </c>
      <c r="C12" s="645" t="s">
        <v>56</v>
      </c>
      <c r="D12" s="961"/>
      <c r="E12" s="961"/>
      <c r="F12" s="961"/>
      <c r="G12" s="961"/>
      <c r="H12" s="962"/>
      <c r="I12" s="976" t="str">
        <f>IF(ISNUMBER(ACT!G228),ACT!G228,"")</f>
        <v/>
      </c>
      <c r="J12" s="963" t="str">
        <f>IF(ISNUMBER(ACT!H228),ACT!H228,"")</f>
        <v/>
      </c>
      <c r="K12" s="963" t="str">
        <f>IF(ISNUMBER(ACT!I228),ACT!I228,"")</f>
        <v/>
      </c>
      <c r="L12" s="980">
        <f>IF(ISNUMBER(I12),SUM(I12:K12),ACT!J228)</f>
        <v>21164.671058139174</v>
      </c>
      <c r="M12" s="964">
        <f t="shared" si="1"/>
        <v>54.584417107610669</v>
      </c>
      <c r="N12" s="910"/>
      <c r="O12" s="910"/>
      <c r="P12" s="911"/>
      <c r="Q12" s="464"/>
      <c r="R12" s="912"/>
      <c r="S12" s="912"/>
      <c r="T12" s="925"/>
      <c r="U12" s="926"/>
      <c r="V12" s="80"/>
    </row>
    <row r="13" spans="1:39" ht="12.75" customHeight="1" outlineLevel="1" x14ac:dyDescent="0.2">
      <c r="A13" s="459"/>
      <c r="B13" s="468" t="str">
        <f t="shared" si="0"/>
        <v>Metals</v>
      </c>
      <c r="C13" s="645" t="s">
        <v>52</v>
      </c>
      <c r="D13" s="27"/>
      <c r="E13" s="27"/>
      <c r="F13" s="27"/>
      <c r="G13" s="27"/>
      <c r="H13" s="280"/>
      <c r="I13" s="282" t="str">
        <f>IF(ISNUMBER(ACT!G229),ACT!G229,"")</f>
        <v/>
      </c>
      <c r="J13" s="29" t="str">
        <f>IF(ISNUMBER(ACT!H229),ACT!H229,"")</f>
        <v/>
      </c>
      <c r="K13" s="29" t="str">
        <f>IF(ISNUMBER(ACT!I229),ACT!I229,"")</f>
        <v/>
      </c>
      <c r="L13" s="28">
        <f>IF(ISNUMBER(I13),SUM(I13:K13),ACT!J229)</f>
        <v>2720.3912406961331</v>
      </c>
      <c r="M13" s="272">
        <f t="shared" si="1"/>
        <v>7.0159828976384633</v>
      </c>
      <c r="N13" s="910"/>
      <c r="O13" s="910"/>
      <c r="P13" s="911"/>
      <c r="Q13" s="464"/>
      <c r="R13" s="912"/>
      <c r="S13" s="912"/>
      <c r="T13" s="925"/>
      <c r="U13" s="926"/>
      <c r="V13" s="80"/>
    </row>
    <row r="14" spans="1:39" ht="12.75" customHeight="1" outlineLevel="1" x14ac:dyDescent="0.2">
      <c r="A14" s="459"/>
      <c r="B14" s="468" t="str">
        <f t="shared" si="0"/>
        <v>Metals</v>
      </c>
      <c r="C14" s="645" t="s">
        <v>54</v>
      </c>
      <c r="D14" s="27"/>
      <c r="E14" s="27"/>
      <c r="F14" s="27"/>
      <c r="G14" s="27"/>
      <c r="H14" s="280"/>
      <c r="I14" s="282" t="str">
        <f>IF(ISNUMBER(ACT!G230),ACT!G230,"")</f>
        <v/>
      </c>
      <c r="J14" s="29" t="str">
        <f>IF(ISNUMBER(ACT!H230),ACT!H230,"")</f>
        <v/>
      </c>
      <c r="K14" s="29" t="str">
        <f>IF(ISNUMBER(ACT!I230),ACT!I230,"")</f>
        <v/>
      </c>
      <c r="L14" s="28">
        <f>IF(ISNUMBER(I14),SUM(I14:K14),ACT!J230)</f>
        <v>0</v>
      </c>
      <c r="M14" s="272">
        <f t="shared" si="1"/>
        <v>0</v>
      </c>
      <c r="N14" s="910"/>
      <c r="O14" s="910"/>
      <c r="P14" s="911"/>
      <c r="Q14" s="464"/>
      <c r="R14" s="912"/>
      <c r="S14" s="912"/>
      <c r="T14" s="925"/>
      <c r="U14" s="926"/>
      <c r="V14" s="80"/>
    </row>
    <row r="15" spans="1:39" s="247" customFormat="1" x14ac:dyDescent="0.2">
      <c r="A15" s="459"/>
      <c r="B15" s="464" t="str">
        <f t="shared" si="0"/>
        <v>Metals</v>
      </c>
      <c r="C15" s="646" t="s">
        <v>115</v>
      </c>
      <c r="D15" s="966">
        <f>ACT!G150</f>
        <v>2042.4837472658978</v>
      </c>
      <c r="E15" s="966">
        <f>ACT!H150</f>
        <v>2194.2952900015816</v>
      </c>
      <c r="F15" s="966">
        <f>ACT!I150</f>
        <v>838.46636022098323</v>
      </c>
      <c r="G15" s="966">
        <f>SUM(D15:F15)</f>
        <v>5075.245397488462</v>
      </c>
      <c r="H15" s="967">
        <f>G15/Pop_ACT*1000</f>
        <v>13.089233040239288</v>
      </c>
      <c r="I15" s="965" t="str">
        <f>IF(SUM(I12:I14)&gt;0,SUM(I12:I14),"")</f>
        <v/>
      </c>
      <c r="J15" s="966" t="str">
        <f>IF(SUM(J12:J14)&gt;0,SUM(J12:J14),"")</f>
        <v/>
      </c>
      <c r="K15" s="966" t="str">
        <f>IF(SUM(K12:K14)&gt;0,SUM(K12:K14),"")</f>
        <v/>
      </c>
      <c r="L15" s="971">
        <f>SUM(L12:L14)</f>
        <v>23885.062298835306</v>
      </c>
      <c r="M15" s="968">
        <f t="shared" si="1"/>
        <v>61.600400005249128</v>
      </c>
      <c r="N15" s="910"/>
      <c r="O15" s="910"/>
      <c r="P15" s="911"/>
      <c r="Q15" s="927"/>
      <c r="R15" s="913"/>
      <c r="S15" s="913"/>
      <c r="T15" s="928"/>
      <c r="U15" s="929"/>
      <c r="V15" s="246"/>
    </row>
    <row r="16" spans="1:39" ht="12.75" customHeight="1" outlineLevel="1" x14ac:dyDescent="0.2">
      <c r="A16" s="459"/>
      <c r="B16" s="465" t="s">
        <v>22</v>
      </c>
      <c r="C16" s="643" t="s">
        <v>61</v>
      </c>
      <c r="D16" s="29">
        <f>ACT!G151</f>
        <v>22199.411842180605</v>
      </c>
      <c r="E16" s="29">
        <f>ACT!H151</f>
        <v>22390.222472537855</v>
      </c>
      <c r="F16" s="29">
        <f>ACT!I151</f>
        <v>38.349974176573163</v>
      </c>
      <c r="G16" s="29">
        <f>SUM(D16:F16)</f>
        <v>44627.98428889503</v>
      </c>
      <c r="H16" s="283">
        <f>G16/Pop_ACT*1000</f>
        <v>115.0971117106092</v>
      </c>
      <c r="I16" s="976" t="str">
        <f>ACT!G231</f>
        <v/>
      </c>
      <c r="J16" s="963">
        <f>ACT!J231</f>
        <v>389.28955981038939</v>
      </c>
      <c r="K16" s="963" t="str">
        <f>IF(ISNUMBER(ACT!I231),ACT!I231,"")</f>
        <v/>
      </c>
      <c r="L16" s="28">
        <f>IF(ISNUMBER(I16),SUM(I16:K16),ACT!J231)</f>
        <v>389.28955981038939</v>
      </c>
      <c r="M16" s="272">
        <f t="shared" si="1"/>
        <v>1.0039912101613686</v>
      </c>
      <c r="N16" s="282">
        <f>'Other national data'!G320</f>
        <v>11269.469561881044</v>
      </c>
      <c r="O16" s="29">
        <f>'Other national data'!H320</f>
        <v>5269.4332986805894</v>
      </c>
      <c r="P16" s="28">
        <f>'Other national data'!I320</f>
        <v>0</v>
      </c>
      <c r="Q16" s="29">
        <f>N16</f>
        <v>11269.469561881044</v>
      </c>
      <c r="R16" s="29">
        <f>O16</f>
        <v>5269.4332986805894</v>
      </c>
      <c r="S16" s="29">
        <f>P16</f>
        <v>0</v>
      </c>
      <c r="T16" s="29">
        <f>SUM(Q16:S16)</f>
        <v>16538.902860561633</v>
      </c>
      <c r="U16" s="272">
        <f t="shared" ref="U16:U21" si="2">T16/Pop_ACT*1000</f>
        <v>42.654401278586363</v>
      </c>
      <c r="V16" s="80"/>
    </row>
    <row r="17" spans="1:22" ht="12.75" customHeight="1" outlineLevel="1" x14ac:dyDescent="0.2">
      <c r="A17" s="459"/>
      <c r="B17" s="467" t="str">
        <f>B16</f>
        <v>Organics</v>
      </c>
      <c r="C17" s="643" t="s">
        <v>63</v>
      </c>
      <c r="D17" s="29">
        <f>ACT!G152</f>
        <v>6643.4755549739421</v>
      </c>
      <c r="E17" s="29">
        <f>ACT!H152</f>
        <v>5716.3558859769973</v>
      </c>
      <c r="F17" s="29">
        <f>ACT!I152</f>
        <v>315.58023455450405</v>
      </c>
      <c r="G17" s="29"/>
      <c r="H17" s="283"/>
      <c r="I17" s="282" t="str">
        <f>IF(ISNUMBER(ACT!G232),ACT!G232,"")</f>
        <v/>
      </c>
      <c r="J17" s="29" t="str">
        <f>IF(ISNUMBER(ACT!H232),ACT!H232,"")</f>
        <v/>
      </c>
      <c r="K17" s="29" t="str">
        <f>IF(ISNUMBER(ACT!I232),ACT!I232,"")</f>
        <v/>
      </c>
      <c r="L17" s="28">
        <f>IF(ISNUMBER(I17),SUM(I17:K17),ACT!J232)</f>
        <v>203502.31658170896</v>
      </c>
      <c r="M17" s="272">
        <f t="shared" si="1"/>
        <v>524.83949786638789</v>
      </c>
      <c r="N17" s="282">
        <f>'Other national data'!G321</f>
        <v>690.89790111723653</v>
      </c>
      <c r="O17" s="29">
        <f>'Other national data'!H321</f>
        <v>274.26729240087229</v>
      </c>
      <c r="P17" s="28">
        <f>'Other national data'!I321</f>
        <v>0.90314178931295852</v>
      </c>
      <c r="Q17" s="29">
        <f t="shared" ref="Q17:S19" si="3">N17</f>
        <v>690.89790111723653</v>
      </c>
      <c r="R17" s="29">
        <f t="shared" si="3"/>
        <v>274.26729240087229</v>
      </c>
      <c r="S17" s="29">
        <f t="shared" si="3"/>
        <v>0.90314178931295852</v>
      </c>
      <c r="T17" s="29">
        <f>SUM(Q17:S17)</f>
        <v>966.06833530742176</v>
      </c>
      <c r="U17" s="272">
        <f t="shared" si="2"/>
        <v>2.4915235783263658</v>
      </c>
      <c r="V17" s="248"/>
    </row>
    <row r="18" spans="1:22" ht="12.75" customHeight="1" outlineLevel="1" x14ac:dyDescent="0.2">
      <c r="A18" s="459"/>
      <c r="B18" s="467" t="str">
        <f>B17</f>
        <v>Organics</v>
      </c>
      <c r="C18" s="643" t="s">
        <v>67</v>
      </c>
      <c r="D18" s="29">
        <f>ACT!G153</f>
        <v>2417.9094712132937</v>
      </c>
      <c r="E18" s="29">
        <f>ACT!H153</f>
        <v>11071.957253188097</v>
      </c>
      <c r="F18" s="29">
        <f>ACT!I153</f>
        <v>5010.7234548464303</v>
      </c>
      <c r="G18" s="29"/>
      <c r="H18" s="283"/>
      <c r="I18" s="282" t="str">
        <f>IF(ISNUMBER(ACT!G233),ACT!G233,"")</f>
        <v/>
      </c>
      <c r="J18" s="29" t="str">
        <f>IF(ISNUMBER(ACT!H233),ACT!H233,"")</f>
        <v/>
      </c>
      <c r="K18" s="29" t="str">
        <f>IF(ISNUMBER(ACT!I233),ACT!I233,"")</f>
        <v/>
      </c>
      <c r="L18" s="28">
        <f>IF(ISNUMBER(I18),SUM(I18:K18),ACT!J233)</f>
        <v>17242.556370086295</v>
      </c>
      <c r="M18" s="272">
        <f t="shared" si="1"/>
        <v>44.469147964590618</v>
      </c>
      <c r="N18" s="282">
        <f>'Other national data'!G322</f>
        <v>228.03538319934637</v>
      </c>
      <c r="O18" s="29">
        <f>'Other national data'!H322</f>
        <v>784.14185992270677</v>
      </c>
      <c r="P18" s="28">
        <f>'Other national data'!I322</f>
        <v>2.4788359749228004</v>
      </c>
      <c r="Q18" s="29">
        <f t="shared" si="3"/>
        <v>228.03538319934637</v>
      </c>
      <c r="R18" s="29">
        <f t="shared" si="3"/>
        <v>784.14185992270677</v>
      </c>
      <c r="S18" s="29">
        <f t="shared" si="3"/>
        <v>2.4788359749228004</v>
      </c>
      <c r="T18" s="29">
        <f>SUM(Q18:S18)</f>
        <v>1014.656079096976</v>
      </c>
      <c r="U18" s="272">
        <f t="shared" si="2"/>
        <v>2.6168330464509291</v>
      </c>
      <c r="V18" s="74"/>
    </row>
    <row r="19" spans="1:22" ht="12.75" customHeight="1" outlineLevel="1" x14ac:dyDescent="0.2">
      <c r="A19" s="459"/>
      <c r="B19" s="467" t="str">
        <f>B18</f>
        <v>Organics</v>
      </c>
      <c r="C19" s="643" t="s">
        <v>65</v>
      </c>
      <c r="D19" s="29">
        <f>ACT!G154</f>
        <v>4947.2740498483281</v>
      </c>
      <c r="E19" s="29">
        <f>ACT!H154</f>
        <v>2387.4904308082782</v>
      </c>
      <c r="F19" s="29">
        <f>ACT!I154</f>
        <v>8.1211710020978476</v>
      </c>
      <c r="G19" s="29"/>
      <c r="H19" s="283"/>
      <c r="I19" s="282"/>
      <c r="J19" s="29"/>
      <c r="K19" s="29"/>
      <c r="L19" s="28"/>
      <c r="M19" s="272">
        <f t="shared" si="1"/>
        <v>0</v>
      </c>
      <c r="N19" s="282">
        <f>'Other national data'!G323</f>
        <v>623.13616996775636</v>
      </c>
      <c r="O19" s="29">
        <f>'Other national data'!H323</f>
        <v>0</v>
      </c>
      <c r="P19" s="28">
        <f>'Other national data'!I323</f>
        <v>0</v>
      </c>
      <c r="Q19" s="29">
        <f t="shared" si="3"/>
        <v>623.13616996775636</v>
      </c>
      <c r="R19" s="29">
        <f t="shared" si="3"/>
        <v>0</v>
      </c>
      <c r="S19" s="29">
        <f t="shared" si="3"/>
        <v>0</v>
      </c>
      <c r="T19" s="29">
        <f>SUM(Q19:S19)</f>
        <v>623.13616996775636</v>
      </c>
      <c r="U19" s="272">
        <f t="shared" si="2"/>
        <v>1.6070896884210539</v>
      </c>
      <c r="V19" s="74"/>
    </row>
    <row r="20" spans="1:22" ht="12.75" customHeight="1" outlineLevel="1" x14ac:dyDescent="0.2">
      <c r="A20" s="459"/>
      <c r="B20" s="467" t="str">
        <f>B19</f>
        <v>Organics</v>
      </c>
      <c r="C20" s="643" t="s">
        <v>903</v>
      </c>
      <c r="D20" s="29">
        <v>0</v>
      </c>
      <c r="E20" s="29">
        <v>0</v>
      </c>
      <c r="F20" s="29">
        <v>0</v>
      </c>
      <c r="G20" s="29">
        <f>SUM(D20:F20)</f>
        <v>0</v>
      </c>
      <c r="H20" s="283">
        <f>G20/Pop_ACT*1000</f>
        <v>0</v>
      </c>
      <c r="I20" s="29">
        <v>0</v>
      </c>
      <c r="J20" s="29">
        <v>0</v>
      </c>
      <c r="K20" s="29">
        <v>0</v>
      </c>
      <c r="L20" s="29">
        <f>SUM(I20:K20)</f>
        <v>0</v>
      </c>
      <c r="M20" s="272">
        <f t="shared" si="1"/>
        <v>0</v>
      </c>
      <c r="N20" s="282">
        <v>0</v>
      </c>
      <c r="O20" s="29">
        <v>0</v>
      </c>
      <c r="P20" s="28">
        <v>0</v>
      </c>
      <c r="Q20" s="27">
        <v>0</v>
      </c>
      <c r="R20" s="27">
        <v>0</v>
      </c>
      <c r="S20" s="27">
        <v>0</v>
      </c>
      <c r="T20" s="29">
        <f>SUM(Q20:S20)</f>
        <v>0</v>
      </c>
      <c r="U20" s="272">
        <f t="shared" si="2"/>
        <v>0</v>
      </c>
      <c r="V20" s="74"/>
    </row>
    <row r="21" spans="1:22" s="247" customFormat="1" x14ac:dyDescent="0.2">
      <c r="A21" s="459"/>
      <c r="B21" s="465" t="str">
        <f>B20</f>
        <v>Organics</v>
      </c>
      <c r="C21" s="644" t="s">
        <v>115</v>
      </c>
      <c r="D21" s="237">
        <f>SUM(D16:D20)</f>
        <v>36208.070918216166</v>
      </c>
      <c r="E21" s="237">
        <f>SUM(E16:E20)</f>
        <v>41566.026042511228</v>
      </c>
      <c r="F21" s="237">
        <f>SUM(F16:F20)</f>
        <v>5372.7748345796053</v>
      </c>
      <c r="G21" s="237">
        <f>SUM(D21:F21)</f>
        <v>83146.871795306986</v>
      </c>
      <c r="H21" s="275">
        <f>G21/Pop_ACT*1000</f>
        <v>214.4386519781375</v>
      </c>
      <c r="I21" s="965" t="str">
        <f>IF(SUM(I16:I20)&gt;0,SUM(I16:I20),"")</f>
        <v/>
      </c>
      <c r="J21" s="966">
        <f>IF(SUM(J16:J20)&gt;0,SUM(J16:J20),"")</f>
        <v>389.28955981038939</v>
      </c>
      <c r="K21" s="966" t="str">
        <f>IF(SUM(K16:K20)&gt;0,SUM(K16:K20),"")</f>
        <v/>
      </c>
      <c r="L21" s="237">
        <f>SUM(L16:L20)</f>
        <v>221134.16251160565</v>
      </c>
      <c r="M21" s="273">
        <f>L21/Pop_ACT*1000</f>
        <v>570.31263704113985</v>
      </c>
      <c r="N21" s="237">
        <f t="shared" ref="N21:S21" si="4">SUM(N16:N20)</f>
        <v>12811.539016165383</v>
      </c>
      <c r="O21" s="237">
        <f t="shared" si="4"/>
        <v>6327.8424510041677</v>
      </c>
      <c r="P21" s="238">
        <f t="shared" si="4"/>
        <v>3.3819777642357591</v>
      </c>
      <c r="Q21" s="281">
        <f t="shared" si="4"/>
        <v>12811.539016165383</v>
      </c>
      <c r="R21" s="237">
        <f t="shared" si="4"/>
        <v>6327.8424510041677</v>
      </c>
      <c r="S21" s="237">
        <f t="shared" si="4"/>
        <v>3.3819777642357591</v>
      </c>
      <c r="T21" s="237">
        <f>SUM(N21:P21)</f>
        <v>19142.763444933786</v>
      </c>
      <c r="U21" s="273">
        <f t="shared" si="2"/>
        <v>49.369847591784705</v>
      </c>
      <c r="V21" s="246"/>
    </row>
    <row r="22" spans="1:22" ht="12.75" customHeight="1" outlineLevel="1" x14ac:dyDescent="0.2">
      <c r="A22" s="459"/>
      <c r="B22" s="464" t="s">
        <v>20</v>
      </c>
      <c r="C22" s="645" t="s">
        <v>74</v>
      </c>
      <c r="D22" s="961"/>
      <c r="E22" s="961"/>
      <c r="F22" s="961"/>
      <c r="G22" s="961"/>
      <c r="H22" s="962"/>
      <c r="I22" s="963"/>
      <c r="J22" s="963"/>
      <c r="K22" s="963"/>
      <c r="L22" s="963"/>
      <c r="M22" s="964"/>
      <c r="N22" s="961"/>
      <c r="O22" s="961"/>
      <c r="P22" s="969"/>
      <c r="Q22" s="961"/>
      <c r="R22" s="961"/>
      <c r="S22" s="961"/>
      <c r="T22" s="961"/>
      <c r="U22" s="970"/>
      <c r="V22" s="74"/>
    </row>
    <row r="23" spans="1:22" ht="12.75" customHeight="1" outlineLevel="1" x14ac:dyDescent="0.2">
      <c r="A23" s="459"/>
      <c r="B23" s="468" t="str">
        <f>B22</f>
        <v>Paper &amp; cardboard</v>
      </c>
      <c r="C23" s="645" t="s">
        <v>89</v>
      </c>
      <c r="D23" s="27"/>
      <c r="E23" s="27"/>
      <c r="F23" s="27"/>
      <c r="G23" s="27"/>
      <c r="H23" s="280"/>
      <c r="I23" s="282" t="str">
        <f>IF(ISNUMBER(ACT!G238),ACT!G234,"")</f>
        <v/>
      </c>
      <c r="J23" s="29" t="str">
        <f>IF(ISNUMBER(ACT!H238),ACT!H234,"")</f>
        <v/>
      </c>
      <c r="K23" s="29" t="str">
        <f>IF(ISNUMBER(ACT!I238),ACT!I234,"")</f>
        <v/>
      </c>
      <c r="L23" s="28">
        <f>IF(ISNUMBER(I23),SUM(I23:K23),ACT!J234)</f>
        <v>9625.2604343867843</v>
      </c>
      <c r="M23" s="272">
        <f>L23/Pop_ACT*1000</f>
        <v>24.823878853430333</v>
      </c>
      <c r="N23" s="27"/>
      <c r="O23" s="27"/>
      <c r="P23" s="297"/>
      <c r="Q23" s="27"/>
      <c r="R23" s="27"/>
      <c r="S23" s="27"/>
      <c r="T23" s="27"/>
      <c r="U23" s="271"/>
      <c r="V23" s="74"/>
    </row>
    <row r="24" spans="1:22" ht="12.75" customHeight="1" outlineLevel="1" x14ac:dyDescent="0.2">
      <c r="A24" s="459"/>
      <c r="B24" s="468" t="str">
        <f>B23</f>
        <v>Paper &amp; cardboard</v>
      </c>
      <c r="C24" s="645" t="s">
        <v>76</v>
      </c>
      <c r="D24" s="27"/>
      <c r="E24" s="27"/>
      <c r="F24" s="27"/>
      <c r="G24" s="27"/>
      <c r="H24" s="280"/>
      <c r="I24" s="29"/>
      <c r="J24" s="29"/>
      <c r="K24" s="29"/>
      <c r="L24" s="29"/>
      <c r="M24" s="272"/>
      <c r="N24" s="27"/>
      <c r="O24" s="27"/>
      <c r="P24" s="297"/>
      <c r="Q24" s="27"/>
      <c r="R24" s="27"/>
      <c r="S24" s="27"/>
      <c r="T24" s="27"/>
      <c r="U24" s="271"/>
      <c r="V24" s="74"/>
    </row>
    <row r="25" spans="1:22" ht="12.75" customHeight="1" outlineLevel="1" x14ac:dyDescent="0.2">
      <c r="A25" s="459"/>
      <c r="B25" s="468" t="str">
        <f>B24</f>
        <v>Paper &amp; cardboard</v>
      </c>
      <c r="C25" s="645" t="s">
        <v>79</v>
      </c>
      <c r="D25" s="27"/>
      <c r="E25" s="27"/>
      <c r="F25" s="27"/>
      <c r="G25" s="27"/>
      <c r="H25" s="280"/>
      <c r="I25" s="29"/>
      <c r="J25" s="29"/>
      <c r="K25" s="29"/>
      <c r="L25" s="29"/>
      <c r="M25" s="272"/>
      <c r="N25" s="27"/>
      <c r="O25" s="27"/>
      <c r="P25" s="297"/>
      <c r="Q25" s="27"/>
      <c r="R25" s="27"/>
      <c r="S25" s="27"/>
      <c r="T25" s="27"/>
      <c r="U25" s="271"/>
      <c r="V25" s="74"/>
    </row>
    <row r="26" spans="1:22" s="247" customFormat="1" x14ac:dyDescent="0.2">
      <c r="A26" s="459"/>
      <c r="B26" s="464" t="str">
        <f>B25</f>
        <v>Paper &amp; cardboard</v>
      </c>
      <c r="C26" s="646" t="s">
        <v>115</v>
      </c>
      <c r="D26" s="966">
        <f>ACT!G155</f>
        <v>9023.715422616373</v>
      </c>
      <c r="E26" s="966">
        <f>ACT!H155</f>
        <v>20297.366832398358</v>
      </c>
      <c r="F26" s="966">
        <f>ACT!I155</f>
        <v>1298.2131166029899</v>
      </c>
      <c r="G26" s="966">
        <f>SUM(D26:F26)</f>
        <v>30619.295371617722</v>
      </c>
      <c r="H26" s="967">
        <f>G26/Pop_ACT*1000</f>
        <v>78.968219516115667</v>
      </c>
      <c r="I26" s="965" t="str">
        <f>IF(SUM(I23,ACT!G235)&gt;0,SUM(I23,ACT!G235),"")</f>
        <v/>
      </c>
      <c r="J26" s="966" t="str">
        <f>IF(SUM(J23,ACT!H235)&gt;0,SUM(J23,ACT!H235),"")</f>
        <v/>
      </c>
      <c r="K26" s="966" t="str">
        <f>IF(SUM(K23,ACT!I235)&gt;0,SUM(K23,ACT!I235),"")</f>
        <v/>
      </c>
      <c r="L26" s="971">
        <f>IF(ISNUMBER(I26),SUM(I26:K26),SUM(L23,ACT!J235))</f>
        <v>30158.441182216528</v>
      </c>
      <c r="M26" s="968">
        <f>L26/Pop_ACT*1000</f>
        <v>77.779660656355333</v>
      </c>
      <c r="N26" s="965">
        <f>'Other national data'!G324</f>
        <v>4391.6891901073632</v>
      </c>
      <c r="O26" s="966">
        <f>'Other national data'!H324</f>
        <v>9878.3840503296888</v>
      </c>
      <c r="P26" s="971">
        <f>'Other national data'!I324</f>
        <v>631.81829696795432</v>
      </c>
      <c r="Q26" s="966">
        <f>N26</f>
        <v>4391.6891901073632</v>
      </c>
      <c r="R26" s="966">
        <f>O26</f>
        <v>9878.3840503296888</v>
      </c>
      <c r="S26" s="966">
        <f>P26</f>
        <v>631.81829696795432</v>
      </c>
      <c r="T26" s="966">
        <f>SUM(N26:P26)</f>
        <v>14901.891537405007</v>
      </c>
      <c r="U26" s="968">
        <f>T26/Pop_ACT*1000</f>
        <v>38.432492578583201</v>
      </c>
      <c r="V26" s="246"/>
    </row>
    <row r="27" spans="1:22" ht="12.75" customHeight="1" outlineLevel="1" x14ac:dyDescent="0.2">
      <c r="A27" s="459"/>
      <c r="B27" s="465" t="s">
        <v>32</v>
      </c>
      <c r="C27" s="643" t="s">
        <v>90</v>
      </c>
      <c r="D27" s="27"/>
      <c r="E27" s="27"/>
      <c r="F27" s="27"/>
      <c r="G27" s="27"/>
      <c r="H27" s="280"/>
      <c r="I27" s="1480"/>
      <c r="J27" s="1480"/>
      <c r="K27" s="1480"/>
      <c r="L27" s="1480"/>
      <c r="M27" s="1481"/>
      <c r="N27" s="907"/>
      <c r="O27" s="907"/>
      <c r="P27" s="908"/>
      <c r="Q27" s="27"/>
      <c r="R27" s="27"/>
      <c r="S27" s="27"/>
      <c r="T27" s="27"/>
      <c r="U27" s="271"/>
      <c r="V27" s="74"/>
    </row>
    <row r="28" spans="1:22" ht="12.75" customHeight="1" outlineLevel="1" x14ac:dyDescent="0.2">
      <c r="A28" s="459"/>
      <c r="B28" s="467" t="str">
        <f t="shared" ref="B28:B36" si="5">B27</f>
        <v>Plastics</v>
      </c>
      <c r="C28" s="643" t="s">
        <v>91</v>
      </c>
      <c r="D28" s="27"/>
      <c r="E28" s="27"/>
      <c r="F28" s="27"/>
      <c r="G28" s="27"/>
      <c r="H28" s="280"/>
      <c r="I28" s="1480"/>
      <c r="J28" s="1480"/>
      <c r="K28" s="1480"/>
      <c r="L28" s="1480"/>
      <c r="M28" s="1481"/>
      <c r="N28" s="907"/>
      <c r="O28" s="907"/>
      <c r="P28" s="908"/>
      <c r="Q28" s="27"/>
      <c r="R28" s="27"/>
      <c r="S28" s="27"/>
      <c r="T28" s="27"/>
      <c r="U28" s="271"/>
      <c r="V28" s="74"/>
    </row>
    <row r="29" spans="1:22" ht="12.75" customHeight="1" outlineLevel="1" x14ac:dyDescent="0.2">
      <c r="A29" s="459"/>
      <c r="B29" s="467" t="str">
        <f t="shared" si="5"/>
        <v>Plastics</v>
      </c>
      <c r="C29" s="643" t="s">
        <v>92</v>
      </c>
      <c r="D29" s="27"/>
      <c r="E29" s="27"/>
      <c r="F29" s="27"/>
      <c r="G29" s="27"/>
      <c r="H29" s="280"/>
      <c r="I29" s="1480"/>
      <c r="J29" s="1480"/>
      <c r="K29" s="1480"/>
      <c r="L29" s="1480"/>
      <c r="M29" s="1481"/>
      <c r="N29" s="907"/>
      <c r="O29" s="907"/>
      <c r="P29" s="908"/>
      <c r="Q29" s="27"/>
      <c r="R29" s="27"/>
      <c r="S29" s="27"/>
      <c r="T29" s="27"/>
      <c r="U29" s="271"/>
      <c r="V29" s="74"/>
    </row>
    <row r="30" spans="1:22" s="76" customFormat="1" ht="12.75" customHeight="1" outlineLevel="1" x14ac:dyDescent="0.2">
      <c r="A30" s="459"/>
      <c r="B30" s="467" t="str">
        <f t="shared" si="5"/>
        <v>Plastics</v>
      </c>
      <c r="C30" s="647" t="s">
        <v>118</v>
      </c>
      <c r="D30" s="30"/>
      <c r="E30" s="30"/>
      <c r="F30" s="30"/>
      <c r="G30" s="30"/>
      <c r="H30" s="285"/>
      <c r="I30" s="1482"/>
      <c r="J30" s="1482"/>
      <c r="K30" s="1482"/>
      <c r="L30" s="1482"/>
      <c r="M30" s="1483"/>
      <c r="N30" s="907"/>
      <c r="O30" s="907"/>
      <c r="P30" s="908"/>
      <c r="Q30" s="30"/>
      <c r="R30" s="30"/>
      <c r="S30" s="30"/>
      <c r="T30" s="30"/>
      <c r="U30" s="274"/>
    </row>
    <row r="31" spans="1:22" ht="12.75" customHeight="1" outlineLevel="1" x14ac:dyDescent="0.2">
      <c r="A31" s="459"/>
      <c r="B31" s="467" t="str">
        <f t="shared" si="5"/>
        <v>Plastics</v>
      </c>
      <c r="C31" s="643" t="s">
        <v>93</v>
      </c>
      <c r="D31" s="27"/>
      <c r="E31" s="27"/>
      <c r="F31" s="27"/>
      <c r="G31" s="27"/>
      <c r="H31" s="280"/>
      <c r="I31" s="1480"/>
      <c r="J31" s="1480"/>
      <c r="K31" s="1480"/>
      <c r="L31" s="1480"/>
      <c r="M31" s="1481"/>
      <c r="N31" s="907"/>
      <c r="O31" s="907"/>
      <c r="P31" s="908"/>
      <c r="Q31" s="27"/>
      <c r="R31" s="27"/>
      <c r="S31" s="27"/>
      <c r="T31" s="27"/>
      <c r="U31" s="271"/>
      <c r="V31" s="74"/>
    </row>
    <row r="32" spans="1:22" ht="12.75" customHeight="1" outlineLevel="1" x14ac:dyDescent="0.2">
      <c r="A32" s="459"/>
      <c r="B32" s="467" t="str">
        <f t="shared" si="5"/>
        <v>Plastics</v>
      </c>
      <c r="C32" s="643" t="s">
        <v>94</v>
      </c>
      <c r="D32" s="27"/>
      <c r="E32" s="27"/>
      <c r="F32" s="27"/>
      <c r="G32" s="27"/>
      <c r="H32" s="280"/>
      <c r="I32" s="1480"/>
      <c r="J32" s="1480"/>
      <c r="K32" s="1480"/>
      <c r="L32" s="1480"/>
      <c r="M32" s="1481"/>
      <c r="N32" s="907"/>
      <c r="O32" s="907"/>
      <c r="P32" s="908"/>
      <c r="Q32" s="27"/>
      <c r="R32" s="27"/>
      <c r="S32" s="27"/>
      <c r="T32" s="27"/>
      <c r="U32" s="271"/>
      <c r="V32" s="74"/>
    </row>
    <row r="33" spans="1:22" ht="12.75" customHeight="1" outlineLevel="1" x14ac:dyDescent="0.2">
      <c r="A33" s="459"/>
      <c r="B33" s="467" t="str">
        <f t="shared" si="5"/>
        <v>Plastics</v>
      </c>
      <c r="C33" s="643" t="s">
        <v>95</v>
      </c>
      <c r="D33" s="27"/>
      <c r="E33" s="27"/>
      <c r="F33" s="27"/>
      <c r="G33" s="27"/>
      <c r="H33" s="280"/>
      <c r="I33" s="1480"/>
      <c r="J33" s="1480"/>
      <c r="K33" s="1480"/>
      <c r="L33" s="1480"/>
      <c r="M33" s="1481"/>
      <c r="N33" s="907"/>
      <c r="O33" s="907"/>
      <c r="P33" s="908"/>
      <c r="Q33" s="27"/>
      <c r="R33" s="27"/>
      <c r="S33" s="27"/>
      <c r="T33" s="27"/>
      <c r="U33" s="271"/>
      <c r="V33" s="74"/>
    </row>
    <row r="34" spans="1:22" ht="12.75" customHeight="1" outlineLevel="1" x14ac:dyDescent="0.2">
      <c r="A34" s="459"/>
      <c r="B34" s="467" t="str">
        <f t="shared" si="5"/>
        <v>Plastics</v>
      </c>
      <c r="C34" s="643" t="s">
        <v>96</v>
      </c>
      <c r="D34" s="27"/>
      <c r="E34" s="27"/>
      <c r="F34" s="27"/>
      <c r="G34" s="27"/>
      <c r="H34" s="280"/>
      <c r="I34" s="1480"/>
      <c r="J34" s="1480"/>
      <c r="K34" s="1480"/>
      <c r="L34" s="1480"/>
      <c r="M34" s="1481"/>
      <c r="N34" s="907"/>
      <c r="O34" s="907"/>
      <c r="P34" s="908"/>
      <c r="Q34" s="27"/>
      <c r="R34" s="27"/>
      <c r="S34" s="27"/>
      <c r="T34" s="27"/>
      <c r="U34" s="271"/>
      <c r="V34" s="74"/>
    </row>
    <row r="35" spans="1:22" s="76" customFormat="1" ht="12.75" customHeight="1" outlineLevel="1" x14ac:dyDescent="0.2">
      <c r="A35" s="459"/>
      <c r="B35" s="467" t="str">
        <f t="shared" si="5"/>
        <v>Plastics</v>
      </c>
      <c r="C35" s="647" t="s">
        <v>119</v>
      </c>
      <c r="D35" s="30"/>
      <c r="E35" s="30"/>
      <c r="F35" s="30"/>
      <c r="G35" s="30"/>
      <c r="H35" s="285"/>
      <c r="I35" s="1482"/>
      <c r="J35" s="1482"/>
      <c r="K35" s="1482"/>
      <c r="L35" s="1482"/>
      <c r="M35" s="1483"/>
      <c r="N35" s="907"/>
      <c r="O35" s="907"/>
      <c r="P35" s="908"/>
      <c r="Q35" s="30"/>
      <c r="R35" s="30"/>
      <c r="S35" s="30"/>
      <c r="T35" s="30"/>
      <c r="U35" s="274"/>
    </row>
    <row r="36" spans="1:22" s="247" customFormat="1" x14ac:dyDescent="0.2">
      <c r="A36" s="459"/>
      <c r="B36" s="465" t="str">
        <f t="shared" si="5"/>
        <v>Plastics</v>
      </c>
      <c r="C36" s="644" t="s">
        <v>115</v>
      </c>
      <c r="D36" s="237">
        <f>ACT!G156</f>
        <v>10862.299928641365</v>
      </c>
      <c r="E36" s="237">
        <f>ACT!H156</f>
        <v>20278.058560063942</v>
      </c>
      <c r="F36" s="237">
        <f>ACT!I156</f>
        <v>969.0762922865207</v>
      </c>
      <c r="G36" s="237">
        <f>SUM(D36:F36)</f>
        <v>32109.434780991829</v>
      </c>
      <c r="H36" s="275">
        <f>G36/Pop_ACT*1000</f>
        <v>82.811340481536249</v>
      </c>
      <c r="I36" s="237">
        <f>ACT!G236</f>
        <v>2100</v>
      </c>
      <c r="J36" s="237">
        <f>ACT!H236</f>
        <v>600</v>
      </c>
      <c r="K36" s="237">
        <f>ACT!I236</f>
        <v>0</v>
      </c>
      <c r="L36" s="237">
        <f>SUM(I36:K36)</f>
        <v>2700</v>
      </c>
      <c r="M36" s="273">
        <f>L36/Pop_ACT*1000</f>
        <v>6.9633931841275896</v>
      </c>
      <c r="N36" s="907"/>
      <c r="O36" s="907"/>
      <c r="P36" s="908"/>
      <c r="Q36" s="237"/>
      <c r="R36" s="237"/>
      <c r="S36" s="237"/>
      <c r="T36" s="237"/>
      <c r="U36" s="275"/>
    </row>
    <row r="37" spans="1:22" s="76" customFormat="1" x14ac:dyDescent="0.2">
      <c r="A37" s="459"/>
      <c r="B37" s="306" t="s">
        <v>30</v>
      </c>
      <c r="C37" s="648" t="s">
        <v>30</v>
      </c>
      <c r="D37" s="973">
        <f>ACT!G157</f>
        <v>3945.7072390363933</v>
      </c>
      <c r="E37" s="973">
        <f>ACT!H157</f>
        <v>6118.6516195698014</v>
      </c>
      <c r="F37" s="973">
        <f>ACT!I157</f>
        <v>111.66053306064292</v>
      </c>
      <c r="G37" s="973">
        <f>SUM(D37:F37)</f>
        <v>10176.019391666838</v>
      </c>
      <c r="H37" s="974">
        <f>G37/Pop_ACT*1000</f>
        <v>26.244305212401127</v>
      </c>
      <c r="I37" s="972" t="str">
        <f>IF(ISNUMBER(ACT!G237),ACT!G237,"")</f>
        <v/>
      </c>
      <c r="J37" s="973" t="str">
        <f>IF(ISNUMBER(ACT!H237),ACT!H237,"")</f>
        <v/>
      </c>
      <c r="K37" s="973" t="str">
        <f>IF(ISNUMBER(ACT!I237),ACT!I237,"")</f>
        <v/>
      </c>
      <c r="L37" s="973">
        <f>IF(ISNUMBER(I37),SUM(I37:K37),ACT!J237)</f>
        <v>12837.364660457211</v>
      </c>
      <c r="M37" s="975">
        <f>L37/Pop_ACT*1000</f>
        <v>33.108006510662271</v>
      </c>
      <c r="N37" s="910"/>
      <c r="O37" s="910"/>
      <c r="P37" s="911"/>
      <c r="Q37" s="913"/>
      <c r="R37" s="913"/>
      <c r="S37" s="913"/>
      <c r="T37" s="913"/>
      <c r="U37" s="929"/>
    </row>
    <row r="38" spans="1:22" ht="12.75" customHeight="1" outlineLevel="1" x14ac:dyDescent="0.2">
      <c r="A38" s="459"/>
      <c r="B38" s="465" t="s">
        <v>27</v>
      </c>
      <c r="C38" s="643" t="s">
        <v>83</v>
      </c>
      <c r="D38" s="29"/>
      <c r="E38" s="29"/>
      <c r="F38" s="29"/>
      <c r="G38" s="29"/>
      <c r="H38" s="283"/>
      <c r="I38" s="282" t="str">
        <f>IF(ISNUMBER(ACT!G238),ACT!G238,"")</f>
        <v/>
      </c>
      <c r="J38" s="29" t="str">
        <f>IF(ISNUMBER(ACT!H238),ACT!H238,"")</f>
        <v/>
      </c>
      <c r="K38" s="29" t="str">
        <f>IF(ISNUMBER(ACT!I238),ACT!I238,"")</f>
        <v/>
      </c>
      <c r="L38" s="28">
        <f>IF(ISNUMBER(I38),SUM(I38:K38),ACT!J238)</f>
        <v>1256.4656137328429</v>
      </c>
      <c r="M38" s="272">
        <f>L38/Pop_ACT*1000</f>
        <v>3.2404681817622101</v>
      </c>
      <c r="N38" s="29"/>
      <c r="O38" s="29"/>
      <c r="P38" s="28"/>
      <c r="Q38" s="29"/>
      <c r="R38" s="29"/>
      <c r="S38" s="29"/>
      <c r="T38" s="29"/>
      <c r="U38" s="272"/>
      <c r="V38" s="74"/>
    </row>
    <row r="39" spans="1:22" ht="12.75" customHeight="1" outlineLevel="1" x14ac:dyDescent="0.2">
      <c r="A39" s="459"/>
      <c r="B39" s="467" t="str">
        <f>B38</f>
        <v>Other</v>
      </c>
      <c r="C39" s="643" t="s">
        <v>568</v>
      </c>
      <c r="D39" s="27"/>
      <c r="E39" s="27"/>
      <c r="F39" s="27"/>
      <c r="G39" s="27"/>
      <c r="H39" s="280"/>
      <c r="I39" s="282" t="str">
        <f>IF(ISNUMBER(ACT!G239),ACT!G239,"")</f>
        <v/>
      </c>
      <c r="J39" s="29" t="str">
        <f>IF(ISNUMBER(ACT!H239),ACT!H239,"")</f>
        <v/>
      </c>
      <c r="K39" s="29" t="str">
        <f>IF(ISNUMBER(ACT!I239),ACT!I239,"")</f>
        <v/>
      </c>
      <c r="L39" s="28">
        <f>IF(ISNUMBER(I39),SUM(I39:K39),ACT!J239)</f>
        <v>0</v>
      </c>
      <c r="M39" s="272">
        <f>L39/Pop_ACT*1000</f>
        <v>0</v>
      </c>
      <c r="N39" s="27"/>
      <c r="O39" s="29"/>
      <c r="P39" s="297"/>
      <c r="Q39" s="27"/>
      <c r="R39" s="29"/>
      <c r="S39" s="27"/>
      <c r="T39" s="29"/>
      <c r="U39" s="272"/>
      <c r="V39" s="74"/>
    </row>
    <row r="40" spans="1:22" s="247" customFormat="1" x14ac:dyDescent="0.2">
      <c r="A40" s="459"/>
      <c r="B40" s="465" t="str">
        <f>B39</f>
        <v>Other</v>
      </c>
      <c r="C40" s="644" t="s">
        <v>115</v>
      </c>
      <c r="D40" s="237">
        <f>ACT!G158</f>
        <v>2598.0211972654133</v>
      </c>
      <c r="E40" s="237">
        <f>ACT!H158</f>
        <v>2960.4298297730584</v>
      </c>
      <c r="F40" s="237">
        <f>ACT!I158</f>
        <v>566.44984539747441</v>
      </c>
      <c r="G40" s="237">
        <f>SUM(D40:F40)</f>
        <v>6124.9008724359464</v>
      </c>
      <c r="H40" s="275">
        <f>G40/Pop_ACT*1000</f>
        <v>15.796330736510221</v>
      </c>
      <c r="I40" s="965" t="str">
        <f>IF(SUM(I38:I39)&gt;0,SUM(I38:I39),"")</f>
        <v/>
      </c>
      <c r="J40" s="966" t="str">
        <f>IF(SUM(J38:J39)&gt;0,SUM(J38:J39),"")</f>
        <v/>
      </c>
      <c r="K40" s="966" t="str">
        <f>IF(SUM(K38:K39)&gt;0,SUM(K38:K39),"")</f>
        <v/>
      </c>
      <c r="L40" s="237">
        <f>SUM(L38:L39)</f>
        <v>1256.4656137328429</v>
      </c>
      <c r="M40" s="273">
        <f>L40/Pop_ACT*1000</f>
        <v>3.2404681817622101</v>
      </c>
      <c r="N40" s="281">
        <f>'Other national data'!G325</f>
        <v>1254.8458714407118</v>
      </c>
      <c r="O40" s="237">
        <f>'Other national data'!H325</f>
        <v>1429.8894687583031</v>
      </c>
      <c r="P40" s="238">
        <f>'Other national data'!I325</f>
        <v>273.59563140724993</v>
      </c>
      <c r="Q40" s="237">
        <f>N40+SUM(Q38:Q39)</f>
        <v>1254.8458714407118</v>
      </c>
      <c r="R40" s="237">
        <f>O40+SUM(R38:R39)</f>
        <v>1429.8894687583031</v>
      </c>
      <c r="S40" s="237">
        <f>P40+SUM(S38:S39)</f>
        <v>273.59563140724993</v>
      </c>
      <c r="T40" s="237">
        <f>SUM(Q40:S40)</f>
        <v>2958.3309716062649</v>
      </c>
      <c r="U40" s="273">
        <f>T40/Pop_ACT*1000</f>
        <v>7.6296376755839317</v>
      </c>
      <c r="V40" s="246"/>
    </row>
    <row r="41" spans="1:22" outlineLevel="1" x14ac:dyDescent="0.2">
      <c r="A41" s="459"/>
      <c r="B41" s="454" t="s">
        <v>35</v>
      </c>
      <c r="C41" s="1079" t="s">
        <v>867</v>
      </c>
      <c r="D41" s="1073"/>
      <c r="E41" s="963">
        <f>ACT!$G255*'Other national data'!I447</f>
        <v>38.269424194233153</v>
      </c>
      <c r="F41" s="963">
        <f>ACT!$G255*'Other national data'!J447</f>
        <v>0</v>
      </c>
      <c r="G41" s="963">
        <f>SUM(D41:F41)</f>
        <v>38.269424194233153</v>
      </c>
      <c r="H41" s="964">
        <f t="shared" ref="H41:H60" si="6">G41/Pop_ACT*1000</f>
        <v>9.8698165775781721E-2</v>
      </c>
      <c r="I41" s="1073"/>
      <c r="J41" s="963">
        <f>ACT!$H255*'Other national data'!I447</f>
        <v>6.230575805766847</v>
      </c>
      <c r="K41" s="963">
        <f>ACT!$H255*'Other national data'!J447</f>
        <v>0</v>
      </c>
      <c r="L41" s="963">
        <f>SUM(I41:K41)</f>
        <v>6.230575805766847</v>
      </c>
      <c r="M41" s="964">
        <f t="shared" ref="M41:M61" si="7">L41/Pop_ACT*1000</f>
        <v>1.6068870036691527E-2</v>
      </c>
      <c r="N41" s="910"/>
      <c r="O41" s="910"/>
      <c r="P41" s="911"/>
      <c r="Q41" s="927"/>
      <c r="R41" s="913"/>
      <c r="S41" s="913"/>
      <c r="T41" s="928"/>
      <c r="U41" s="926"/>
      <c r="V41" s="74"/>
    </row>
    <row r="42" spans="1:22" outlineLevel="1" x14ac:dyDescent="0.2">
      <c r="A42" s="459"/>
      <c r="B42" s="468" t="str">
        <f>B41</f>
        <v>Hazardous</v>
      </c>
      <c r="C42" s="1080" t="s">
        <v>152</v>
      </c>
      <c r="D42" s="910"/>
      <c r="E42" s="29">
        <f>ACT!$G256*'Other national data'!I448</f>
        <v>0</v>
      </c>
      <c r="F42" s="29">
        <f>ACT!$G256*'Other national data'!J448</f>
        <v>0</v>
      </c>
      <c r="G42" s="29">
        <f>SUM(D42:F42)</f>
        <v>0</v>
      </c>
      <c r="H42" s="272">
        <f t="shared" si="6"/>
        <v>0</v>
      </c>
      <c r="I42" s="910"/>
      <c r="J42" s="29">
        <f>ACT!$H256*'Other national data'!I448</f>
        <v>0</v>
      </c>
      <c r="K42" s="29">
        <f>ACT!$H256*'Other national data'!J448</f>
        <v>0</v>
      </c>
      <c r="L42" s="29">
        <f>SUM(I42:K42)</f>
        <v>0</v>
      </c>
      <c r="M42" s="272">
        <f t="shared" si="7"/>
        <v>0</v>
      </c>
      <c r="N42" s="910"/>
      <c r="O42" s="910"/>
      <c r="P42" s="911"/>
      <c r="Q42" s="927"/>
      <c r="R42" s="913"/>
      <c r="S42" s="913"/>
      <c r="T42" s="928"/>
      <c r="U42" s="926"/>
      <c r="V42" s="74"/>
    </row>
    <row r="43" spans="1:22" outlineLevel="1" x14ac:dyDescent="0.2">
      <c r="A43" s="459"/>
      <c r="B43" s="468" t="str">
        <f t="shared" ref="B43:B60" si="8">B42</f>
        <v>Hazardous</v>
      </c>
      <c r="C43" s="1080" t="s">
        <v>156</v>
      </c>
      <c r="D43" s="910"/>
      <c r="E43" s="29">
        <f>ACT!$G257*'Other national data'!I449</f>
        <v>55.401858379326939</v>
      </c>
      <c r="F43" s="29">
        <f>ACT!$G257*'Other national data'!J449</f>
        <v>0</v>
      </c>
      <c r="G43" s="29">
        <f t="shared" ref="G43:G55" si="9">SUM(D43:F43)</f>
        <v>55.401858379326939</v>
      </c>
      <c r="H43" s="272">
        <f t="shared" si="6"/>
        <v>0.14288330482466935</v>
      </c>
      <c r="I43" s="910"/>
      <c r="J43" s="29">
        <f>ACT!$H257*'Other national data'!I449</f>
        <v>175.49814162067307</v>
      </c>
      <c r="K43" s="29">
        <f>ACT!$H257*'Other national data'!J449</f>
        <v>0</v>
      </c>
      <c r="L43" s="29">
        <f t="shared" ref="L43:L55" si="10">SUM(I43:K43)</f>
        <v>175.49814162067307</v>
      </c>
      <c r="M43" s="272">
        <f t="shared" si="7"/>
        <v>0.45261576414387161</v>
      </c>
      <c r="N43" s="910"/>
      <c r="O43" s="910"/>
      <c r="P43" s="911"/>
      <c r="Q43" s="927"/>
      <c r="R43" s="913"/>
      <c r="S43" s="913"/>
      <c r="T43" s="928"/>
      <c r="U43" s="926"/>
      <c r="V43" s="74"/>
    </row>
    <row r="44" spans="1:22" outlineLevel="1" x14ac:dyDescent="0.2">
      <c r="A44" s="459"/>
      <c r="B44" s="468" t="str">
        <f t="shared" si="8"/>
        <v>Hazardous</v>
      </c>
      <c r="C44" s="1080" t="s">
        <v>160</v>
      </c>
      <c r="D44" s="910"/>
      <c r="E44" s="29">
        <f>ACT!$G258*'Other national data'!I450</f>
        <v>272.45651937218071</v>
      </c>
      <c r="F44" s="29">
        <f>ACT!$G258*'Other national data'!J450</f>
        <v>0</v>
      </c>
      <c r="G44" s="29">
        <f t="shared" si="9"/>
        <v>272.45651937218071</v>
      </c>
      <c r="H44" s="272">
        <f t="shared" si="6"/>
        <v>0.7026747666545814</v>
      </c>
      <c r="I44" s="910"/>
      <c r="J44" s="29">
        <f>ACT!$H258*'Other national data'!I450</f>
        <v>704.59248062781921</v>
      </c>
      <c r="K44" s="29">
        <f>ACT!$H258*'Other national data'!J450</f>
        <v>0</v>
      </c>
      <c r="L44" s="29">
        <f t="shared" si="10"/>
        <v>704.59248062781921</v>
      </c>
      <c r="M44" s="272">
        <f t="shared" si="7"/>
        <v>1.8171683248856694</v>
      </c>
      <c r="N44" s="910"/>
      <c r="O44" s="910"/>
      <c r="P44" s="911"/>
      <c r="Q44" s="927"/>
      <c r="R44" s="913"/>
      <c r="S44" s="913"/>
      <c r="T44" s="928"/>
      <c r="U44" s="925"/>
      <c r="V44" s="74"/>
    </row>
    <row r="45" spans="1:22" outlineLevel="1" x14ac:dyDescent="0.2">
      <c r="A45" s="459"/>
      <c r="B45" s="468" t="str">
        <f t="shared" si="8"/>
        <v>Hazardous</v>
      </c>
      <c r="C45" s="1080" t="s">
        <v>210</v>
      </c>
      <c r="D45" s="910"/>
      <c r="E45" s="29">
        <f>ACT!$G259*'Other national data'!I451</f>
        <v>0</v>
      </c>
      <c r="F45" s="29">
        <f>ACT!$G259*'Other national data'!J451</f>
        <v>0</v>
      </c>
      <c r="G45" s="29">
        <f t="shared" si="9"/>
        <v>0</v>
      </c>
      <c r="H45" s="272">
        <f t="shared" si="6"/>
        <v>0</v>
      </c>
      <c r="I45" s="910"/>
      <c r="J45" s="29">
        <f>ACT!$H259*'Other national data'!I451</f>
        <v>0</v>
      </c>
      <c r="K45" s="29">
        <f>ACT!$H259*'Other national data'!J451</f>
        <v>0</v>
      </c>
      <c r="L45" s="29">
        <f t="shared" si="10"/>
        <v>0</v>
      </c>
      <c r="M45" s="272">
        <f t="shared" si="7"/>
        <v>0</v>
      </c>
      <c r="N45" s="910"/>
      <c r="O45" s="910"/>
      <c r="P45" s="911"/>
      <c r="Q45" s="927"/>
      <c r="R45" s="29">
        <f>ACT!$I259*'Other national data'!I451</f>
        <v>0</v>
      </c>
      <c r="S45" s="29">
        <f>ACT!$I259*'Other national data'!J451</f>
        <v>0</v>
      </c>
      <c r="T45" s="29">
        <f>SUM(Q45:S45)</f>
        <v>0</v>
      </c>
      <c r="U45" s="272">
        <f>T45/Pop_ACT*1000</f>
        <v>0</v>
      </c>
      <c r="V45" s="74"/>
    </row>
    <row r="46" spans="1:22" outlineLevel="1" x14ac:dyDescent="0.2">
      <c r="A46" s="459"/>
      <c r="B46" s="468" t="str">
        <f t="shared" si="8"/>
        <v>Hazardous</v>
      </c>
      <c r="C46" s="1080" t="s">
        <v>214</v>
      </c>
      <c r="D46" s="910"/>
      <c r="E46" s="29">
        <f>ACT!$G260*'Other national data'!I452</f>
        <v>66.836713788186174</v>
      </c>
      <c r="F46" s="29">
        <f>ACT!$G260*'Other national data'!J452</f>
        <v>0</v>
      </c>
      <c r="G46" s="29">
        <f t="shared" si="9"/>
        <v>66.836713788186174</v>
      </c>
      <c r="H46" s="272">
        <f t="shared" si="6"/>
        <v>0.17237419157116377</v>
      </c>
      <c r="I46" s="910"/>
      <c r="J46" s="29">
        <f>ACT!$H260*'Other national data'!I452</f>
        <v>141.72928621181381</v>
      </c>
      <c r="K46" s="29">
        <f>ACT!$H260*'Other national data'!J452</f>
        <v>0</v>
      </c>
      <c r="L46" s="29">
        <f t="shared" si="10"/>
        <v>141.72928621181381</v>
      </c>
      <c r="M46" s="272">
        <f t="shared" si="7"/>
        <v>0.3655247205920788</v>
      </c>
      <c r="N46" s="910"/>
      <c r="O46" s="910"/>
      <c r="P46" s="911"/>
      <c r="Q46" s="927"/>
      <c r="R46" s="29">
        <f>ACT!$I260*'Other national data'!I452</f>
        <v>2.0856599999999998E-12</v>
      </c>
      <c r="S46" s="29">
        <f>ACT!$I260*'Other national data'!J452</f>
        <v>0</v>
      </c>
      <c r="T46" s="29">
        <f>SUM(Q46:S46)</f>
        <v>2.0856599999999998E-12</v>
      </c>
      <c r="U46" s="272">
        <f>T46/Pop_ACT*1000</f>
        <v>5.378989121632425E-15</v>
      </c>
      <c r="V46" s="74"/>
    </row>
    <row r="47" spans="1:22" outlineLevel="1" x14ac:dyDescent="0.2">
      <c r="A47" s="459"/>
      <c r="B47" s="468" t="str">
        <f t="shared" si="8"/>
        <v>Hazardous</v>
      </c>
      <c r="C47" s="1080" t="s">
        <v>220</v>
      </c>
      <c r="D47" s="910"/>
      <c r="E47" s="29">
        <f>ACT!$G261*'Other national data'!I453</f>
        <v>2.1972292623232468</v>
      </c>
      <c r="F47" s="29">
        <f>ACT!$G261*'Other national data'!J453</f>
        <v>0</v>
      </c>
      <c r="G47" s="29">
        <f t="shared" si="9"/>
        <v>2.1972292623232468</v>
      </c>
      <c r="H47" s="272">
        <f t="shared" si="6"/>
        <v>5.6667300997138475E-3</v>
      </c>
      <c r="I47" s="910"/>
      <c r="J47" s="29">
        <f>ACT!$H261*'Other national data'!I453</f>
        <v>23.657770737676753</v>
      </c>
      <c r="K47" s="29">
        <f>ACT!$H261*'Other national data'!J453</f>
        <v>0</v>
      </c>
      <c r="L47" s="29">
        <f t="shared" si="10"/>
        <v>23.657770737676753</v>
      </c>
      <c r="M47" s="272">
        <f t="shared" si="7"/>
        <v>6.1014207224589424E-2</v>
      </c>
      <c r="N47" s="910"/>
      <c r="O47" s="910"/>
      <c r="P47" s="911"/>
      <c r="Q47" s="927"/>
      <c r="R47" s="29">
        <f>ACT!$I261*'Other national data'!I453</f>
        <v>2.5854999999999999E-13</v>
      </c>
      <c r="S47" s="29">
        <f>ACT!$I261*'Other national data'!J453</f>
        <v>0</v>
      </c>
      <c r="T47" s="29">
        <f>SUM(Q47:S47)</f>
        <v>2.5854999999999999E-13</v>
      </c>
      <c r="U47" s="272">
        <f>T47/Pop_ACT*1000</f>
        <v>6.6680937324303272E-16</v>
      </c>
      <c r="V47" s="74"/>
    </row>
    <row r="48" spans="1:22" outlineLevel="1" x14ac:dyDescent="0.2">
      <c r="A48" s="459"/>
      <c r="B48" s="468" t="str">
        <f t="shared" si="8"/>
        <v>Hazardous</v>
      </c>
      <c r="C48" s="1080" t="s">
        <v>230</v>
      </c>
      <c r="D48" s="910"/>
      <c r="E48" s="29">
        <f>ACT!$G262*'Other national data'!I454</f>
        <v>0</v>
      </c>
      <c r="F48" s="29">
        <f>ACT!$G262*'Other national data'!J454</f>
        <v>0</v>
      </c>
      <c r="G48" s="29">
        <f t="shared" si="9"/>
        <v>0</v>
      </c>
      <c r="H48" s="272">
        <f t="shared" si="6"/>
        <v>0</v>
      </c>
      <c r="I48" s="910"/>
      <c r="J48" s="29">
        <f>ACT!$H262*'Other national data'!I454</f>
        <v>0</v>
      </c>
      <c r="K48" s="29">
        <f>ACT!$H262*'Other national data'!J454</f>
        <v>0</v>
      </c>
      <c r="L48" s="29">
        <f t="shared" si="10"/>
        <v>0</v>
      </c>
      <c r="M48" s="272">
        <f t="shared" si="7"/>
        <v>0</v>
      </c>
      <c r="N48" s="910"/>
      <c r="O48" s="910"/>
      <c r="P48" s="911"/>
      <c r="Q48" s="927"/>
      <c r="R48" s="913"/>
      <c r="S48" s="913"/>
      <c r="T48" s="928"/>
      <c r="U48" s="926"/>
      <c r="V48" s="74"/>
    </row>
    <row r="49" spans="1:47" outlineLevel="1" x14ac:dyDescent="0.2">
      <c r="A49" s="459"/>
      <c r="B49" s="468" t="str">
        <f t="shared" si="8"/>
        <v>Hazardous</v>
      </c>
      <c r="C49" s="1080" t="s">
        <v>238</v>
      </c>
      <c r="D49" s="910"/>
      <c r="E49" s="29">
        <f>ACT!$G263*'Other national data'!I455</f>
        <v>136.12224800100995</v>
      </c>
      <c r="F49" s="29">
        <f>ACT!$G263*'Other national data'!J455</f>
        <v>0</v>
      </c>
      <c r="G49" s="29">
        <f t="shared" si="9"/>
        <v>136.12224800100995</v>
      </c>
      <c r="H49" s="272">
        <f t="shared" si="6"/>
        <v>0.35106397553272523</v>
      </c>
      <c r="I49" s="910"/>
      <c r="J49" s="29">
        <f>ACT!$H263*'Other national data'!I455</f>
        <v>1131.8227519989903</v>
      </c>
      <c r="K49" s="29">
        <f>ACT!$H263*'Other national data'!J455</f>
        <v>0</v>
      </c>
      <c r="L49" s="29">
        <f t="shared" si="10"/>
        <v>1131.8227519989903</v>
      </c>
      <c r="M49" s="272">
        <f t="shared" si="7"/>
        <v>2.9190099395964073</v>
      </c>
      <c r="N49" s="910"/>
      <c r="O49" s="910"/>
      <c r="P49" s="911"/>
      <c r="Q49" s="927"/>
      <c r="R49" s="29">
        <f>ACT!$I263*'Other national data'!I455</f>
        <v>1.2679450000000001E-11</v>
      </c>
      <c r="S49" s="29">
        <f>ACT!$I263*'Other national data'!J455</f>
        <v>0</v>
      </c>
      <c r="T49" s="29">
        <f>SUM(Q49:S49)</f>
        <v>1.2679450000000001E-11</v>
      </c>
      <c r="U49" s="272">
        <f>T49/Pop_ACT*1000</f>
        <v>3.2700739151291324E-14</v>
      </c>
      <c r="V49" s="74"/>
    </row>
    <row r="50" spans="1:47" outlineLevel="1" x14ac:dyDescent="0.2">
      <c r="A50" s="459"/>
      <c r="B50" s="468" t="str">
        <f t="shared" si="8"/>
        <v>Hazardous</v>
      </c>
      <c r="C50" s="1080" t="s">
        <v>246</v>
      </c>
      <c r="D50" s="910"/>
      <c r="E50" s="29">
        <f>ACT!$G264*'Other national data'!I456</f>
        <v>292.37380656525477</v>
      </c>
      <c r="F50" s="29">
        <f>ACT!$G264*'Other national data'!J456</f>
        <v>0</v>
      </c>
      <c r="G50" s="29">
        <f t="shared" si="9"/>
        <v>292.37380656525477</v>
      </c>
      <c r="H50" s="272">
        <f t="shared" si="6"/>
        <v>0.75404213772367901</v>
      </c>
      <c r="I50" s="910"/>
      <c r="J50" s="29">
        <f>ACT!$H264*'Other national data'!I456</f>
        <v>5495.3961934347453</v>
      </c>
      <c r="K50" s="29">
        <f>ACT!$H264*'Other national data'!J456</f>
        <v>0</v>
      </c>
      <c r="L50" s="29">
        <f t="shared" si="10"/>
        <v>5495.3961934347453</v>
      </c>
      <c r="M50" s="272">
        <f t="shared" si="7"/>
        <v>14.172816443497855</v>
      </c>
      <c r="N50" s="910"/>
      <c r="O50" s="910"/>
      <c r="P50" s="911"/>
      <c r="Q50" s="927"/>
      <c r="R50" s="29">
        <f>ACT!$I264*'Other national data'!I456</f>
        <v>5.7877700000000002E-11</v>
      </c>
      <c r="S50" s="29">
        <f>ACT!$I264*'Other national data'!J456</f>
        <v>0</v>
      </c>
      <c r="T50" s="29">
        <f>SUM(Q50:S50)</f>
        <v>5.7877700000000002E-11</v>
      </c>
      <c r="U50" s="272">
        <f>T50/Pop_ACT*1000</f>
        <v>1.4926858581221535E-13</v>
      </c>
      <c r="V50" s="74"/>
    </row>
    <row r="51" spans="1:47" outlineLevel="1" x14ac:dyDescent="0.2">
      <c r="A51" s="459"/>
      <c r="B51" s="468" t="str">
        <f t="shared" si="8"/>
        <v>Hazardous</v>
      </c>
      <c r="C51" s="1080" t="s">
        <v>256</v>
      </c>
      <c r="D51" s="910"/>
      <c r="E51" s="29">
        <f>ACT!$G265*'Other national data'!I457</f>
        <v>19.492954114980019</v>
      </c>
      <c r="F51" s="29">
        <f>ACT!$G265*'Other national data'!J457</f>
        <v>0</v>
      </c>
      <c r="G51" s="29">
        <f t="shared" si="9"/>
        <v>19.492954114980019</v>
      </c>
      <c r="H51" s="272">
        <f t="shared" si="6"/>
        <v>5.0273001415838417E-2</v>
      </c>
      <c r="I51" s="910"/>
      <c r="J51" s="29">
        <f>ACT!$H265*'Other national data'!I457</f>
        <v>7.3600458850199786</v>
      </c>
      <c r="K51" s="29">
        <f>ACT!$H265*'Other national data'!J457</f>
        <v>0</v>
      </c>
      <c r="L51" s="29">
        <f t="shared" si="10"/>
        <v>7.3600458850199786</v>
      </c>
      <c r="M51" s="272">
        <f t="shared" si="7"/>
        <v>1.8981812352079422E-2</v>
      </c>
      <c r="N51" s="910"/>
      <c r="O51" s="910"/>
      <c r="P51" s="911"/>
      <c r="Q51" s="927"/>
      <c r="R51" s="29">
        <f>ACT!$I265*'Other national data'!I457</f>
        <v>2.6852999999999997E-13</v>
      </c>
      <c r="S51" s="29">
        <f>ACT!$I265*'Other national data'!J457</f>
        <v>0</v>
      </c>
      <c r="T51" s="29">
        <f>SUM(Q51:S51)</f>
        <v>2.6852999999999997E-13</v>
      </c>
      <c r="U51" s="272">
        <f>T51/Pop_ACT*1000</f>
        <v>6.9254813767917834E-16</v>
      </c>
      <c r="V51" s="74"/>
    </row>
    <row r="52" spans="1:47" outlineLevel="1" x14ac:dyDescent="0.2">
      <c r="A52" s="459"/>
      <c r="B52" s="468" t="str">
        <f t="shared" si="8"/>
        <v>Hazardous</v>
      </c>
      <c r="C52" s="1081" t="s">
        <v>343</v>
      </c>
      <c r="D52" s="910"/>
      <c r="E52" s="29">
        <f>ACT!$G266*'Other national data'!I458</f>
        <v>165.14320821135888</v>
      </c>
      <c r="F52" s="29">
        <f>ACT!$G266*'Other national data'!J458</f>
        <v>424.65396397206564</v>
      </c>
      <c r="G52" s="29">
        <f t="shared" si="9"/>
        <v>589.79717218342455</v>
      </c>
      <c r="H52" s="272">
        <f t="shared" si="6"/>
        <v>1.521107262518439</v>
      </c>
      <c r="I52" s="910"/>
      <c r="J52" s="29">
        <f>ACT!$H266*'Other national data'!I458</f>
        <v>2.5543917886411149</v>
      </c>
      <c r="K52" s="29">
        <f>ACT!$H266*'Other national data'!J458</f>
        <v>6.5684360279342942</v>
      </c>
      <c r="L52" s="29">
        <f t="shared" si="10"/>
        <v>9.1228278165754091</v>
      </c>
      <c r="M52" s="272">
        <f t="shared" si="7"/>
        <v>2.3528087791818812E-2</v>
      </c>
      <c r="N52" s="910"/>
      <c r="O52" s="910"/>
      <c r="P52" s="911"/>
      <c r="Q52" s="927"/>
      <c r="R52" s="29">
        <f>ACT!$I266*'Other national data'!I458</f>
        <v>1.6769760000000001E-12</v>
      </c>
      <c r="S52" s="29">
        <f>ACT!$I266*'Other national data'!J458</f>
        <v>4.3122239999999995E-12</v>
      </c>
      <c r="T52" s="29">
        <f>SUM(Q52:S52)</f>
        <v>5.9891999999999996E-12</v>
      </c>
      <c r="U52" s="272">
        <f>T52/Pop_ACT*1000</f>
        <v>1.5446353503102577E-14</v>
      </c>
      <c r="V52" s="74"/>
    </row>
    <row r="53" spans="1:47" outlineLevel="1" x14ac:dyDescent="0.2">
      <c r="A53" s="459"/>
      <c r="B53" s="468" t="str">
        <f t="shared" si="8"/>
        <v>Hazardous</v>
      </c>
      <c r="C53" s="1081" t="s">
        <v>97</v>
      </c>
      <c r="D53" s="910"/>
      <c r="E53" s="29">
        <f>ACT!$G267*'Other national data'!I459</f>
        <v>1346.8799999999999</v>
      </c>
      <c r="F53" s="29">
        <f>ACT!$G267*'Other national data'!J459</f>
        <v>1581.1200000000001</v>
      </c>
      <c r="G53" s="29">
        <f t="shared" si="9"/>
        <v>2928</v>
      </c>
      <c r="H53" s="272">
        <f t="shared" si="6"/>
        <v>7.5514130530094752</v>
      </c>
      <c r="I53" s="910"/>
      <c r="J53" s="29">
        <f>ACT!$H267*'Other national data'!I459</f>
        <v>0</v>
      </c>
      <c r="K53" s="29">
        <f>ACT!$H267*'Other national data'!J459</f>
        <v>0</v>
      </c>
      <c r="L53" s="29">
        <f t="shared" si="10"/>
        <v>0</v>
      </c>
      <c r="M53" s="272">
        <f t="shared" si="7"/>
        <v>0</v>
      </c>
      <c r="N53" s="910"/>
      <c r="O53" s="910"/>
      <c r="P53" s="911"/>
      <c r="Q53" s="927"/>
      <c r="R53" s="913"/>
      <c r="S53" s="913"/>
      <c r="T53" s="928"/>
      <c r="U53" s="926"/>
      <c r="V53" s="74"/>
    </row>
    <row r="54" spans="1:47" outlineLevel="1" x14ac:dyDescent="0.2">
      <c r="A54" s="459"/>
      <c r="B54" s="468" t="str">
        <f t="shared" si="8"/>
        <v>Hazardous</v>
      </c>
      <c r="C54" s="1081" t="s">
        <v>345</v>
      </c>
      <c r="D54" s="910"/>
      <c r="E54" s="29">
        <f>ACT!$G268*'Other national data'!I460</f>
        <v>3220.627847618005</v>
      </c>
      <c r="F54" s="29">
        <f>ACT!$G268*'Other national data'!J460</f>
        <v>0</v>
      </c>
      <c r="G54" s="29">
        <f t="shared" si="9"/>
        <v>3220.627847618005</v>
      </c>
      <c r="H54" s="272">
        <f t="shared" si="6"/>
        <v>8.3061103713758246</v>
      </c>
      <c r="I54" s="910"/>
      <c r="J54" s="29">
        <f>ACT!$H268*'Other national data'!I460</f>
        <v>59903.677965694893</v>
      </c>
      <c r="K54" s="29">
        <f>ACT!$H268*'Other national data'!J460</f>
        <v>0</v>
      </c>
      <c r="L54" s="29">
        <f t="shared" si="10"/>
        <v>59903.677965694893</v>
      </c>
      <c r="M54" s="272">
        <f t="shared" si="7"/>
        <v>154.49365290759036</v>
      </c>
      <c r="N54" s="910"/>
      <c r="O54" s="910"/>
      <c r="P54" s="911"/>
      <c r="Q54" s="927"/>
      <c r="R54" s="29">
        <f>ACT!$I268*'Other national data'!I460</f>
        <v>0</v>
      </c>
      <c r="S54" s="29">
        <f>ACT!$I268*'Other national data'!J460</f>
        <v>0</v>
      </c>
      <c r="T54" s="29">
        <f t="shared" ref="T54:T59" si="11">SUM(Q54:S54)</f>
        <v>0</v>
      </c>
      <c r="U54" s="272">
        <f t="shared" ref="U54:U59" si="12">T54/Pop_ACT*1000</f>
        <v>0</v>
      </c>
      <c r="V54" s="74"/>
    </row>
    <row r="55" spans="1:47" outlineLevel="1" x14ac:dyDescent="0.2">
      <c r="A55" s="459"/>
      <c r="B55" s="468" t="str">
        <f t="shared" si="8"/>
        <v>Hazardous</v>
      </c>
      <c r="C55" s="1080" t="s">
        <v>297</v>
      </c>
      <c r="D55" s="910"/>
      <c r="E55" s="29">
        <f>ACT!$G269*'Other national data'!I461</f>
        <v>342.25581517787714</v>
      </c>
      <c r="F55" s="29">
        <f>ACT!$G269*'Other national data'!J461</f>
        <v>0</v>
      </c>
      <c r="G55" s="29">
        <f t="shared" si="9"/>
        <v>342.25581517787714</v>
      </c>
      <c r="H55" s="272">
        <f t="shared" si="6"/>
        <v>0.88268955949543038</v>
      </c>
      <c r="I55" s="910"/>
      <c r="J55" s="29">
        <f>ACT!$H269*'Other national data'!I461</f>
        <v>101.2041848221229</v>
      </c>
      <c r="K55" s="29">
        <f>ACT!$H269*'Other national data'!J461</f>
        <v>0</v>
      </c>
      <c r="L55" s="29">
        <f t="shared" si="10"/>
        <v>101.2041848221229</v>
      </c>
      <c r="M55" s="272">
        <f t="shared" si="7"/>
        <v>0.26100908547983687</v>
      </c>
      <c r="N55" s="910"/>
      <c r="O55" s="910"/>
      <c r="P55" s="911"/>
      <c r="Q55" s="927"/>
      <c r="R55" s="29">
        <f>ACT!$I269*'Other national data'!I461</f>
        <v>4.4346000000000005E-12</v>
      </c>
      <c r="S55" s="29">
        <f>ACT!$I269*'Other national data'!J461</f>
        <v>0</v>
      </c>
      <c r="T55" s="29">
        <f t="shared" si="11"/>
        <v>4.4346000000000005E-12</v>
      </c>
      <c r="U55" s="272">
        <f t="shared" si="12"/>
        <v>1.1436986449752673E-14</v>
      </c>
      <c r="V55" s="74"/>
    </row>
    <row r="56" spans="1:47" outlineLevel="1" x14ac:dyDescent="0.2">
      <c r="A56" s="459"/>
      <c r="B56" s="468" t="str">
        <f t="shared" si="8"/>
        <v>Hazardous</v>
      </c>
      <c r="C56" s="1274" t="s">
        <v>39</v>
      </c>
      <c r="D56" s="910"/>
      <c r="E56" s="29">
        <f>ACT!$G270*'Other national data'!I462</f>
        <v>1362.7450378805811</v>
      </c>
      <c r="F56" s="29">
        <f>ACT!$G270*'Other national data'!J462</f>
        <v>0</v>
      </c>
      <c r="G56" s="29">
        <f t="shared" ref="G56:G60" si="13">SUM(D56:F56)</f>
        <v>1362.7450378805811</v>
      </c>
      <c r="H56" s="272">
        <f>G56/Pop_ACT*1000</f>
        <v>3.514566484622716</v>
      </c>
      <c r="I56" s="910"/>
      <c r="J56" s="29">
        <f>ACT!$H270*'Other national data'!I462</f>
        <v>2433.3315089111334</v>
      </c>
      <c r="K56" s="29">
        <f>ACT!$H270*'Other national data'!J462</f>
        <v>0</v>
      </c>
      <c r="L56" s="29">
        <f t="shared" ref="L56:L61" si="14">SUM(I56:K56)</f>
        <v>2433.3315089111334</v>
      </c>
      <c r="M56" s="272">
        <f>L56/Pop_ACT*1000</f>
        <v>6.2756459421758111</v>
      </c>
      <c r="N56" s="910"/>
      <c r="O56" s="910"/>
      <c r="P56" s="911"/>
      <c r="Q56" s="927"/>
      <c r="R56" s="29">
        <f>ACT!$I270*'Other national data'!I462</f>
        <v>3.7960765467917144E-11</v>
      </c>
      <c r="S56" s="29">
        <f>ACT!$I270*'Other national data'!J462</f>
        <v>0</v>
      </c>
      <c r="T56" s="29">
        <f t="shared" si="11"/>
        <v>3.7960765467917144E-11</v>
      </c>
      <c r="U56" s="272">
        <f t="shared" si="12"/>
        <v>9.7902124267985277E-14</v>
      </c>
      <c r="V56" s="74"/>
    </row>
    <row r="57" spans="1:47" outlineLevel="1" x14ac:dyDescent="0.2">
      <c r="A57" s="459"/>
      <c r="B57" s="468" t="str">
        <f t="shared" si="8"/>
        <v>Hazardous</v>
      </c>
      <c r="C57" s="1274" t="s">
        <v>904</v>
      </c>
      <c r="D57" s="910"/>
      <c r="E57" s="29">
        <f>ACT!$G271*'Other national data'!I463</f>
        <v>24.008619843927729</v>
      </c>
      <c r="F57" s="29">
        <f>ACT!$G271*'Other national data'!J463</f>
        <v>0</v>
      </c>
      <c r="G57" s="29">
        <f t="shared" si="13"/>
        <v>24.008619843927729</v>
      </c>
      <c r="H57" s="272">
        <f>G57/Pop_ACT*1000</f>
        <v>6.1919059178339543E-2</v>
      </c>
      <c r="I57" s="910"/>
      <c r="J57" s="29">
        <f>ACT!$H271*'Other national data'!I463</f>
        <v>100.93038015607212</v>
      </c>
      <c r="K57" s="29">
        <f>ACT!$H271*'Other national data'!J463</f>
        <v>0</v>
      </c>
      <c r="L57" s="29">
        <f t="shared" si="14"/>
        <v>100.93038015607212</v>
      </c>
      <c r="M57" s="272">
        <f>L57/Pop_ACT*1000</f>
        <v>0.26030293379637004</v>
      </c>
      <c r="N57" s="910"/>
      <c r="O57" s="910"/>
      <c r="P57" s="911"/>
      <c r="Q57" s="927"/>
      <c r="R57" s="29">
        <f>ACT!$I271*'Other national data'!I463</f>
        <v>1.2493899999999986E-12</v>
      </c>
      <c r="S57" s="29">
        <f>ACT!$I271*'Other national data'!J463</f>
        <v>0</v>
      </c>
      <c r="T57" s="29">
        <f t="shared" si="11"/>
        <v>1.2493899999999986E-12</v>
      </c>
      <c r="U57" s="272">
        <f t="shared" si="12"/>
        <v>3.2222199297470961E-15</v>
      </c>
      <c r="V57" s="74"/>
    </row>
    <row r="58" spans="1:47" outlineLevel="1" x14ac:dyDescent="0.2">
      <c r="A58" s="459"/>
      <c r="B58" s="468" t="str">
        <f t="shared" si="8"/>
        <v>Hazardous</v>
      </c>
      <c r="C58" s="649" t="s">
        <v>567</v>
      </c>
      <c r="D58" s="1074"/>
      <c r="E58" s="30">
        <f>SUMIF(Hazstate,"Solid",E$41:E$57)</f>
        <v>6734.1170481039298</v>
      </c>
      <c r="F58" s="30">
        <f>SUMIF(Hazstate,"Solid",F$41:F$57)</f>
        <v>2005.7739639720658</v>
      </c>
      <c r="G58" s="30">
        <f t="shared" si="13"/>
        <v>8739.8910120759956</v>
      </c>
      <c r="H58" s="285">
        <f t="shared" si="6"/>
        <v>22.540480556854803</v>
      </c>
      <c r="I58" s="1076"/>
      <c r="J58" s="30">
        <f>SUMIF(Hazstate,"Solid",J$41:J$57)</f>
        <v>63246.290912000681</v>
      </c>
      <c r="K58" s="30">
        <f>SUMIF(Hazstate,"Solid",K$41:K$57)</f>
        <v>6.5684360279342942</v>
      </c>
      <c r="L58" s="30">
        <f t="shared" si="14"/>
        <v>63252.859348028614</v>
      </c>
      <c r="M58" s="285">
        <f t="shared" si="7"/>
        <v>163.13130728171984</v>
      </c>
      <c r="N58" s="930"/>
      <c r="O58" s="930"/>
      <c r="P58" s="931"/>
      <c r="Q58" s="927"/>
      <c r="R58" s="30">
        <f>SUMIF(Hazstate,"Solid",R$41:R$57)</f>
        <v>4.5321731467917147E-11</v>
      </c>
      <c r="S58" s="30">
        <f>SUMIF(Hazstate,"Solid",S$41:S$57)</f>
        <v>4.3122239999999995E-12</v>
      </c>
      <c r="T58" s="30">
        <f t="shared" si="11"/>
        <v>4.9633955467917147E-11</v>
      </c>
      <c r="U58" s="924">
        <f t="shared" si="12"/>
        <v>1.2800768415058763E-13</v>
      </c>
      <c r="V58" s="74"/>
    </row>
    <row r="59" spans="1:47" outlineLevel="1" x14ac:dyDescent="0.2">
      <c r="A59" s="459"/>
      <c r="B59" s="468" t="str">
        <f t="shared" si="8"/>
        <v>Hazardous</v>
      </c>
      <c r="C59" s="649" t="s">
        <v>459</v>
      </c>
      <c r="D59" s="1074"/>
      <c r="E59" s="30">
        <f>SUMIF(Hazstate,"Liquid",E$41:E$57)</f>
        <v>610.69423430531424</v>
      </c>
      <c r="F59" s="30">
        <f>SUMIF(Hazstate,"Liquid",F$41:F$57)</f>
        <v>0</v>
      </c>
      <c r="G59" s="30">
        <f t="shared" si="13"/>
        <v>610.69423430531424</v>
      </c>
      <c r="H59" s="285">
        <f t="shared" si="6"/>
        <v>1.5750015069435712</v>
      </c>
      <c r="I59" s="1076"/>
      <c r="J59" s="30">
        <f>SUMIF(Hazstate,"Liquid",J$41:J$57)</f>
        <v>6981.6947656946859</v>
      </c>
      <c r="K59" s="30">
        <f>SUMIF(Hazstate,"Liquid",K$41:K$57)</f>
        <v>0</v>
      </c>
      <c r="L59" s="30">
        <f t="shared" si="14"/>
        <v>6981.6947656946859</v>
      </c>
      <c r="M59" s="285">
        <f t="shared" si="7"/>
        <v>18.006031757443573</v>
      </c>
      <c r="N59" s="930"/>
      <c r="O59" s="930"/>
      <c r="P59" s="931"/>
      <c r="Q59" s="927"/>
      <c r="R59" s="30">
        <f>SUMIF(Hazstate,"Liquid",R$41:R$57)</f>
        <v>7.3169889999999992E-11</v>
      </c>
      <c r="S59" s="30">
        <f>SUMIF(Hazstate,"Liquid",S$41:S$57)</f>
        <v>0</v>
      </c>
      <c r="T59" s="30">
        <f t="shared" si="11"/>
        <v>7.3169889999999992E-11</v>
      </c>
      <c r="U59" s="924">
        <f t="shared" si="12"/>
        <v>1.8870767159606129E-13</v>
      </c>
      <c r="V59" s="74"/>
    </row>
    <row r="60" spans="1:47" s="76" customFormat="1" outlineLevel="1" x14ac:dyDescent="0.2">
      <c r="A60" s="459"/>
      <c r="B60" s="468" t="str">
        <f t="shared" si="8"/>
        <v>Hazardous</v>
      </c>
      <c r="C60" s="827" t="s">
        <v>2</v>
      </c>
      <c r="D60" s="932"/>
      <c r="E60" s="237">
        <f>'Other national data'!G148</f>
        <v>0</v>
      </c>
      <c r="F60" s="932"/>
      <c r="G60" s="237">
        <f t="shared" si="13"/>
        <v>0</v>
      </c>
      <c r="H60" s="275">
        <f t="shared" si="6"/>
        <v>0</v>
      </c>
      <c r="I60" s="913"/>
      <c r="J60" s="237">
        <f>'Other national data'!G149</f>
        <v>0</v>
      </c>
      <c r="K60" s="913"/>
      <c r="L60" s="237">
        <f t="shared" si="14"/>
        <v>0</v>
      </c>
      <c r="M60" s="273">
        <f t="shared" si="7"/>
        <v>0</v>
      </c>
      <c r="N60" s="932"/>
      <c r="O60" s="932"/>
      <c r="P60" s="933"/>
      <c r="Q60" s="927"/>
      <c r="R60" s="913"/>
      <c r="S60" s="913"/>
      <c r="T60" s="928"/>
      <c r="U60" s="929"/>
      <c r="Y60" s="74"/>
      <c r="Z60" s="74"/>
      <c r="AA60" s="74"/>
      <c r="AB60" s="74"/>
      <c r="AC60" s="74"/>
      <c r="AD60" s="74"/>
      <c r="AI60" s="74"/>
      <c r="AJ60" s="74"/>
      <c r="AK60" s="74"/>
      <c r="AL60" s="74"/>
      <c r="AM60" s="74"/>
      <c r="AN60" s="74"/>
      <c r="AO60" s="74"/>
      <c r="AP60" s="74"/>
      <c r="AQ60" s="74"/>
      <c r="AR60" s="74"/>
      <c r="AS60" s="74"/>
      <c r="AT60" s="74"/>
      <c r="AU60" s="74"/>
    </row>
    <row r="61" spans="1:47" s="247" customFormat="1" x14ac:dyDescent="0.2">
      <c r="A61" s="459"/>
      <c r="B61" s="498" t="str">
        <f>B59</f>
        <v>Hazardous</v>
      </c>
      <c r="C61" s="650" t="s">
        <v>115</v>
      </c>
      <c r="D61" s="1075"/>
      <c r="E61" s="966">
        <f>SUM(E58:E60)</f>
        <v>7344.8112824092441</v>
      </c>
      <c r="F61" s="966">
        <f>SUM(F58:F60)</f>
        <v>2005.7739639720658</v>
      </c>
      <c r="G61" s="966">
        <f>SUM(D61:F61)</f>
        <v>9350.5852463813098</v>
      </c>
      <c r="H61" s="967">
        <f>G61/Pop_ACT*1000</f>
        <v>24.115482063798378</v>
      </c>
      <c r="I61" s="1077"/>
      <c r="J61" s="966">
        <f>SUM(J58:J60)</f>
        <v>70227.985677695367</v>
      </c>
      <c r="K61" s="966">
        <f>SUM(K58:K60)</f>
        <v>6.5684360279342942</v>
      </c>
      <c r="L61" s="966">
        <f t="shared" si="14"/>
        <v>70234.554113723309</v>
      </c>
      <c r="M61" s="968">
        <f t="shared" si="7"/>
        <v>181.13733903916344</v>
      </c>
      <c r="N61" s="934"/>
      <c r="O61" s="934"/>
      <c r="P61" s="935"/>
      <c r="Q61" s="927"/>
      <c r="R61" s="966">
        <f>SUM(R59,R58)</f>
        <v>1.1849162146791715E-10</v>
      </c>
      <c r="S61" s="966">
        <f>SUM(S59,S58)</f>
        <v>4.3122239999999995E-12</v>
      </c>
      <c r="T61" s="966">
        <f>SUM(Q61:S61)</f>
        <v>1.2280384546791715E-10</v>
      </c>
      <c r="U61" s="968">
        <f>T61/Pop_ACT*1000</f>
        <v>3.1671535574664892E-13</v>
      </c>
      <c r="V61" s="957" t="s">
        <v>847</v>
      </c>
      <c r="X61" s="957" t="str">
        <f>IF(SUM(G58:G59,L58:L59,T58:T59)=SUM(ACT!G255:I271),"OK","Error")</f>
        <v>Error</v>
      </c>
      <c r="Y61" s="74"/>
      <c r="AI61" s="249"/>
      <c r="AJ61" s="249"/>
      <c r="AK61" s="249"/>
      <c r="AL61" s="249"/>
      <c r="AM61" s="249"/>
      <c r="AN61" s="249"/>
      <c r="AO61" s="249"/>
      <c r="AP61" s="249"/>
      <c r="AQ61" s="249"/>
      <c r="AR61" s="249"/>
      <c r="AS61" s="249"/>
      <c r="AT61" s="249"/>
      <c r="AU61" s="249"/>
    </row>
    <row r="62" spans="1:47" ht="14.25" customHeight="1" x14ac:dyDescent="0.2">
      <c r="C62" s="951" t="s">
        <v>98</v>
      </c>
      <c r="D62" s="286"/>
      <c r="E62" s="286"/>
      <c r="F62" s="286"/>
      <c r="G62" s="286"/>
      <c r="H62" s="287"/>
      <c r="I62" s="977" t="str">
        <f>IF(ISNUMBER(ACT!G240),ACT!G240,"")</f>
        <v/>
      </c>
      <c r="J62" s="977" t="str">
        <f>IF(ISNUMBER(ACT!H240),ACT!H240,"")</f>
        <v/>
      </c>
      <c r="K62" s="977" t="str">
        <f>IF(ISNUMBER(ACT!I240),ACT!I240,"")</f>
        <v/>
      </c>
      <c r="L62" s="28">
        <f>IF(ISNUMBER(I62),SUM(I62:K62),ACT!J240)</f>
        <v>375.48096691872428</v>
      </c>
      <c r="M62" s="291"/>
      <c r="N62" s="934"/>
      <c r="O62" s="934"/>
      <c r="P62" s="935"/>
      <c r="Q62" s="905"/>
      <c r="R62" s="27"/>
      <c r="S62" s="27"/>
      <c r="T62" s="27"/>
      <c r="U62" s="287"/>
    </row>
    <row r="63" spans="1:47" x14ac:dyDescent="0.2">
      <c r="C63" s="303" t="s">
        <v>1350</v>
      </c>
      <c r="D63" s="289">
        <f>SUM(D61,D40,D37,D36,D26,D21,D15,D11,D62)</f>
        <v>67001.302711298311</v>
      </c>
      <c r="E63" s="987">
        <f>SUM(E61,E40,E37,E36,E26,E21,E15,E11,E62)</f>
        <v>103690.36058581079</v>
      </c>
      <c r="F63" s="289">
        <f t="shared" ref="F63:G63" si="15">SUM(F61,F40,F37,F36,F26,F21,F15,F11,F62)</f>
        <v>19831.077240665538</v>
      </c>
      <c r="G63" s="294">
        <f t="shared" si="15"/>
        <v>190522.74053777466</v>
      </c>
      <c r="H63" s="290">
        <f>G63/Pop_ACT*1000</f>
        <v>491.36472328964794</v>
      </c>
      <c r="I63" s="288">
        <f>I36+I61+ACT!G244*SUM($L11,$L15,$L21,$L26,$L37,$L40,$L62)</f>
        <v>98605.145605780548</v>
      </c>
      <c r="J63" s="987">
        <f>J36+J61+ACT!H244*SUM($L11,$L15,$L21,$L26,$L37,$L40,$L62)</f>
        <v>238078.49464405479</v>
      </c>
      <c r="K63" s="289">
        <f>K36+K61+ACT!I244*SUM($L11,$L15,$L21,$L26,$L37,$L40,$L62)</f>
        <v>210446.95189813495</v>
      </c>
      <c r="L63" s="294">
        <f>SUM(L61,L40,L37,L36,L26,L21,L15,L11,L62)</f>
        <v>547130.59214797034</v>
      </c>
      <c r="M63" s="959">
        <f>L63/Pop_ACT*1000</f>
        <v>1411.0686800706922</v>
      </c>
      <c r="N63" s="289">
        <f>SUM(N40,N26,N21)</f>
        <v>18458.074077713456</v>
      </c>
      <c r="O63" s="289">
        <f>SUM(O40,O26,O21)</f>
        <v>17636.11597009216</v>
      </c>
      <c r="P63" s="298">
        <f>SUM(P40,P26,P21)</f>
        <v>908.79590613944004</v>
      </c>
      <c r="Q63" s="289">
        <f>SUM(Q62,Q61,Q40,Q36,Q26,Q21)</f>
        <v>18458.074077713456</v>
      </c>
      <c r="R63" s="289">
        <f t="shared" ref="R63:T63" si="16">SUM(R62,R61,R40,R36,R26,R21)</f>
        <v>17636.11597009228</v>
      </c>
      <c r="S63" s="289">
        <f t="shared" si="16"/>
        <v>908.79590613944436</v>
      </c>
      <c r="T63" s="294">
        <f t="shared" si="16"/>
        <v>37002.985953945179</v>
      </c>
      <c r="U63" s="959">
        <f>T63/Pop_ACT*1000</f>
        <v>95.431977845952161</v>
      </c>
      <c r="V63" s="74"/>
    </row>
    <row r="64" spans="1:47" x14ac:dyDescent="0.2">
      <c r="C64" s="2414" t="s">
        <v>1314</v>
      </c>
      <c r="E64" s="2413">
        <f>E63-E60</f>
        <v>103690.36058581079</v>
      </c>
      <c r="G64" s="272">
        <f>G63-G60</f>
        <v>190522.74053777466</v>
      </c>
      <c r="H64" s="283">
        <f>G64/Pop_ACT*1000</f>
        <v>491.36472328964794</v>
      </c>
      <c r="J64" s="2413">
        <f>J63-J60</f>
        <v>238078.49464405479</v>
      </c>
      <c r="L64" s="272">
        <f>L63-L60</f>
        <v>547130.59214797034</v>
      </c>
      <c r="M64" s="272">
        <f>L64/Pop_ACT*1000</f>
        <v>1411.0686800706922</v>
      </c>
      <c r="T64" s="272">
        <f>T63-T60</f>
        <v>37002.985953945179</v>
      </c>
      <c r="U64" s="283">
        <f>U63+U49</f>
        <v>95.43197784595219</v>
      </c>
      <c r="V64" s="74"/>
    </row>
    <row r="65" spans="1:45" x14ac:dyDescent="0.2">
      <c r="C65" s="304" t="s">
        <v>1351</v>
      </c>
      <c r="E65" s="955" t="s">
        <v>397</v>
      </c>
      <c r="F65" s="956" t="str">
        <f>IF(ROUND(SUM(D63:F63),0)=ROUND(G63,0),"Ok","Error")</f>
        <v>Ok</v>
      </c>
      <c r="G65" s="2415">
        <f>G64-SUM(G58:G59)</f>
        <v>181172.15529139334</v>
      </c>
      <c r="H65" s="292">
        <f>G65/Pop_ACT*1000</f>
        <v>467.24924122584946</v>
      </c>
      <c r="J65" s="955" t="s">
        <v>397</v>
      </c>
      <c r="K65" s="956" t="str">
        <f>IF(ROUND(SUM(I63:K63),0)=ROUND(L63,0),"Ok","Error")</f>
        <v>Ok</v>
      </c>
      <c r="L65" s="2415">
        <f>L64-SUM(L58:L59)</f>
        <v>476896.03803424706</v>
      </c>
      <c r="M65" s="291">
        <f>L65/Pop_ACT*1000</f>
        <v>1229.931341031529</v>
      </c>
      <c r="R65" s="955" t="s">
        <v>397</v>
      </c>
      <c r="S65" s="956" t="str">
        <f>IF(ROUND(SUM(Q63:S63),0)=ROUND(T63,0),"Ok","Error")</f>
        <v>Ok</v>
      </c>
      <c r="T65" s="2415">
        <f>T64-SUM(T58:T59)</f>
        <v>37002.985953945055</v>
      </c>
      <c r="U65" s="292">
        <f>T65/Pop_ACT*1000</f>
        <v>95.431977845951835</v>
      </c>
      <c r="Y65" s="2777" t="str">
        <f>IF(ISERROR(D71),"CHART NOT COMPLETE - RECYCLING NOT INCLUDED BECAUSE SPLIT BY SOURCE STREAM NOT KNOWN","")</f>
        <v/>
      </c>
      <c r="Z65" s="2777"/>
      <c r="AA65" s="2777"/>
      <c r="AB65" s="2777"/>
      <c r="AC65" s="2777"/>
    </row>
    <row r="66" spans="1:45" x14ac:dyDescent="0.2">
      <c r="C66" s="138"/>
      <c r="F66" s="250"/>
      <c r="G66" s="251"/>
      <c r="Y66" s="2777"/>
      <c r="Z66" s="2777"/>
      <c r="AA66" s="2777"/>
      <c r="AB66" s="2777"/>
      <c r="AC66" s="2777"/>
    </row>
    <row r="67" spans="1:45" ht="15" customHeight="1" x14ac:dyDescent="0.2">
      <c r="C67" s="2444" t="s">
        <v>410</v>
      </c>
      <c r="D67" s="2440" t="s">
        <v>16</v>
      </c>
      <c r="E67" s="2441" t="s">
        <v>1353</v>
      </c>
      <c r="F67" s="2441" t="s">
        <v>1354</v>
      </c>
      <c r="G67" s="2441" t="s">
        <v>18</v>
      </c>
      <c r="H67" s="2547" t="s">
        <v>88</v>
      </c>
      <c r="I67" s="2442" t="s">
        <v>1368</v>
      </c>
      <c r="J67" s="2443" t="s">
        <v>1374</v>
      </c>
      <c r="K67" s="2788" t="s">
        <v>1423</v>
      </c>
      <c r="L67" s="2775"/>
      <c r="M67" s="2776"/>
      <c r="V67" s="74"/>
      <c r="W67" s="75"/>
    </row>
    <row r="68" spans="1:45" ht="25.5" x14ac:dyDescent="0.2">
      <c r="C68" s="936"/>
      <c r="D68" s="930"/>
      <c r="E68" s="2280" t="s">
        <v>455</v>
      </c>
      <c r="F68" s="2280" t="s">
        <v>454</v>
      </c>
      <c r="G68" s="2280"/>
      <c r="H68" s="2279" t="s">
        <v>88</v>
      </c>
      <c r="I68" s="2280" t="s">
        <v>454</v>
      </c>
      <c r="J68" s="2341" t="s">
        <v>1349</v>
      </c>
      <c r="K68" s="943" t="s">
        <v>88</v>
      </c>
      <c r="L68" s="2280"/>
      <c r="M68" s="2341" t="s">
        <v>1349</v>
      </c>
      <c r="V68" s="74"/>
      <c r="W68" s="75"/>
    </row>
    <row r="69" spans="1:45" x14ac:dyDescent="0.2">
      <c r="C69" s="937"/>
      <c r="D69" s="944" t="s">
        <v>16</v>
      </c>
      <c r="E69" s="945" t="s">
        <v>17</v>
      </c>
      <c r="F69" s="945" t="s">
        <v>17</v>
      </c>
      <c r="G69" s="945" t="s">
        <v>18</v>
      </c>
      <c r="H69" s="944" t="s">
        <v>112</v>
      </c>
      <c r="I69" s="945" t="s">
        <v>112</v>
      </c>
      <c r="J69" s="946" t="s">
        <v>112</v>
      </c>
      <c r="K69" s="944" t="s">
        <v>112</v>
      </c>
      <c r="L69" s="945" t="s">
        <v>112</v>
      </c>
      <c r="M69" s="946" t="s">
        <v>112</v>
      </c>
      <c r="V69" s="74"/>
      <c r="W69" s="75"/>
    </row>
    <row r="70" spans="1:45" s="76" customFormat="1" x14ac:dyDescent="0.2">
      <c r="A70" s="74"/>
      <c r="B70" s="74"/>
      <c r="C70" s="252" t="s">
        <v>113</v>
      </c>
      <c r="D70" s="253">
        <f>D63/1000</f>
        <v>67.001302711298308</v>
      </c>
      <c r="E70" s="253">
        <f>E63/1000</f>
        <v>103.69036058581079</v>
      </c>
      <c r="F70" s="253">
        <f>E64/1000</f>
        <v>103.69036058581079</v>
      </c>
      <c r="G70" s="253">
        <f>F63/1000</f>
        <v>19.83107724066554</v>
      </c>
      <c r="H70" s="255">
        <f>G63/1000</f>
        <v>190.52274053777467</v>
      </c>
      <c r="I70" s="253">
        <f>G64/1000</f>
        <v>190.52274053777467</v>
      </c>
      <c r="J70" s="254">
        <f>G65/1000</f>
        <v>181.17215529139335</v>
      </c>
      <c r="K70" s="255">
        <f>H63</f>
        <v>491.36472328964794</v>
      </c>
      <c r="L70" s="253">
        <f>H64</f>
        <v>491.36472328964794</v>
      </c>
      <c r="M70" s="254">
        <f>H65</f>
        <v>467.24924122584946</v>
      </c>
      <c r="O70" s="2149">
        <f t="shared" ref="O70:Q72" si="17">H70/1000</f>
        <v>0.19052274053777465</v>
      </c>
      <c r="P70" s="2149">
        <f t="shared" si="17"/>
        <v>0.19052274053777465</v>
      </c>
      <c r="Q70" s="2149">
        <f t="shared" si="17"/>
        <v>0.18117215529139336</v>
      </c>
      <c r="U70" s="74"/>
      <c r="V70" s="74"/>
      <c r="W70" s="75"/>
      <c r="X70" s="74"/>
      <c r="Y70" s="74"/>
      <c r="Z70" s="74"/>
      <c r="AA70" s="74"/>
      <c r="AB70" s="74"/>
      <c r="AC70" s="74"/>
      <c r="AD70" s="74"/>
      <c r="AE70" s="74"/>
      <c r="AF70" s="74"/>
      <c r="AG70" s="74"/>
      <c r="AH70" s="74"/>
      <c r="AI70" s="74"/>
      <c r="AJ70" s="74"/>
      <c r="AK70" s="74"/>
      <c r="AL70" s="74"/>
      <c r="AM70" s="74"/>
      <c r="AN70" s="74"/>
      <c r="AO70" s="74"/>
      <c r="AP70" s="74"/>
      <c r="AQ70" s="74"/>
      <c r="AR70" s="74"/>
      <c r="AS70" s="74"/>
    </row>
    <row r="71" spans="1:45" x14ac:dyDescent="0.2">
      <c r="C71" s="256" t="s">
        <v>114</v>
      </c>
      <c r="D71" s="253">
        <f>I63/1000</f>
        <v>98.60514560578055</v>
      </c>
      <c r="E71" s="253">
        <f>J63/1000</f>
        <v>238.07849464405479</v>
      </c>
      <c r="F71" s="253">
        <f>J64/1000</f>
        <v>238.07849464405479</v>
      </c>
      <c r="G71" s="253">
        <f>K63/1000</f>
        <v>210.44695189813496</v>
      </c>
      <c r="H71" s="255">
        <f>L63/1000</f>
        <v>547.13059214797033</v>
      </c>
      <c r="I71" s="253">
        <f>L64/1000</f>
        <v>547.13059214797033</v>
      </c>
      <c r="J71" s="254">
        <f>L65/1000</f>
        <v>476.89603803424706</v>
      </c>
      <c r="K71" s="255">
        <f>M63</f>
        <v>1411.0686800706922</v>
      </c>
      <c r="L71" s="253">
        <f>M64</f>
        <v>1411.0686800706922</v>
      </c>
      <c r="M71" s="254">
        <f>M65</f>
        <v>1229.931341031529</v>
      </c>
      <c r="O71" s="2149">
        <f t="shared" si="17"/>
        <v>0.54713059214797033</v>
      </c>
      <c r="P71" s="2149">
        <f t="shared" si="17"/>
        <v>0.54713059214797033</v>
      </c>
      <c r="Q71" s="2149">
        <f t="shared" si="17"/>
        <v>0.47689603803424707</v>
      </c>
      <c r="V71" s="74"/>
      <c r="W71" s="75"/>
    </row>
    <row r="72" spans="1:45" x14ac:dyDescent="0.2">
      <c r="C72" s="256" t="s">
        <v>38</v>
      </c>
      <c r="D72" s="253">
        <f>Q63/1000</f>
        <v>18.458074077713455</v>
      </c>
      <c r="E72" s="253">
        <f>R63/1000</f>
        <v>17.63611597009228</v>
      </c>
      <c r="F72" s="253">
        <f>E72</f>
        <v>17.63611597009228</v>
      </c>
      <c r="G72" s="253">
        <f>S63/1000</f>
        <v>0.90879590613944439</v>
      </c>
      <c r="H72" s="255">
        <f>T63/1000</f>
        <v>37.002985953945178</v>
      </c>
      <c r="I72" s="253">
        <f>T64/1000</f>
        <v>37.002985953945178</v>
      </c>
      <c r="J72" s="254">
        <f>T65/1000</f>
        <v>37.002985953945057</v>
      </c>
      <c r="K72" s="255">
        <f>U63</f>
        <v>95.431977845952161</v>
      </c>
      <c r="L72" s="253">
        <f>U64</f>
        <v>95.43197784595219</v>
      </c>
      <c r="M72" s="254">
        <f>U65</f>
        <v>95.431977845951835</v>
      </c>
      <c r="O72" s="2149">
        <f t="shared" si="17"/>
        <v>3.7002985953945175E-2</v>
      </c>
      <c r="P72" s="2149">
        <f t="shared" si="17"/>
        <v>3.7002985953945175E-2</v>
      </c>
      <c r="Q72" s="2149">
        <f t="shared" si="17"/>
        <v>3.7002985953945057E-2</v>
      </c>
      <c r="V72" s="74"/>
      <c r="W72" s="75"/>
    </row>
    <row r="73" spans="1:45" x14ac:dyDescent="0.2">
      <c r="C73" s="252" t="s">
        <v>116</v>
      </c>
      <c r="D73" s="257">
        <f t="shared" ref="D73:I73" si="18">SUM(D71:D72)/D74</f>
        <v>0.63599013085427725</v>
      </c>
      <c r="E73" s="257">
        <f t="shared" si="18"/>
        <v>0.71149436180691594</v>
      </c>
      <c r="F73" s="257">
        <f t="shared" ref="F73" si="19">SUM(F71:F72)/F74</f>
        <v>0.71149436180691594</v>
      </c>
      <c r="G73" s="257">
        <f t="shared" si="18"/>
        <v>0.91422055631063481</v>
      </c>
      <c r="H73" s="259">
        <f t="shared" si="18"/>
        <v>0.75405513909402322</v>
      </c>
      <c r="I73" s="257">
        <f t="shared" si="18"/>
        <v>0.75405513909402322</v>
      </c>
      <c r="J73" s="258">
        <f t="shared" ref="J73" si="20">SUM(J71:J72)/J74</f>
        <v>0.73934733493169524</v>
      </c>
      <c r="K73" s="259">
        <f>SUM(K71:K72)/K74</f>
        <v>0.75405513909402322</v>
      </c>
      <c r="L73" s="257">
        <f>SUM(L71:L72)/L74</f>
        <v>0.75405513909402322</v>
      </c>
      <c r="M73" s="258">
        <f>SUM(M71:M72)/M74</f>
        <v>0.73934733493169547</v>
      </c>
      <c r="O73" s="2150">
        <f>H73*1000</f>
        <v>754.05513909402327</v>
      </c>
      <c r="P73" s="2150">
        <f>I73*1000</f>
        <v>754.05513909402327</v>
      </c>
      <c r="Q73" s="2150">
        <f>J73*1000</f>
        <v>739.34733493169529</v>
      </c>
      <c r="V73" s="74"/>
      <c r="W73" s="75"/>
    </row>
    <row r="74" spans="1:45" x14ac:dyDescent="0.2">
      <c r="C74" s="260" t="s">
        <v>117</v>
      </c>
      <c r="D74" s="261">
        <f t="shared" ref="D74:I74" si="21">SUM(D70:D72)</f>
        <v>184.06452239479231</v>
      </c>
      <c r="E74" s="261">
        <f t="shared" si="21"/>
        <v>359.40497119995791</v>
      </c>
      <c r="F74" s="261">
        <f t="shared" ref="F74" si="22">SUM(F70:F72)</f>
        <v>359.40497119995791</v>
      </c>
      <c r="G74" s="261">
        <f t="shared" si="21"/>
        <v>231.18682504493992</v>
      </c>
      <c r="H74" s="263">
        <f t="shared" si="21"/>
        <v>774.6563186396902</v>
      </c>
      <c r="I74" s="2412">
        <f t="shared" si="21"/>
        <v>774.6563186396902</v>
      </c>
      <c r="J74" s="262">
        <f t="shared" ref="J74" si="23">SUM(J70:J72)</f>
        <v>695.07117927958552</v>
      </c>
      <c r="K74" s="263">
        <f>SUM(K70:K72)</f>
        <v>1997.8653812062921</v>
      </c>
      <c r="L74" s="2412">
        <f>SUM(L70:L72)</f>
        <v>1997.8653812062921</v>
      </c>
      <c r="M74" s="262">
        <f>SUM(M70:M72)</f>
        <v>1792.6125601033302</v>
      </c>
      <c r="O74" s="2149">
        <f>H74/1000</f>
        <v>0.7746563186396902</v>
      </c>
      <c r="P74" s="2149">
        <f>I74/1000</f>
        <v>0.7746563186396902</v>
      </c>
      <c r="Q74" s="2149">
        <f>J74/1000</f>
        <v>0.6950711792795855</v>
      </c>
      <c r="V74" s="74"/>
      <c r="W74" s="75"/>
    </row>
    <row r="75" spans="1:45" s="76" customFormat="1" x14ac:dyDescent="0.2">
      <c r="A75" s="74"/>
      <c r="B75" s="74"/>
      <c r="C75" s="2076" t="s">
        <v>1308</v>
      </c>
      <c r="D75" s="2439">
        <f>D74/Pop_ACT*1000000</f>
        <v>474.70875580873962</v>
      </c>
      <c r="E75" s="2439">
        <f>E74/Pop_ACT*1000000</f>
        <v>926.91782473902219</v>
      </c>
      <c r="F75" s="2439">
        <f>F74/Pop_ACT*1000000</f>
        <v>926.91782473902219</v>
      </c>
      <c r="G75" s="2439">
        <f>G74/Pop_ACT*1000000</f>
        <v>596.23880065853052</v>
      </c>
      <c r="H75" s="74"/>
      <c r="I75" s="74"/>
      <c r="J75" s="74"/>
      <c r="K75" s="74"/>
      <c r="L75" s="74"/>
      <c r="M75" s="74"/>
      <c r="N75" s="2076" t="s">
        <v>1146</v>
      </c>
      <c r="O75" s="2076" t="s">
        <v>1147</v>
      </c>
      <c r="P75" s="2076" t="s">
        <v>1148</v>
      </c>
      <c r="Q75" s="2076" t="s">
        <v>1149</v>
      </c>
      <c r="R75" s="2076" t="s">
        <v>1312</v>
      </c>
      <c r="S75" s="74"/>
      <c r="T75" s="74"/>
      <c r="U75" s="74"/>
      <c r="V75" s="75"/>
      <c r="W75" s="74"/>
      <c r="X75" s="74"/>
      <c r="Y75" s="74"/>
      <c r="Z75" s="74"/>
      <c r="AA75" s="74"/>
      <c r="AB75" s="74"/>
      <c r="AC75" s="74"/>
      <c r="AD75" s="74"/>
      <c r="AE75" s="74"/>
      <c r="AF75" s="74"/>
      <c r="AG75" s="74"/>
      <c r="AH75" s="74"/>
      <c r="AI75" s="74"/>
      <c r="AJ75" s="74"/>
      <c r="AK75" s="74"/>
      <c r="AL75" s="74"/>
      <c r="AM75" s="74"/>
      <c r="AN75" s="74"/>
      <c r="AO75" s="74"/>
      <c r="AP75" s="74"/>
      <c r="AQ75" s="74"/>
      <c r="AR75" s="74"/>
    </row>
    <row r="76" spans="1:45" x14ac:dyDescent="0.2">
      <c r="C76" s="76"/>
      <c r="H76" s="76"/>
      <c r="I76" s="76"/>
      <c r="J76" s="76"/>
      <c r="N76" s="2076" t="s">
        <v>1080</v>
      </c>
      <c r="O76" s="2076" t="s">
        <v>1309</v>
      </c>
      <c r="P76" s="2076" t="s">
        <v>1080</v>
      </c>
      <c r="Q76" s="2076" t="s">
        <v>1309</v>
      </c>
    </row>
    <row r="77" spans="1:45" x14ac:dyDescent="0.2">
      <c r="C77" s="941"/>
      <c r="D77" s="2775" t="s">
        <v>410</v>
      </c>
      <c r="E77" s="2775"/>
      <c r="F77" s="2775"/>
      <c r="G77" s="2776"/>
      <c r="H77" s="942"/>
      <c r="I77" s="2788" t="s">
        <v>1311</v>
      </c>
      <c r="J77" s="2775"/>
      <c r="K77" s="2775"/>
      <c r="L77" s="2776"/>
    </row>
    <row r="78" spans="1:45" ht="25.5" x14ac:dyDescent="0.2">
      <c r="C78" s="940"/>
      <c r="D78" s="947" t="s">
        <v>113</v>
      </c>
      <c r="E78" s="947" t="s">
        <v>114</v>
      </c>
      <c r="F78" s="947" t="s">
        <v>38</v>
      </c>
      <c r="G78" s="948" t="s">
        <v>117</v>
      </c>
      <c r="H78" s="949" t="s">
        <v>116</v>
      </c>
      <c r="I78" s="2148" t="s">
        <v>113</v>
      </c>
      <c r="J78" s="947" t="s">
        <v>114</v>
      </c>
      <c r="K78" s="947" t="s">
        <v>38</v>
      </c>
      <c r="L78" s="948" t="s">
        <v>117</v>
      </c>
    </row>
    <row r="79" spans="1:45" s="77" customFormat="1" x14ac:dyDescent="0.2">
      <c r="A79" s="74"/>
      <c r="B79" s="2130" t="s">
        <v>1121</v>
      </c>
      <c r="C79" s="264" t="s">
        <v>25</v>
      </c>
      <c r="D79" s="253">
        <f>G11/1000</f>
        <v>13.920387681885527</v>
      </c>
      <c r="E79" s="253">
        <f>L11/1000</f>
        <v>184.54906080048073</v>
      </c>
      <c r="F79" s="253">
        <f>T11/1000</f>
        <v>0</v>
      </c>
      <c r="G79" s="254">
        <f>SUM(D79:F79)</f>
        <v>198.46944848236626</v>
      </c>
      <c r="H79" s="938">
        <f t="shared" ref="H79:H87" si="24">SUM(E79:F79)/G79</f>
        <v>0.92986130717684568</v>
      </c>
      <c r="I79" s="255">
        <f>H11</f>
        <v>35.901160260909386</v>
      </c>
      <c r="J79" s="253">
        <f>M11</f>
        <v>475.95839707970953</v>
      </c>
      <c r="K79" s="253">
        <f>U11</f>
        <v>0</v>
      </c>
      <c r="L79" s="254">
        <f>SUM(I79:K79)</f>
        <v>511.85955734061889</v>
      </c>
      <c r="M79" s="74"/>
      <c r="N79" s="74"/>
      <c r="O79" s="74"/>
      <c r="P79" s="74"/>
      <c r="Q79" s="74"/>
      <c r="R79" s="74"/>
      <c r="S79" s="74"/>
      <c r="T79" s="74"/>
      <c r="U79" s="74"/>
      <c r="V79" s="75"/>
      <c r="W79" s="74"/>
      <c r="X79" s="74"/>
      <c r="Y79" s="74"/>
      <c r="Z79" s="74"/>
      <c r="AA79" s="74"/>
      <c r="AB79" s="74"/>
      <c r="AC79" s="74"/>
      <c r="AD79" s="74"/>
      <c r="AE79" s="74"/>
      <c r="AF79" s="74"/>
      <c r="AG79" s="74"/>
      <c r="AH79" s="74"/>
      <c r="AI79" s="74"/>
      <c r="AJ79" s="74"/>
      <c r="AK79" s="74"/>
      <c r="AL79" s="74"/>
      <c r="AM79" s="74"/>
      <c r="AN79" s="74"/>
      <c r="AO79" s="74"/>
      <c r="AP79" s="74"/>
      <c r="AQ79" s="74"/>
      <c r="AR79" s="74"/>
    </row>
    <row r="80" spans="1:45" x14ac:dyDescent="0.2">
      <c r="B80" s="2130" t="s">
        <v>28</v>
      </c>
      <c r="C80" s="264" t="s">
        <v>28</v>
      </c>
      <c r="D80" s="253">
        <f>G15/1000</f>
        <v>5.0752453974884624</v>
      </c>
      <c r="E80" s="253">
        <f>L15/1000</f>
        <v>23.885062298835305</v>
      </c>
      <c r="F80" s="253">
        <f>T15/1000</f>
        <v>0</v>
      </c>
      <c r="G80" s="254">
        <f t="shared" ref="G80:G87" si="25">SUM(D80:F80)</f>
        <v>28.960307696323767</v>
      </c>
      <c r="H80" s="938">
        <f t="shared" si="24"/>
        <v>0.82475167561383622</v>
      </c>
      <c r="I80" s="255">
        <f>H15</f>
        <v>13.089233040239288</v>
      </c>
      <c r="J80" s="253">
        <f>M15</f>
        <v>61.600400005249128</v>
      </c>
      <c r="K80" s="253">
        <f>U15</f>
        <v>0</v>
      </c>
      <c r="L80" s="254">
        <f t="shared" ref="L80:L87" si="26">SUM(I80:K80)</f>
        <v>74.689633045488421</v>
      </c>
    </row>
    <row r="81" spans="1:50" x14ac:dyDescent="0.2">
      <c r="B81" s="2130" t="s">
        <v>22</v>
      </c>
      <c r="C81" s="264" t="s">
        <v>22</v>
      </c>
      <c r="D81" s="253">
        <f>G21/1000</f>
        <v>83.146871795306993</v>
      </c>
      <c r="E81" s="253">
        <f>L21/1000</f>
        <v>221.13416251160567</v>
      </c>
      <c r="F81" s="253">
        <f>T21/1000</f>
        <v>19.142763444933784</v>
      </c>
      <c r="G81" s="254">
        <f t="shared" si="25"/>
        <v>323.42379775184645</v>
      </c>
      <c r="H81" s="938">
        <f t="shared" si="24"/>
        <v>0.74291665494849224</v>
      </c>
      <c r="I81" s="255">
        <f>H21</f>
        <v>214.4386519781375</v>
      </c>
      <c r="J81" s="253">
        <f>M21</f>
        <v>570.31263704113985</v>
      </c>
      <c r="K81" s="253">
        <f>U21</f>
        <v>49.369847591784705</v>
      </c>
      <c r="L81" s="254">
        <f t="shared" si="26"/>
        <v>834.12113661106207</v>
      </c>
    </row>
    <row r="82" spans="1:50" x14ac:dyDescent="0.2">
      <c r="B82" s="2130" t="s">
        <v>1120</v>
      </c>
      <c r="C82" s="264" t="s">
        <v>20</v>
      </c>
      <c r="D82" s="253">
        <f>G26/1000</f>
        <v>30.619295371617721</v>
      </c>
      <c r="E82" s="253">
        <f>L26/1000</f>
        <v>30.158441182216528</v>
      </c>
      <c r="F82" s="253">
        <f>T26/1000</f>
        <v>14.901891537405007</v>
      </c>
      <c r="G82" s="254">
        <f t="shared" si="25"/>
        <v>75.679628091239252</v>
      </c>
      <c r="H82" s="938">
        <f t="shared" si="24"/>
        <v>0.59540901370837684</v>
      </c>
      <c r="I82" s="255">
        <f>H26</f>
        <v>78.968219516115667</v>
      </c>
      <c r="J82" s="253">
        <f>M26</f>
        <v>77.779660656355333</v>
      </c>
      <c r="K82" s="253">
        <f>U26</f>
        <v>38.432492578583201</v>
      </c>
      <c r="L82" s="254">
        <f t="shared" si="26"/>
        <v>195.18037275105422</v>
      </c>
    </row>
    <row r="83" spans="1:50" x14ac:dyDescent="0.2">
      <c r="B83" s="2130" t="s">
        <v>32</v>
      </c>
      <c r="C83" s="264" t="s">
        <v>32</v>
      </c>
      <c r="D83" s="253">
        <f>G36/1000</f>
        <v>32.109434780991826</v>
      </c>
      <c r="E83" s="253">
        <f>L36/1000</f>
        <v>2.7</v>
      </c>
      <c r="F83" s="253">
        <f>T36/1000</f>
        <v>0</v>
      </c>
      <c r="G83" s="254">
        <f t="shared" si="25"/>
        <v>34.809434780991829</v>
      </c>
      <c r="H83" s="938">
        <f t="shared" si="24"/>
        <v>7.7565177860180953E-2</v>
      </c>
      <c r="I83" s="255">
        <f>H36</f>
        <v>82.811340481536249</v>
      </c>
      <c r="J83" s="253">
        <f>M36</f>
        <v>6.9633931841275896</v>
      </c>
      <c r="K83" s="253">
        <f>U36</f>
        <v>0</v>
      </c>
      <c r="L83" s="254">
        <f t="shared" si="26"/>
        <v>89.774733665663831</v>
      </c>
      <c r="AE83" s="79"/>
      <c r="AF83" s="79"/>
      <c r="AG83" s="79"/>
      <c r="AH83" s="79"/>
      <c r="AI83" s="79"/>
      <c r="AJ83" s="79"/>
    </row>
    <row r="84" spans="1:50" s="77" customFormat="1" x14ac:dyDescent="0.2">
      <c r="A84" s="74"/>
      <c r="B84" s="2130" t="s">
        <v>30</v>
      </c>
      <c r="C84" s="264" t="s">
        <v>30</v>
      </c>
      <c r="D84" s="253">
        <f>G37/1000</f>
        <v>10.176019391666838</v>
      </c>
      <c r="E84" s="253">
        <f>L37/1000</f>
        <v>12.837364660457212</v>
      </c>
      <c r="F84" s="253">
        <f>T37/1000</f>
        <v>0</v>
      </c>
      <c r="G84" s="254">
        <f t="shared" si="25"/>
        <v>23.013384052124049</v>
      </c>
      <c r="H84" s="938">
        <f t="shared" si="24"/>
        <v>0.55782168460671788</v>
      </c>
      <c r="I84" s="255">
        <f>H37</f>
        <v>26.244305212401127</v>
      </c>
      <c r="J84" s="253">
        <f>M37</f>
        <v>33.108006510662271</v>
      </c>
      <c r="K84" s="253">
        <f>U37</f>
        <v>0</v>
      </c>
      <c r="L84" s="254">
        <f t="shared" si="26"/>
        <v>59.352311723063394</v>
      </c>
      <c r="M84" s="74"/>
      <c r="N84" s="74"/>
      <c r="O84" s="74"/>
      <c r="P84" s="74"/>
      <c r="Q84" s="74"/>
      <c r="R84" s="74"/>
      <c r="S84" s="74"/>
      <c r="AB84" s="74"/>
      <c r="AC84" s="74"/>
      <c r="AD84" s="74"/>
      <c r="AE84" s="80"/>
      <c r="AF84" s="80"/>
      <c r="AG84" s="80"/>
      <c r="AH84" s="81"/>
      <c r="AI84" s="81"/>
      <c r="AJ84" s="82"/>
      <c r="AK84" s="74"/>
      <c r="AL84" s="74"/>
      <c r="AM84" s="74"/>
      <c r="AN84" s="74"/>
      <c r="AO84" s="74"/>
      <c r="AP84" s="74"/>
      <c r="AQ84" s="74"/>
      <c r="AR84" s="74"/>
      <c r="AS84" s="74"/>
      <c r="AT84" s="74"/>
      <c r="AU84" s="74"/>
      <c r="AV84" s="74"/>
      <c r="AW84" s="74"/>
      <c r="AX84" s="74"/>
    </row>
    <row r="85" spans="1:50" s="76" customFormat="1" x14ac:dyDescent="0.2">
      <c r="A85" s="74"/>
      <c r="B85" s="2130" t="s">
        <v>27</v>
      </c>
      <c r="C85" s="264" t="s">
        <v>27</v>
      </c>
      <c r="D85" s="253">
        <f>G40/1000</f>
        <v>6.1249008724359468</v>
      </c>
      <c r="E85" s="253">
        <f>L40/1000</f>
        <v>1.2564656137328429</v>
      </c>
      <c r="F85" s="253">
        <f>T40/1000</f>
        <v>2.9583309716062649</v>
      </c>
      <c r="G85" s="254">
        <f t="shared" si="25"/>
        <v>10.339697457775054</v>
      </c>
      <c r="H85" s="938">
        <f t="shared" si="24"/>
        <v>0.40763248659367135</v>
      </c>
      <c r="I85" s="255">
        <f>H40</f>
        <v>15.796330736510221</v>
      </c>
      <c r="J85" s="253">
        <f>M40</f>
        <v>3.2404681817622101</v>
      </c>
      <c r="K85" s="253">
        <f>U40</f>
        <v>7.6296376755839317</v>
      </c>
      <c r="L85" s="254">
        <f t="shared" si="26"/>
        <v>26.666436593856364</v>
      </c>
      <c r="M85" s="74"/>
      <c r="N85" s="74"/>
      <c r="O85" s="74"/>
      <c r="P85" s="74"/>
      <c r="Q85" s="74"/>
      <c r="R85" s="74"/>
      <c r="S85" s="74"/>
      <c r="AB85" s="74"/>
      <c r="AC85" s="74"/>
      <c r="AD85" s="74"/>
      <c r="AE85" s="80"/>
      <c r="AF85" s="80"/>
      <c r="AG85" s="80"/>
      <c r="AH85" s="81"/>
      <c r="AI85" s="81"/>
      <c r="AJ85" s="82"/>
      <c r="AK85" s="74"/>
      <c r="AL85" s="74"/>
      <c r="AM85" s="74"/>
      <c r="AN85" s="74"/>
      <c r="AO85" s="74"/>
      <c r="AP85" s="74"/>
      <c r="AQ85" s="74"/>
      <c r="AR85" s="74"/>
      <c r="AS85" s="74"/>
      <c r="AT85" s="74"/>
      <c r="AU85" s="74"/>
      <c r="AV85" s="74"/>
      <c r="AW85" s="74"/>
      <c r="AX85" s="74"/>
    </row>
    <row r="86" spans="1:50" s="76" customFormat="1" x14ac:dyDescent="0.2">
      <c r="A86" s="74"/>
      <c r="B86" s="2130" t="s">
        <v>1370</v>
      </c>
      <c r="C86" s="264" t="s">
        <v>35</v>
      </c>
      <c r="D86" s="253">
        <f>SUM(G58:G59)/1000</f>
        <v>9.3505852463813106</v>
      </c>
      <c r="E86" s="253">
        <f>SUM(L58:L59)/1000</f>
        <v>70.234554113723291</v>
      </c>
      <c r="F86" s="253">
        <f>SUM(T58:T59)/1000</f>
        <v>1.2280384546791715E-13</v>
      </c>
      <c r="G86" s="254">
        <f t="shared" si="25"/>
        <v>79.585139360104733</v>
      </c>
      <c r="H86" s="938">
        <f t="shared" si="24"/>
        <v>0.88250840142313458</v>
      </c>
      <c r="I86" s="255">
        <f>SUM(H58:H59)</f>
        <v>24.115482063798375</v>
      </c>
      <c r="J86" s="253">
        <f>SUM(M58:M59)</f>
        <v>181.13733903916341</v>
      </c>
      <c r="K86" s="253">
        <f>SUM(U58:U59)</f>
        <v>3.1671535574664892E-13</v>
      </c>
      <c r="L86" s="254">
        <f t="shared" si="26"/>
        <v>205.25282110296209</v>
      </c>
      <c r="M86" s="74"/>
      <c r="N86" s="74"/>
      <c r="O86" s="74"/>
      <c r="P86" s="74"/>
      <c r="Q86" s="74"/>
      <c r="R86" s="74"/>
      <c r="S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row>
    <row r="87" spans="1:50" x14ac:dyDescent="0.2">
      <c r="B87" s="2130" t="s">
        <v>2</v>
      </c>
      <c r="C87" s="265" t="s">
        <v>2</v>
      </c>
      <c r="D87" s="261">
        <f>G60/1000</f>
        <v>0</v>
      </c>
      <c r="E87" s="261">
        <f>L60/1000</f>
        <v>0</v>
      </c>
      <c r="F87" s="261">
        <f>T60/1000</f>
        <v>0</v>
      </c>
      <c r="G87" s="266">
        <f t="shared" si="25"/>
        <v>0</v>
      </c>
      <c r="H87" s="939" t="e">
        <f t="shared" si="24"/>
        <v>#DIV/0!</v>
      </c>
      <c r="I87" s="1677">
        <f>H60</f>
        <v>0</v>
      </c>
      <c r="J87" s="261">
        <f>M60</f>
        <v>0</v>
      </c>
      <c r="K87" s="261">
        <f>U60</f>
        <v>0</v>
      </c>
      <c r="L87" s="266">
        <f t="shared" si="26"/>
        <v>0</v>
      </c>
      <c r="AB87" s="76"/>
      <c r="AC87" s="76"/>
      <c r="AE87" s="76"/>
      <c r="AF87" s="76"/>
      <c r="AG87" s="76"/>
      <c r="AH87" s="76"/>
      <c r="AI87" s="76"/>
      <c r="AJ87" s="76"/>
      <c r="AK87" s="76"/>
      <c r="AL87" s="76"/>
      <c r="AM87" s="76"/>
      <c r="AN87" s="76"/>
      <c r="AO87" s="76"/>
      <c r="AP87" s="76"/>
      <c r="AQ87" s="76"/>
      <c r="AR87" s="76"/>
      <c r="AS87" s="76"/>
      <c r="AT87" s="76"/>
      <c r="AU87" s="76"/>
      <c r="AV87" s="76"/>
      <c r="AW87" s="76"/>
      <c r="AX87" s="76"/>
    </row>
    <row r="88" spans="1:50" x14ac:dyDescent="0.2">
      <c r="B88" s="2077"/>
      <c r="C88" s="2240" t="s">
        <v>1438</v>
      </c>
      <c r="D88" s="2331">
        <f>D16/1000</f>
        <v>22.199411842180606</v>
      </c>
      <c r="E88" s="2331">
        <f>IFERROR(I16/1000,0)</f>
        <v>0</v>
      </c>
      <c r="F88" s="2331">
        <f>Q16/1000</f>
        <v>11.269469561881044</v>
      </c>
      <c r="G88" s="2422">
        <f>SUM(D88:F88)</f>
        <v>33.468881404061648</v>
      </c>
      <c r="H88" s="2566">
        <f>SUM(E88:F88)/G88</f>
        <v>0.33671485538543955</v>
      </c>
      <c r="I88" s="2567"/>
      <c r="J88" s="2331"/>
      <c r="K88" s="2331"/>
      <c r="L88" s="1652"/>
    </row>
    <row r="89" spans="1:50" s="76" customFormat="1" x14ac:dyDescent="0.2">
      <c r="A89" s="74"/>
      <c r="B89" s="74"/>
      <c r="C89" s="1641" t="s">
        <v>1439</v>
      </c>
      <c r="D89" s="2314">
        <f>G16/1000</f>
        <v>44.627984288895028</v>
      </c>
      <c r="E89" s="2314">
        <f>L16/1000</f>
        <v>0.38928955981038937</v>
      </c>
      <c r="F89" s="2314">
        <f>T16/1000</f>
        <v>16.538902860561635</v>
      </c>
      <c r="G89" s="254">
        <f>SUM(D89:F89)</f>
        <v>61.556176709267049</v>
      </c>
      <c r="H89" s="938">
        <f>SUM(E89:F89)/G89</f>
        <v>0.27500396102124303</v>
      </c>
      <c r="I89" s="2568"/>
      <c r="J89" s="2314"/>
      <c r="K89" s="2314"/>
      <c r="L89" s="253"/>
      <c r="M89" s="74"/>
      <c r="N89" s="74"/>
      <c r="O89" s="74"/>
      <c r="P89" s="74"/>
      <c r="Q89" s="74"/>
      <c r="R89" s="74"/>
      <c r="S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row>
    <row r="90" spans="1:50" x14ac:dyDescent="0.2">
      <c r="C90" s="1641" t="s">
        <v>1437</v>
      </c>
      <c r="D90" s="2314">
        <f>(SUMIFS('Basel data'!$E$8:$E$604,'Basel data'!$C$8:$C$604,"K100",'Basel data'!$G$8:$G$604,"Australian Capital Territory")+SUMIFS('Basel data'!$F$8:$F$604,'Basel data'!$C$8:$C$604,"K100",'Basel data'!$G$8:$G$604,"Australian Capital Territory")+SUMIFS('Basel data'!$E$8:$E$604,'Basel data'!$C$8:$C$604,"K110",'Basel data'!$G$8:$G$604,"Australian Capital Territory")+SUMIFS('Basel data'!$F$8:$F$604,'Basel data'!$C$8:$C$604,"K110",'Basel data'!$G$8:$G$604,"Australian Capital Territory"))*(1-SUM('Other national data'!M432:N432))/1000</f>
        <v>0.29237380656525491</v>
      </c>
      <c r="E90" s="2314">
        <f>(SUMIFS('Basel data'!$E$8:$E$604,'Basel data'!$C$8:$C$604,"K100",'Basel data'!$G$8:$G$604,"Australian Capital Territory")+SUMIFS('Basel data'!$F$8:$F$604,'Basel data'!$C$8:$C$604,"K100",'Basel data'!$G$8:$G$604,"Australian Capital Territory")+SUMIFS('Basel data'!$E$8:$E$604,'Basel data'!$C$8:$C$604,"K110",'Basel data'!$G$8:$G$604,"Australian Capital Territory")+SUMIFS('Basel data'!$F$8:$F$604,'Basel data'!$C$8:$C$604,"K110",'Basel data'!$G$8:$G$604,"Australian Capital Territory"))*'Other national data'!M432/1000</f>
        <v>5.4953961934346882</v>
      </c>
      <c r="F90" s="2314">
        <f>(SUMIFS('Basel data'!$E$8:$E$604,'Basel data'!$C$8:$C$604,"K100",'Basel data'!$G$8:$G$604,"Australian Capital Territory")+SUMIFS('Basel data'!$F$8:$F$604,'Basel data'!$C$8:$C$604,"K100",'Basel data'!$G$8:$G$604,"Australian Capital Territory")+SUMIFS('Basel data'!$E$8:$E$604,'Basel data'!$C$8:$C$604,"K110",'Basel data'!$G$8:$G$604,"Australian Capital Territory")+SUMIFS('Basel data'!$F$8:$F$604,'Basel data'!$C$8:$C$604,"K110",'Basel data'!$G$8:$G$604,"Australian Capital Territory"))*'Other national data'!N432/1000</f>
        <v>5.7877699999999999E-14</v>
      </c>
      <c r="G90" s="254">
        <f>SUM(D90:F90)</f>
        <v>5.787770000000001</v>
      </c>
      <c r="H90" s="938">
        <f>SUM(E90:F90)/G90</f>
        <v>0.94948420435413727</v>
      </c>
      <c r="I90" s="2568"/>
      <c r="J90" s="2314"/>
      <c r="K90" s="2314"/>
      <c r="L90" s="253"/>
      <c r="AB90" s="76"/>
      <c r="AC90" s="76"/>
      <c r="AE90" s="76"/>
      <c r="AF90" s="76"/>
      <c r="AG90" s="76"/>
      <c r="AH90" s="76"/>
      <c r="AI90" s="76"/>
      <c r="AJ90" s="76"/>
      <c r="AK90" s="76"/>
      <c r="AL90" s="76"/>
      <c r="AM90" s="76"/>
      <c r="AN90" s="76"/>
      <c r="AO90" s="76"/>
      <c r="AP90" s="76"/>
      <c r="AQ90" s="76"/>
      <c r="AR90" s="76"/>
      <c r="AS90" s="76"/>
      <c r="AT90" s="76"/>
      <c r="AU90" s="76"/>
      <c r="AV90" s="76"/>
      <c r="AW90" s="76"/>
      <c r="AX90" s="76"/>
    </row>
    <row r="91" spans="1:50" x14ac:dyDescent="0.2">
      <c r="C91" s="2049" t="s">
        <v>1436</v>
      </c>
      <c r="D91" s="2315">
        <f>SUM(D89:D90)</f>
        <v>44.92035809546028</v>
      </c>
      <c r="E91" s="2315">
        <f t="shared" ref="E91:F91" si="27">SUM(E89:E90)</f>
        <v>5.884685753245078</v>
      </c>
      <c r="F91" s="2315">
        <f t="shared" si="27"/>
        <v>16.538902860561691</v>
      </c>
      <c r="G91" s="266">
        <f>SUM(D91:F91)</f>
        <v>67.343946709267044</v>
      </c>
      <c r="H91" s="939">
        <f>SUM(E91:F91)/G91</f>
        <v>0.33297110890474607</v>
      </c>
    </row>
    <row r="93" spans="1:50" x14ac:dyDescent="0.2">
      <c r="C93" s="1629" t="s">
        <v>342</v>
      </c>
      <c r="D93" s="253">
        <f>SUM(G11,G15,G21,G26,G36,G37,G40,G52:G53,N63:P63)/1000</f>
        <v>221.69293841752179</v>
      </c>
    </row>
    <row r="94" spans="1:50" x14ac:dyDescent="0.2">
      <c r="E94" s="2075"/>
    </row>
    <row r="95" spans="1:50" ht="12.75" customHeight="1" x14ac:dyDescent="0.2">
      <c r="AB95" s="76"/>
      <c r="AH95" s="76"/>
      <c r="AI95" s="76"/>
      <c r="AJ95" s="76"/>
      <c r="AK95" s="76"/>
      <c r="AL95" s="76"/>
      <c r="AM95" s="76"/>
      <c r="AN95" s="76"/>
      <c r="AO95" s="76"/>
      <c r="AP95" s="76"/>
      <c r="AQ95" s="76"/>
      <c r="AR95" s="76"/>
      <c r="AS95" s="76"/>
      <c r="AT95" s="76"/>
      <c r="AU95" s="76"/>
      <c r="AV95" s="76"/>
      <c r="AW95" s="76"/>
      <c r="AX95" s="76"/>
    </row>
    <row r="96" spans="1:50" x14ac:dyDescent="0.2">
      <c r="V96" s="74"/>
    </row>
    <row r="97" spans="1:50" x14ac:dyDescent="0.2">
      <c r="V97" s="74"/>
    </row>
    <row r="98" spans="1:50" x14ac:dyDescent="0.2">
      <c r="V98" s="74"/>
    </row>
    <row r="99" spans="1:50" x14ac:dyDescent="0.2">
      <c r="T99" s="77"/>
      <c r="U99" s="77"/>
      <c r="V99" s="77"/>
      <c r="W99" s="77"/>
      <c r="X99" s="77"/>
      <c r="Y99" s="77"/>
      <c r="Z99" s="77"/>
      <c r="AA99" s="77"/>
      <c r="AB99" s="77"/>
      <c r="AC99" s="77"/>
      <c r="AE99" s="77"/>
      <c r="AF99" s="77"/>
      <c r="AG99" s="77"/>
      <c r="AH99" s="77"/>
      <c r="AI99" s="77"/>
      <c r="AJ99" s="77"/>
      <c r="AK99" s="77"/>
      <c r="AL99" s="77"/>
      <c r="AM99" s="77"/>
      <c r="AN99" s="77"/>
      <c r="AO99" s="77"/>
      <c r="AP99" s="77"/>
      <c r="AQ99" s="77"/>
      <c r="AR99" s="77"/>
      <c r="AS99" s="77"/>
      <c r="AT99" s="77"/>
      <c r="AU99" s="77"/>
      <c r="AV99" s="77"/>
      <c r="AW99" s="77"/>
      <c r="AX99" s="77"/>
    </row>
    <row r="100" spans="1:50" s="76" customFormat="1" x14ac:dyDescent="0.2">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row>
    <row r="101" spans="1:50" x14ac:dyDescent="0.2">
      <c r="V101" s="74"/>
    </row>
    <row r="102" spans="1:50" x14ac:dyDescent="0.2">
      <c r="V102" s="74"/>
    </row>
    <row r="103" spans="1:50" x14ac:dyDescent="0.2">
      <c r="V103" s="74"/>
    </row>
    <row r="104" spans="1:50" s="76" customFormat="1" x14ac:dyDescent="0.2">
      <c r="A104" s="74"/>
      <c r="B104" s="74"/>
      <c r="C104" s="74"/>
      <c r="D104" s="74"/>
      <c r="F104" s="74"/>
      <c r="H104" s="74"/>
      <c r="I104" s="74"/>
      <c r="J104" s="74"/>
      <c r="K104" s="74"/>
      <c r="L104" s="74"/>
      <c r="M104" s="74"/>
      <c r="N104" s="74"/>
      <c r="O104" s="74"/>
      <c r="P104" s="74"/>
      <c r="Q104" s="74"/>
      <c r="R104" s="74"/>
      <c r="S104" s="74"/>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row>
    <row r="105" spans="1:50" x14ac:dyDescent="0.2">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row>
    <row r="106" spans="1:50" x14ac:dyDescent="0.2">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row>
    <row r="107" spans="1:50" x14ac:dyDescent="0.2">
      <c r="V107" s="74"/>
    </row>
    <row r="108" spans="1:50" x14ac:dyDescent="0.2">
      <c r="V108" s="74"/>
    </row>
    <row r="109" spans="1:50" x14ac:dyDescent="0.2">
      <c r="T109" s="76"/>
      <c r="U109" s="76"/>
      <c r="V109" s="76"/>
      <c r="W109" s="76"/>
      <c r="X109" s="76"/>
      <c r="Y109" s="76"/>
      <c r="Z109" s="76"/>
      <c r="AA109" s="76"/>
      <c r="AB109" s="76"/>
      <c r="AC109" s="76"/>
      <c r="AD109" s="76"/>
      <c r="AE109" s="76"/>
      <c r="AS109" s="76"/>
      <c r="AT109" s="76"/>
      <c r="AU109" s="76"/>
      <c r="AV109" s="76"/>
      <c r="AW109" s="76"/>
      <c r="AX109" s="76"/>
    </row>
    <row r="110" spans="1:50" s="76" customFormat="1" x14ac:dyDescent="0.2">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row>
    <row r="111" spans="1:50" x14ac:dyDescent="0.2">
      <c r="V111" s="74"/>
    </row>
    <row r="112" spans="1:50" x14ac:dyDescent="0.2">
      <c r="V112" s="74"/>
    </row>
    <row r="113" spans="1:44" x14ac:dyDescent="0.2">
      <c r="V113" s="74"/>
    </row>
    <row r="115" spans="1:44" s="76" customFormat="1" x14ac:dyDescent="0.2">
      <c r="A115" s="74"/>
      <c r="B115" s="74"/>
      <c r="C115" s="74"/>
      <c r="D115" s="74"/>
      <c r="E115" s="74"/>
      <c r="F115" s="74"/>
      <c r="G115" s="74"/>
      <c r="H115" s="74"/>
      <c r="I115" s="74"/>
      <c r="J115" s="74"/>
      <c r="K115" s="74"/>
      <c r="L115" s="74"/>
      <c r="M115" s="74"/>
      <c r="N115" s="74"/>
      <c r="O115" s="74"/>
      <c r="P115" s="74"/>
      <c r="Q115" s="74"/>
      <c r="R115" s="74"/>
      <c r="S115" s="74"/>
      <c r="T115" s="74"/>
      <c r="U115" s="74"/>
      <c r="V115" s="75"/>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row>
    <row r="119" spans="1:44" s="77" customFormat="1" x14ac:dyDescent="0.2">
      <c r="A119" s="74"/>
      <c r="B119" s="74"/>
      <c r="C119" s="74"/>
      <c r="D119" s="74"/>
      <c r="E119" s="2075"/>
      <c r="F119" s="74"/>
      <c r="G119" s="74"/>
      <c r="H119" s="74"/>
      <c r="R119" s="74"/>
      <c r="S119" s="74"/>
      <c r="T119" s="74"/>
      <c r="U119" s="74"/>
      <c r="V119" s="75"/>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row>
    <row r="124" spans="1:44" s="77" customFormat="1" x14ac:dyDescent="0.2">
      <c r="A124" s="74"/>
      <c r="B124" s="74"/>
      <c r="C124" s="74"/>
      <c r="D124" s="74"/>
      <c r="E124" s="74"/>
      <c r="F124" s="74"/>
      <c r="G124" s="74"/>
      <c r="H124" s="74"/>
      <c r="M124" s="74"/>
      <c r="N124" s="74"/>
      <c r="O124" s="74"/>
      <c r="P124" s="74"/>
      <c r="Q124" s="74"/>
      <c r="R124" s="74"/>
      <c r="S124" s="74"/>
      <c r="T124" s="74"/>
      <c r="U124" s="74"/>
      <c r="V124" s="75"/>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row>
    <row r="125" spans="1:44" s="76" customFormat="1" x14ac:dyDescent="0.2">
      <c r="A125" s="74"/>
      <c r="B125" s="74"/>
      <c r="C125" s="74"/>
      <c r="D125" s="74"/>
      <c r="E125" s="74"/>
      <c r="F125" s="74"/>
      <c r="G125" s="74"/>
      <c r="H125" s="74"/>
      <c r="M125" s="74"/>
      <c r="N125" s="74"/>
      <c r="O125" s="74"/>
      <c r="P125" s="74"/>
      <c r="Q125" s="74"/>
      <c r="R125" s="74"/>
      <c r="S125" s="74"/>
      <c r="T125" s="74"/>
      <c r="U125" s="74"/>
      <c r="V125" s="75"/>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row>
    <row r="126" spans="1:44" s="76" customFormat="1" x14ac:dyDescent="0.2">
      <c r="A126" s="74"/>
      <c r="B126" s="74"/>
      <c r="C126" s="74"/>
      <c r="D126" s="2076"/>
      <c r="M126" s="74"/>
      <c r="N126" s="74"/>
      <c r="O126" s="74"/>
      <c r="P126" s="74"/>
      <c r="Q126" s="74"/>
      <c r="R126" s="74"/>
      <c r="S126" s="74"/>
      <c r="T126" s="74"/>
      <c r="U126" s="74"/>
      <c r="V126" s="75"/>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28" spans="1:44" x14ac:dyDescent="0.2">
      <c r="E128" s="253"/>
      <c r="F128" s="253"/>
      <c r="G128" s="1656"/>
      <c r="H128" s="1656"/>
    </row>
    <row r="129" spans="1:44" s="76" customFormat="1" x14ac:dyDescent="0.2">
      <c r="A129" s="74"/>
      <c r="B129" s="74"/>
      <c r="C129" s="74"/>
      <c r="D129" s="74"/>
      <c r="E129" s="253"/>
      <c r="F129" s="253"/>
      <c r="G129" s="1656"/>
      <c r="H129" s="1656"/>
      <c r="M129" s="74"/>
      <c r="N129" s="74"/>
      <c r="O129" s="74"/>
      <c r="P129" s="74"/>
      <c r="Q129" s="74"/>
      <c r="R129" s="74"/>
      <c r="S129" s="74"/>
      <c r="T129" s="74"/>
      <c r="U129" s="74"/>
      <c r="V129" s="75"/>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row>
    <row r="130" spans="1:44" x14ac:dyDescent="0.2">
      <c r="E130" s="253"/>
      <c r="F130" s="253"/>
      <c r="G130" s="1656"/>
      <c r="H130" s="1656"/>
      <c r="AJ130" s="76"/>
      <c r="AK130" s="76"/>
      <c r="AL130" s="76"/>
      <c r="AM130" s="76"/>
      <c r="AN130" s="76"/>
      <c r="AO130" s="76"/>
      <c r="AP130" s="76"/>
      <c r="AQ130" s="76"/>
    </row>
    <row r="134" spans="1:44" s="76" customFormat="1" x14ac:dyDescent="0.2">
      <c r="A134" s="74"/>
      <c r="B134" s="74"/>
      <c r="C134" s="74"/>
      <c r="D134" s="74"/>
      <c r="E134" s="74"/>
      <c r="F134" s="74"/>
      <c r="G134" s="74"/>
      <c r="H134" s="74"/>
      <c r="M134" s="74"/>
      <c r="N134" s="74"/>
      <c r="O134" s="74"/>
      <c r="P134" s="74"/>
      <c r="Q134" s="74"/>
      <c r="R134" s="74"/>
      <c r="S134" s="74"/>
      <c r="T134" s="74"/>
      <c r="U134" s="74"/>
      <c r="V134" s="75"/>
      <c r="W134" s="74"/>
      <c r="X134" s="74"/>
      <c r="Y134" s="74"/>
      <c r="Z134" s="74"/>
      <c r="AA134" s="74"/>
      <c r="AB134" s="74"/>
      <c r="AC134" s="74"/>
      <c r="AD134" s="74"/>
      <c r="AE134" s="74"/>
      <c r="AJ134" s="74"/>
      <c r="AK134" s="74"/>
      <c r="AL134" s="74"/>
      <c r="AM134" s="74"/>
      <c r="AN134" s="74"/>
      <c r="AO134" s="74"/>
      <c r="AP134" s="74"/>
      <c r="AQ134" s="74"/>
    </row>
    <row r="135" spans="1:44" s="76" customFormat="1" x14ac:dyDescent="0.2">
      <c r="A135" s="74"/>
      <c r="B135" s="74"/>
      <c r="C135" s="74"/>
      <c r="D135" s="74"/>
      <c r="E135" s="74"/>
      <c r="F135" s="74"/>
      <c r="G135" s="74"/>
      <c r="H135" s="74"/>
      <c r="M135" s="74"/>
      <c r="N135" s="74"/>
      <c r="O135" s="74"/>
      <c r="P135" s="74"/>
      <c r="Q135" s="74"/>
      <c r="R135" s="74"/>
      <c r="S135" s="74"/>
      <c r="T135" s="74"/>
      <c r="U135" s="74"/>
      <c r="V135" s="75"/>
      <c r="W135" s="74"/>
      <c r="X135" s="74"/>
      <c r="Y135" s="74"/>
      <c r="Z135" s="74"/>
      <c r="AA135" s="74"/>
      <c r="AB135" s="74"/>
      <c r="AC135" s="74"/>
      <c r="AD135" s="74"/>
      <c r="AE135" s="74"/>
    </row>
    <row r="136" spans="1:44" x14ac:dyDescent="0.2">
      <c r="AJ136" s="76"/>
      <c r="AK136" s="76"/>
      <c r="AL136" s="76"/>
      <c r="AM136" s="76"/>
      <c r="AN136" s="76"/>
      <c r="AO136" s="76"/>
      <c r="AP136" s="76"/>
      <c r="AQ136" s="76"/>
    </row>
    <row r="142" spans="1:44" ht="12.75" customHeight="1" x14ac:dyDescent="0.2">
      <c r="AF142" s="78"/>
      <c r="AG142" s="78"/>
      <c r="AH142" s="78"/>
      <c r="AI142" s="78"/>
    </row>
    <row r="143" spans="1:44" x14ac:dyDescent="0.2">
      <c r="AF143" s="79"/>
      <c r="AG143" s="79"/>
      <c r="AH143" s="79"/>
      <c r="AI143" s="79"/>
      <c r="AJ143" s="78"/>
    </row>
    <row r="144" spans="1:44" x14ac:dyDescent="0.2">
      <c r="AF144" s="80"/>
      <c r="AG144" s="80"/>
      <c r="AH144" s="81"/>
      <c r="AI144" s="81"/>
      <c r="AJ144" s="79"/>
    </row>
    <row r="145" spans="1:43" x14ac:dyDescent="0.2">
      <c r="E145" s="2075"/>
      <c r="AF145" s="80"/>
      <c r="AG145" s="80"/>
      <c r="AH145" s="81"/>
      <c r="AI145" s="81"/>
      <c r="AJ145" s="82"/>
    </row>
    <row r="146" spans="1:43" x14ac:dyDescent="0.2">
      <c r="AJ146" s="82"/>
    </row>
    <row r="147" spans="1:43" s="76" customFormat="1" x14ac:dyDescent="0.2">
      <c r="A147" s="74"/>
      <c r="B147" s="74"/>
      <c r="C147" s="74"/>
      <c r="D147" s="74"/>
      <c r="E147" s="74"/>
      <c r="F147" s="74"/>
      <c r="G147" s="74"/>
      <c r="H147" s="74"/>
      <c r="I147" s="74"/>
      <c r="J147" s="74"/>
      <c r="M147" s="74"/>
      <c r="N147" s="74"/>
      <c r="O147" s="74"/>
      <c r="P147" s="74"/>
      <c r="Q147" s="74"/>
      <c r="R147" s="74"/>
      <c r="S147" s="74"/>
      <c r="T147" s="74"/>
      <c r="U147" s="74"/>
      <c r="V147" s="75"/>
      <c r="W147" s="74"/>
      <c r="X147" s="74"/>
      <c r="Y147" s="74"/>
      <c r="Z147" s="74"/>
      <c r="AA147" s="74"/>
      <c r="AB147" s="74"/>
      <c r="AC147" s="74"/>
      <c r="AD147" s="74"/>
      <c r="AE147" s="74"/>
      <c r="AJ147" s="74"/>
      <c r="AK147" s="74"/>
      <c r="AL147" s="74"/>
      <c r="AM147" s="74"/>
      <c r="AN147" s="74"/>
      <c r="AO147" s="74"/>
      <c r="AP147" s="74"/>
      <c r="AQ147" s="74"/>
    </row>
    <row r="148" spans="1:43" x14ac:dyDescent="0.2">
      <c r="AJ148" s="76"/>
      <c r="AK148" s="76"/>
      <c r="AL148" s="76"/>
      <c r="AM148" s="76"/>
      <c r="AN148" s="76"/>
      <c r="AO148" s="76"/>
      <c r="AP148" s="76"/>
      <c r="AQ148" s="76"/>
    </row>
    <row r="151" spans="1:43" s="76" customFormat="1" x14ac:dyDescent="0.2">
      <c r="A151" s="74"/>
      <c r="B151" s="74"/>
      <c r="C151" s="74"/>
      <c r="D151" s="74"/>
      <c r="E151" s="74"/>
      <c r="F151" s="74"/>
      <c r="G151" s="74"/>
      <c r="H151" s="74"/>
      <c r="I151" s="74"/>
      <c r="J151" s="74"/>
      <c r="K151" s="74"/>
      <c r="L151" s="74"/>
      <c r="M151" s="74"/>
      <c r="N151" s="74"/>
      <c r="O151" s="74"/>
      <c r="P151" s="74"/>
      <c r="Q151" s="74"/>
      <c r="R151" s="74"/>
      <c r="S151" s="74"/>
      <c r="T151" s="74"/>
      <c r="U151" s="74"/>
      <c r="V151" s="75"/>
      <c r="W151" s="74"/>
      <c r="X151" s="74"/>
      <c r="Y151" s="74"/>
      <c r="Z151" s="74"/>
      <c r="AA151" s="74"/>
      <c r="AB151" s="74"/>
      <c r="AC151" s="74"/>
      <c r="AD151" s="74"/>
      <c r="AE151" s="74"/>
      <c r="AJ151" s="74"/>
      <c r="AK151" s="74"/>
      <c r="AL151" s="74"/>
      <c r="AM151" s="74"/>
      <c r="AN151" s="74"/>
      <c r="AO151" s="74"/>
      <c r="AP151" s="74"/>
      <c r="AQ151" s="74"/>
    </row>
    <row r="152" spans="1:43" x14ac:dyDescent="0.2">
      <c r="D152" s="81"/>
      <c r="E152" s="81"/>
      <c r="F152" s="81"/>
      <c r="AJ152" s="76"/>
      <c r="AK152" s="76"/>
      <c r="AL152" s="76"/>
      <c r="AM152" s="76"/>
      <c r="AN152" s="76"/>
      <c r="AO152" s="76"/>
      <c r="AP152" s="76"/>
      <c r="AQ152" s="76"/>
    </row>
    <row r="157" spans="1:43" s="76" customFormat="1" x14ac:dyDescent="0.2">
      <c r="A157" s="74"/>
      <c r="B157" s="74"/>
      <c r="C157" s="74"/>
      <c r="D157" s="74"/>
      <c r="E157" s="74"/>
      <c r="F157" s="74"/>
      <c r="G157" s="74"/>
      <c r="H157" s="74"/>
      <c r="I157" s="74"/>
      <c r="K157" s="74"/>
      <c r="L157" s="74"/>
      <c r="M157" s="74"/>
      <c r="N157" s="74"/>
      <c r="O157" s="74"/>
      <c r="P157" s="74"/>
      <c r="Q157" s="74"/>
      <c r="R157" s="74"/>
      <c r="S157" s="74"/>
      <c r="T157" s="74"/>
      <c r="U157" s="74"/>
      <c r="V157" s="75"/>
      <c r="W157" s="74"/>
      <c r="X157" s="74"/>
      <c r="Y157" s="74"/>
      <c r="Z157" s="74"/>
      <c r="AA157" s="74"/>
      <c r="AB157" s="74"/>
      <c r="AC157" s="74"/>
      <c r="AD157" s="74"/>
      <c r="AE157" s="74"/>
      <c r="AJ157" s="74"/>
      <c r="AK157" s="74"/>
      <c r="AL157" s="74"/>
      <c r="AM157" s="74"/>
      <c r="AN157" s="74"/>
      <c r="AO157" s="74"/>
      <c r="AP157" s="74"/>
      <c r="AQ157" s="74"/>
    </row>
    <row r="158" spans="1:43" x14ac:dyDescent="0.2">
      <c r="AJ158" s="76"/>
      <c r="AK158" s="76"/>
      <c r="AL158" s="76"/>
      <c r="AM158" s="76"/>
      <c r="AN158" s="76"/>
      <c r="AO158" s="76"/>
      <c r="AP158" s="76"/>
      <c r="AQ158" s="76"/>
    </row>
    <row r="162" spans="1:43" s="76" customFormat="1" x14ac:dyDescent="0.2">
      <c r="A162" s="74"/>
      <c r="B162" s="74"/>
      <c r="C162" s="74"/>
      <c r="D162" s="74"/>
      <c r="E162" s="74"/>
      <c r="F162" s="74"/>
      <c r="G162" s="74"/>
      <c r="H162" s="74"/>
      <c r="I162" s="74"/>
      <c r="J162" s="74"/>
      <c r="K162" s="74"/>
      <c r="L162" s="74"/>
      <c r="M162" s="74"/>
      <c r="N162" s="74"/>
      <c r="O162" s="74"/>
      <c r="P162" s="74"/>
      <c r="Q162" s="74"/>
      <c r="R162" s="74"/>
      <c r="S162" s="74"/>
      <c r="T162" s="74"/>
      <c r="U162" s="74"/>
      <c r="V162" s="75"/>
      <c r="W162" s="74"/>
      <c r="X162" s="74"/>
      <c r="Y162" s="74"/>
      <c r="Z162" s="74"/>
      <c r="AA162" s="74"/>
      <c r="AB162" s="74"/>
      <c r="AC162" s="74"/>
      <c r="AD162" s="74"/>
      <c r="AE162" s="74"/>
      <c r="AJ162" s="74"/>
      <c r="AK162" s="74"/>
      <c r="AL162" s="74"/>
      <c r="AM162" s="74"/>
      <c r="AN162" s="74"/>
      <c r="AO162" s="74"/>
      <c r="AP162" s="74"/>
      <c r="AQ162" s="74"/>
    </row>
    <row r="163" spans="1:43" x14ac:dyDescent="0.2">
      <c r="AJ163" s="76"/>
      <c r="AK163" s="76"/>
      <c r="AL163" s="76"/>
      <c r="AM163" s="76"/>
      <c r="AN163" s="76"/>
      <c r="AO163" s="76"/>
      <c r="AP163" s="76"/>
      <c r="AQ163" s="76"/>
    </row>
    <row r="166" spans="1:43" s="77" customFormat="1" x14ac:dyDescent="0.2">
      <c r="A166" s="74"/>
      <c r="B166" s="74"/>
      <c r="C166" s="74"/>
      <c r="D166" s="74"/>
      <c r="E166" s="74"/>
      <c r="F166" s="74"/>
      <c r="G166" s="74"/>
      <c r="H166" s="74"/>
      <c r="I166" s="74"/>
      <c r="J166" s="74"/>
      <c r="K166" s="74"/>
      <c r="L166" s="74"/>
      <c r="M166" s="74"/>
      <c r="N166" s="74"/>
      <c r="O166" s="74"/>
      <c r="P166" s="74"/>
      <c r="Q166" s="74"/>
      <c r="R166" s="74"/>
      <c r="S166" s="74"/>
      <c r="T166" s="74"/>
      <c r="U166" s="74"/>
      <c r="V166" s="75"/>
      <c r="W166" s="74"/>
      <c r="X166" s="74"/>
      <c r="Y166" s="74"/>
      <c r="Z166" s="74"/>
      <c r="AA166" s="74"/>
      <c r="AB166" s="74"/>
      <c r="AC166" s="74"/>
      <c r="AD166" s="74"/>
      <c r="AE166" s="74"/>
      <c r="AJ166" s="74"/>
      <c r="AK166" s="74"/>
      <c r="AL166" s="74"/>
      <c r="AM166" s="74"/>
      <c r="AN166" s="74"/>
      <c r="AO166" s="74"/>
      <c r="AP166" s="74"/>
      <c r="AQ166" s="74"/>
    </row>
    <row r="167" spans="1:43" x14ac:dyDescent="0.2">
      <c r="AJ167" s="77"/>
      <c r="AK167" s="77"/>
      <c r="AL167" s="77"/>
      <c r="AM167" s="77"/>
      <c r="AN167" s="77"/>
      <c r="AO167" s="77"/>
      <c r="AP167" s="77"/>
      <c r="AQ167" s="77"/>
    </row>
    <row r="169" spans="1:43" x14ac:dyDescent="0.2">
      <c r="J169" s="2075"/>
    </row>
    <row r="171" spans="1:43" s="77" customFormat="1" x14ac:dyDescent="0.2">
      <c r="A171" s="74"/>
      <c r="B171" s="74"/>
      <c r="C171" s="74"/>
      <c r="D171" s="74"/>
      <c r="E171" s="74"/>
      <c r="F171" s="74"/>
      <c r="G171" s="74"/>
      <c r="H171" s="74"/>
      <c r="I171" s="74"/>
      <c r="J171" s="74"/>
      <c r="K171" s="74"/>
      <c r="L171" s="74"/>
      <c r="M171" s="74"/>
      <c r="N171" s="74"/>
      <c r="O171" s="74"/>
      <c r="P171" s="74"/>
      <c r="Q171" s="74"/>
      <c r="R171" s="74"/>
      <c r="S171" s="74"/>
      <c r="T171" s="74"/>
      <c r="U171" s="74"/>
      <c r="V171" s="75"/>
      <c r="W171" s="74"/>
      <c r="X171" s="74"/>
      <c r="Y171" s="74"/>
      <c r="Z171" s="74"/>
      <c r="AA171" s="74"/>
      <c r="AB171" s="74"/>
      <c r="AC171" s="74"/>
      <c r="AD171" s="74"/>
      <c r="AE171" s="74"/>
      <c r="AJ171" s="74"/>
      <c r="AK171" s="74"/>
      <c r="AL171" s="74"/>
      <c r="AM171" s="74"/>
      <c r="AN171" s="74"/>
      <c r="AO171" s="74"/>
      <c r="AP171" s="74"/>
      <c r="AQ171" s="74"/>
    </row>
    <row r="172" spans="1:43" s="76" customFormat="1" x14ac:dyDescent="0.2">
      <c r="A172" s="74"/>
      <c r="B172" s="74"/>
      <c r="C172" s="74"/>
      <c r="D172" s="74"/>
      <c r="E172" s="74"/>
      <c r="F172" s="74"/>
      <c r="G172" s="74"/>
      <c r="H172" s="74"/>
      <c r="I172" s="74"/>
      <c r="J172" s="74"/>
      <c r="K172" s="74"/>
      <c r="L172" s="74"/>
      <c r="M172" s="74"/>
      <c r="N172" s="74"/>
      <c r="O172" s="74"/>
      <c r="P172" s="74"/>
      <c r="Q172" s="74"/>
      <c r="R172" s="74"/>
      <c r="S172" s="74"/>
      <c r="T172" s="74"/>
      <c r="U172" s="74"/>
      <c r="V172" s="75"/>
      <c r="W172" s="74"/>
      <c r="X172" s="74"/>
      <c r="Y172" s="74"/>
      <c r="Z172" s="74"/>
      <c r="AA172" s="74"/>
      <c r="AB172" s="74"/>
      <c r="AC172" s="74"/>
      <c r="AD172" s="74"/>
      <c r="AE172" s="74"/>
      <c r="AJ172" s="77"/>
      <c r="AK172" s="77"/>
      <c r="AL172" s="77"/>
      <c r="AM172" s="77"/>
      <c r="AN172" s="77"/>
      <c r="AO172" s="77"/>
      <c r="AP172" s="77"/>
      <c r="AQ172" s="77"/>
    </row>
    <row r="173" spans="1:43" s="76" customFormat="1" x14ac:dyDescent="0.2">
      <c r="A173" s="74"/>
      <c r="B173" s="74"/>
      <c r="C173" s="74"/>
      <c r="D173" s="74"/>
      <c r="E173" s="74"/>
      <c r="F173" s="74"/>
      <c r="G173" s="74"/>
      <c r="H173" s="74"/>
      <c r="I173" s="74"/>
      <c r="J173" s="74"/>
      <c r="K173" s="74"/>
      <c r="L173" s="74"/>
      <c r="M173" s="74"/>
      <c r="N173" s="74"/>
      <c r="O173" s="74"/>
      <c r="P173" s="74"/>
      <c r="Q173" s="74"/>
      <c r="R173" s="74"/>
      <c r="S173" s="74"/>
      <c r="T173" s="74"/>
      <c r="U173" s="74"/>
      <c r="V173" s="75"/>
      <c r="W173" s="74"/>
      <c r="X173" s="74"/>
      <c r="Y173" s="74"/>
      <c r="Z173" s="74"/>
      <c r="AA173" s="74"/>
      <c r="AB173" s="74"/>
      <c r="AC173" s="74"/>
      <c r="AD173" s="74"/>
      <c r="AE173" s="74"/>
    </row>
    <row r="174" spans="1:43" x14ac:dyDescent="0.2">
      <c r="AJ174" s="76"/>
      <c r="AK174" s="76"/>
      <c r="AL174" s="76"/>
      <c r="AM174" s="76"/>
      <c r="AN174" s="76"/>
      <c r="AO174" s="76"/>
      <c r="AP174" s="76"/>
      <c r="AQ174" s="76"/>
    </row>
    <row r="176" spans="1:43" s="76" customFormat="1" x14ac:dyDescent="0.2">
      <c r="A176" s="74"/>
      <c r="B176" s="74"/>
      <c r="C176" s="74"/>
      <c r="D176" s="74"/>
      <c r="E176" s="74"/>
      <c r="F176" s="74"/>
      <c r="G176" s="74"/>
      <c r="H176" s="74"/>
      <c r="I176" s="74"/>
      <c r="J176" s="74"/>
      <c r="K176" s="74"/>
      <c r="L176" s="74"/>
      <c r="M176" s="74"/>
      <c r="N176" s="74"/>
      <c r="O176" s="74"/>
      <c r="P176" s="74"/>
      <c r="Q176" s="74"/>
      <c r="R176" s="74"/>
      <c r="S176" s="74"/>
      <c r="T176" s="74"/>
      <c r="U176" s="74"/>
      <c r="V176" s="75"/>
      <c r="W176" s="74"/>
      <c r="X176" s="74"/>
      <c r="Y176" s="74"/>
      <c r="Z176" s="74"/>
      <c r="AA176" s="74"/>
      <c r="AB176" s="74"/>
      <c r="AC176" s="74"/>
      <c r="AD176" s="74"/>
      <c r="AE176" s="74"/>
      <c r="AJ176" s="74"/>
      <c r="AK176" s="74"/>
      <c r="AL176" s="74"/>
      <c r="AM176" s="74"/>
      <c r="AN176" s="74"/>
      <c r="AO176" s="74"/>
      <c r="AP176" s="74"/>
      <c r="AQ176" s="74"/>
    </row>
    <row r="177" spans="1:43" x14ac:dyDescent="0.2">
      <c r="AJ177" s="76"/>
      <c r="AK177" s="76"/>
      <c r="AL177" s="76"/>
      <c r="AM177" s="76"/>
      <c r="AN177" s="76"/>
      <c r="AO177" s="76"/>
      <c r="AP177" s="76"/>
      <c r="AQ177" s="76"/>
    </row>
    <row r="181" spans="1:43" s="76" customFormat="1" x14ac:dyDescent="0.2">
      <c r="A181" s="74"/>
      <c r="B181" s="74"/>
      <c r="C181" s="74"/>
      <c r="D181" s="74"/>
      <c r="E181" s="74"/>
      <c r="F181" s="74"/>
      <c r="G181" s="74"/>
      <c r="H181" s="74"/>
      <c r="I181" s="74"/>
      <c r="J181" s="74"/>
      <c r="K181" s="74"/>
      <c r="L181" s="74"/>
      <c r="M181" s="74"/>
      <c r="N181" s="74"/>
      <c r="O181" s="74"/>
      <c r="P181" s="74"/>
      <c r="Q181" s="74"/>
      <c r="R181" s="74"/>
      <c r="S181" s="74"/>
      <c r="T181" s="74"/>
      <c r="U181" s="74"/>
      <c r="V181" s="75"/>
      <c r="W181" s="74"/>
      <c r="X181" s="74"/>
      <c r="Y181" s="74"/>
      <c r="Z181" s="74"/>
      <c r="AA181" s="74"/>
      <c r="AB181" s="74"/>
      <c r="AC181" s="74"/>
      <c r="AD181" s="74"/>
      <c r="AE181" s="74"/>
      <c r="AJ181" s="74"/>
      <c r="AK181" s="74"/>
      <c r="AL181" s="74"/>
      <c r="AM181" s="74"/>
      <c r="AN181" s="74"/>
      <c r="AO181" s="74"/>
      <c r="AP181" s="74"/>
      <c r="AQ181" s="74"/>
    </row>
    <row r="182" spans="1:43" s="76" customFormat="1" x14ac:dyDescent="0.2">
      <c r="A182" s="74"/>
      <c r="B182" s="74"/>
      <c r="C182" s="74"/>
      <c r="D182" s="74"/>
      <c r="E182" s="74"/>
      <c r="F182" s="74"/>
      <c r="G182" s="74"/>
      <c r="H182" s="74"/>
      <c r="I182" s="74"/>
      <c r="J182" s="74"/>
      <c r="K182" s="74"/>
      <c r="L182" s="74"/>
      <c r="M182" s="74"/>
      <c r="N182" s="74"/>
      <c r="O182" s="74"/>
      <c r="P182" s="74"/>
      <c r="Q182" s="74"/>
      <c r="R182" s="74"/>
      <c r="S182" s="74"/>
      <c r="T182" s="74"/>
      <c r="U182" s="74"/>
      <c r="V182" s="75"/>
      <c r="W182" s="74"/>
      <c r="X182" s="74"/>
      <c r="Y182" s="74"/>
      <c r="Z182" s="74"/>
      <c r="AA182" s="74"/>
      <c r="AB182" s="74"/>
      <c r="AC182" s="74"/>
      <c r="AD182" s="74"/>
      <c r="AE182" s="74"/>
    </row>
    <row r="183" spans="1:43" x14ac:dyDescent="0.2">
      <c r="AJ183" s="76"/>
      <c r="AK183" s="76"/>
      <c r="AL183" s="76"/>
      <c r="AM183" s="76"/>
      <c r="AN183" s="76"/>
      <c r="AO183" s="76"/>
      <c r="AP183" s="76"/>
      <c r="AQ183" s="76"/>
    </row>
  </sheetData>
  <sheetProtection sheet="1" objects="1" scenarios="1"/>
  <mergeCells count="14">
    <mergeCell ref="B4:B5"/>
    <mergeCell ref="C4:C5"/>
    <mergeCell ref="D4:G4"/>
    <mergeCell ref="H4:H5"/>
    <mergeCell ref="I4:L4"/>
    <mergeCell ref="D77:G77"/>
    <mergeCell ref="Y65:AC66"/>
    <mergeCell ref="N3:U3"/>
    <mergeCell ref="M4:M5"/>
    <mergeCell ref="N4:P4"/>
    <mergeCell ref="Q4:T4"/>
    <mergeCell ref="U4:U5"/>
    <mergeCell ref="I77:L77"/>
    <mergeCell ref="K67:M67"/>
  </mergeCell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X190"/>
  <sheetViews>
    <sheetView zoomScale="85" zoomScaleNormal="85" workbookViewId="0">
      <pane xSplit="3" ySplit="5" topLeftCell="D6" activePane="bottomRight" state="frozen"/>
      <selection activeCell="C58" sqref="C58"/>
      <selection pane="topRight" activeCell="C58" sqref="C58"/>
      <selection pane="bottomLeft" activeCell="C58" sqref="C58"/>
      <selection pane="bottomRight" activeCell="D6" sqref="D6"/>
    </sheetView>
  </sheetViews>
  <sheetFormatPr defaultColWidth="9.140625" defaultRowHeight="12.75" outlineLevelRow="1" x14ac:dyDescent="0.2"/>
  <cols>
    <col min="1" max="1" width="4.28515625" style="74" customWidth="1"/>
    <col min="2" max="2" width="19.28515625" style="74" customWidth="1"/>
    <col min="3" max="3" width="35.5703125" style="74" customWidth="1"/>
    <col min="4" max="6" width="9.7109375" style="74" customWidth="1"/>
    <col min="7" max="7" width="10.85546875" style="74" customWidth="1"/>
    <col min="8" max="8" width="9.85546875" style="74" customWidth="1"/>
    <col min="9" max="9" width="10.5703125" style="74" customWidth="1"/>
    <col min="10" max="11" width="9.7109375" style="74" customWidth="1"/>
    <col min="12" max="12" width="11.5703125" style="74" customWidth="1"/>
    <col min="13" max="13" width="8.85546875" style="74" customWidth="1"/>
    <col min="14" max="20" width="9.42578125" style="74" customWidth="1"/>
    <col min="21" max="21" width="9.140625" style="74"/>
    <col min="22" max="22" width="9.140625" style="75"/>
    <col min="23" max="24" width="9.140625" style="74"/>
    <col min="25" max="25" width="11" style="74" customWidth="1"/>
    <col min="26" max="26" width="10.42578125" style="74" customWidth="1"/>
    <col min="27" max="27" width="10" style="74" customWidth="1"/>
    <col min="28" max="16384" width="9.140625" style="74"/>
  </cols>
  <sheetData>
    <row r="1" spans="1:39" s="1690" customFormat="1" ht="21" x14ac:dyDescent="0.35">
      <c r="A1" s="1690" t="s">
        <v>851</v>
      </c>
      <c r="F1" s="1688" t="s">
        <v>958</v>
      </c>
      <c r="V1" s="1691"/>
    </row>
    <row r="2" spans="1:39" s="239" customFormat="1" x14ac:dyDescent="0.2">
      <c r="V2" s="240"/>
    </row>
    <row r="3" spans="1:39" s="241" customFormat="1" ht="18.75" x14ac:dyDescent="0.3">
      <c r="B3" s="268"/>
      <c r="C3" s="904" t="s">
        <v>845</v>
      </c>
      <c r="D3" s="277" t="s">
        <v>113</v>
      </c>
      <c r="E3" s="269"/>
      <c r="F3" s="269"/>
      <c r="G3" s="269"/>
      <c r="H3" s="278"/>
      <c r="I3" s="276" t="s">
        <v>114</v>
      </c>
      <c r="J3" s="270"/>
      <c r="K3" s="270"/>
      <c r="L3" s="270"/>
      <c r="M3" s="276"/>
      <c r="N3" s="2778" t="s">
        <v>38</v>
      </c>
      <c r="O3" s="2779"/>
      <c r="P3" s="2779"/>
      <c r="Q3" s="2779"/>
      <c r="R3" s="2779"/>
      <c r="S3" s="2779"/>
      <c r="T3" s="2779"/>
      <c r="U3" s="2780"/>
      <c r="Y3" s="242"/>
    </row>
    <row r="4" spans="1:39" ht="15" customHeight="1" x14ac:dyDescent="0.3">
      <c r="B4" s="2789" t="s">
        <v>843</v>
      </c>
      <c r="C4" s="2791" t="s">
        <v>844</v>
      </c>
      <c r="D4" s="2781" t="s">
        <v>453</v>
      </c>
      <c r="E4" s="2793"/>
      <c r="F4" s="2793"/>
      <c r="G4" s="2794"/>
      <c r="H4" s="2786" t="s">
        <v>110</v>
      </c>
      <c r="I4" s="2793" t="s">
        <v>111</v>
      </c>
      <c r="J4" s="2795"/>
      <c r="K4" s="2795"/>
      <c r="L4" s="2796"/>
      <c r="M4" s="2781" t="s">
        <v>110</v>
      </c>
      <c r="N4" s="2783" t="s">
        <v>456</v>
      </c>
      <c r="O4" s="2784"/>
      <c r="P4" s="2785"/>
      <c r="Q4" s="2784" t="s">
        <v>457</v>
      </c>
      <c r="R4" s="2784"/>
      <c r="S4" s="2784"/>
      <c r="T4" s="2785"/>
      <c r="U4" s="2786" t="s">
        <v>110</v>
      </c>
      <c r="V4" s="78"/>
      <c r="W4" s="241"/>
      <c r="X4" s="247"/>
      <c r="Y4" s="75"/>
    </row>
    <row r="5" spans="1:39" x14ac:dyDescent="0.2">
      <c r="B5" s="2790"/>
      <c r="C5" s="2792"/>
      <c r="D5" s="883" t="s">
        <v>16</v>
      </c>
      <c r="E5" s="300" t="s">
        <v>17</v>
      </c>
      <c r="F5" s="300" t="s">
        <v>18</v>
      </c>
      <c r="G5" s="300" t="s">
        <v>88</v>
      </c>
      <c r="H5" s="2787"/>
      <c r="I5" s="300" t="s">
        <v>16</v>
      </c>
      <c r="J5" s="300" t="s">
        <v>17</v>
      </c>
      <c r="K5" s="300" t="s">
        <v>18</v>
      </c>
      <c r="L5" s="300" t="s">
        <v>88</v>
      </c>
      <c r="M5" s="2782"/>
      <c r="N5" s="883" t="s">
        <v>16</v>
      </c>
      <c r="O5" s="300" t="s">
        <v>17</v>
      </c>
      <c r="P5" s="301" t="s">
        <v>18</v>
      </c>
      <c r="Q5" s="300" t="s">
        <v>16</v>
      </c>
      <c r="R5" s="300" t="s">
        <v>17</v>
      </c>
      <c r="S5" s="300" t="s">
        <v>18</v>
      </c>
      <c r="T5" s="300" t="s">
        <v>88</v>
      </c>
      <c r="U5" s="2787"/>
      <c r="V5" s="243"/>
      <c r="Y5" s="75"/>
    </row>
    <row r="6" spans="1:39" ht="12.75" customHeight="1" outlineLevel="1" x14ac:dyDescent="0.2">
      <c r="A6" s="459"/>
      <c r="B6" s="466" t="s">
        <v>25</v>
      </c>
      <c r="C6" s="642" t="s">
        <v>42</v>
      </c>
      <c r="D6" s="641"/>
      <c r="E6" s="27"/>
      <c r="F6" s="27"/>
      <c r="G6" s="27"/>
      <c r="H6" s="271"/>
      <c r="I6" s="29" t="str">
        <f>IF(ISBLANK(NSW!G$90),NSW!G85,"")</f>
        <v>2014-15 data not available. Estimate derived below (from row 168).</v>
      </c>
      <c r="J6" s="29">
        <f>IF(ISBLANK(NSW!H$90),NSW!H85,"")</f>
        <v>0</v>
      </c>
      <c r="K6" s="29">
        <f>IF(ISBLANK(NSW!I$90),NSW!I85,"")</f>
        <v>0</v>
      </c>
      <c r="L6" s="29" t="str">
        <f>IF(SUM(I6:K6)&gt;0,SUM(I6:K6),"")</f>
        <v/>
      </c>
      <c r="M6" s="959" t="str">
        <f>IF(ISNUMBER(L6),L6/Pop_NSW*1000,"")</f>
        <v/>
      </c>
      <c r="N6" s="907"/>
      <c r="O6" s="907"/>
      <c r="P6" s="908"/>
      <c r="Q6" s="916"/>
      <c r="R6" s="917"/>
      <c r="S6" s="917"/>
      <c r="T6" s="918"/>
      <c r="U6" s="922"/>
      <c r="V6" s="78"/>
      <c r="AH6" s="245"/>
      <c r="AI6" s="78"/>
      <c r="AJ6" s="78"/>
      <c r="AK6" s="78"/>
      <c r="AL6" s="78"/>
      <c r="AM6" s="78"/>
    </row>
    <row r="7" spans="1:39" ht="12.75" customHeight="1" outlineLevel="1" x14ac:dyDescent="0.2">
      <c r="A7" s="459"/>
      <c r="B7" s="467" t="str">
        <f>B6</f>
        <v>Masonry materials</v>
      </c>
      <c r="C7" s="643" t="s">
        <v>44</v>
      </c>
      <c r="D7" s="27"/>
      <c r="E7" s="27"/>
      <c r="F7" s="27"/>
      <c r="G7" s="27"/>
      <c r="H7" s="271"/>
      <c r="I7" s="29">
        <f>IF(ISBLANK(NSW!G$90),NSW!G86,"")</f>
        <v>0</v>
      </c>
      <c r="J7" s="29">
        <f>IF(ISBLANK(NSW!H$90),NSW!H86,"")</f>
        <v>0</v>
      </c>
      <c r="K7" s="29">
        <f>IF(ISBLANK(NSW!I$90),NSW!I86,"")</f>
        <v>0</v>
      </c>
      <c r="L7" s="29" t="str">
        <f t="shared" ref="L7:L16" si="0">IF(SUM(I7:K7)&gt;0,SUM(I7:K7),"")</f>
        <v/>
      </c>
      <c r="M7" s="272" t="str">
        <f>IF(ISNUMBER(L7),L7/Pop_NSW*1000,"")</f>
        <v/>
      </c>
      <c r="N7" s="907"/>
      <c r="O7" s="907"/>
      <c r="P7" s="908"/>
      <c r="Q7" s="465"/>
      <c r="R7" s="914"/>
      <c r="S7" s="914"/>
      <c r="T7" s="919"/>
      <c r="U7" s="922"/>
      <c r="V7" s="78"/>
    </row>
    <row r="8" spans="1:39" ht="12.75" customHeight="1" outlineLevel="1" x14ac:dyDescent="0.2">
      <c r="A8" s="459"/>
      <c r="B8" s="467" t="str">
        <f t="shared" ref="B8:B15" si="1">B7</f>
        <v>Masonry materials</v>
      </c>
      <c r="C8" s="643" t="s">
        <v>46</v>
      </c>
      <c r="D8" s="27"/>
      <c r="E8" s="27"/>
      <c r="F8" s="27"/>
      <c r="G8" s="27"/>
      <c r="H8" s="271"/>
      <c r="I8" s="29">
        <f>IF(ISBLANK(NSW!G$90),NSW!G87,"")</f>
        <v>0</v>
      </c>
      <c r="J8" s="29">
        <f>IF(ISBLANK(NSW!H$90),NSW!H87,"")</f>
        <v>0</v>
      </c>
      <c r="K8" s="29">
        <f>IF(ISBLANK(NSW!I$90),NSW!I87,"")</f>
        <v>0</v>
      </c>
      <c r="L8" s="29" t="str">
        <f t="shared" si="0"/>
        <v/>
      </c>
      <c r="M8" s="272" t="str">
        <f>IF(ISNUMBER(L8),L8/Pop_NSW*1000,"")</f>
        <v/>
      </c>
      <c r="N8" s="907"/>
      <c r="O8" s="907"/>
      <c r="P8" s="908"/>
      <c r="Q8" s="465"/>
      <c r="R8" s="914"/>
      <c r="S8" s="914"/>
      <c r="T8" s="919"/>
      <c r="U8" s="922"/>
      <c r="V8" s="80"/>
    </row>
    <row r="9" spans="1:39" ht="12.75" customHeight="1" outlineLevel="1" x14ac:dyDescent="0.2">
      <c r="A9" s="459"/>
      <c r="B9" s="467" t="str">
        <f t="shared" si="1"/>
        <v>Masonry materials</v>
      </c>
      <c r="C9" s="643" t="s">
        <v>47</v>
      </c>
      <c r="D9" s="27"/>
      <c r="E9" s="27"/>
      <c r="F9" s="27"/>
      <c r="G9" s="27"/>
      <c r="H9" s="271"/>
      <c r="I9" s="29">
        <f>IF(ISBLANK(NSW!G$90),NSW!G88,"")</f>
        <v>0</v>
      </c>
      <c r="J9" s="29">
        <f>IF(ISBLANK(NSW!H$90),NSW!H88,"")</f>
        <v>0</v>
      </c>
      <c r="K9" s="29">
        <f>IF(ISBLANK(NSW!I$90),NSW!I88,"")</f>
        <v>0</v>
      </c>
      <c r="L9" s="29" t="str">
        <f t="shared" si="0"/>
        <v/>
      </c>
      <c r="M9" s="272" t="str">
        <f>IF(ISNUMBER(L9),L9/Pop_NSW*1000,"")</f>
        <v/>
      </c>
      <c r="N9" s="907"/>
      <c r="O9" s="907"/>
      <c r="P9" s="908"/>
      <c r="Q9" s="465"/>
      <c r="R9" s="914"/>
      <c r="S9" s="914"/>
      <c r="T9" s="919"/>
      <c r="U9" s="922"/>
      <c r="V9" s="80"/>
    </row>
    <row r="10" spans="1:39" ht="12.75" customHeight="1" outlineLevel="1" x14ac:dyDescent="0.2">
      <c r="A10" s="459"/>
      <c r="B10" s="467" t="str">
        <f t="shared" si="1"/>
        <v>Masonry materials</v>
      </c>
      <c r="C10" s="643" t="s">
        <v>49</v>
      </c>
      <c r="D10" s="27"/>
      <c r="E10" s="27"/>
      <c r="F10" s="27"/>
      <c r="G10" s="27"/>
      <c r="H10" s="280"/>
      <c r="I10" s="29">
        <f>IF(ISBLANK(NSW!G$90),NSW!G89,"")</f>
        <v>0</v>
      </c>
      <c r="J10" s="29">
        <f>IF(ISBLANK(NSW!H$90),NSW!H89,"")</f>
        <v>0</v>
      </c>
      <c r="K10" s="29">
        <f>IF(ISBLANK(NSW!I$90),NSW!I89,"")</f>
        <v>0</v>
      </c>
      <c r="L10" s="29" t="str">
        <f t="shared" si="0"/>
        <v/>
      </c>
      <c r="M10" s="272" t="str">
        <f>IF(ISNUMBER(L10),L10/Pop_NSW*1000,"")</f>
        <v/>
      </c>
      <c r="N10" s="907"/>
      <c r="O10" s="907"/>
      <c r="P10" s="908"/>
      <c r="Q10" s="465"/>
      <c r="R10" s="914"/>
      <c r="S10" s="914"/>
      <c r="T10" s="919"/>
      <c r="U10" s="922"/>
      <c r="V10" s="80"/>
    </row>
    <row r="11" spans="1:39" s="501" customFormat="1" ht="15" x14ac:dyDescent="0.25">
      <c r="A11" s="499"/>
      <c r="B11" s="465" t="str">
        <f t="shared" si="1"/>
        <v>Masonry materials</v>
      </c>
      <c r="C11" s="644" t="s">
        <v>115</v>
      </c>
      <c r="D11" s="237">
        <f>NSW!G62</f>
        <v>22657.701835607037</v>
      </c>
      <c r="E11" s="237">
        <f>NSW!H62</f>
        <v>260801.87993600895</v>
      </c>
      <c r="F11" s="237">
        <f>NSW!I62</f>
        <v>489611.29623824282</v>
      </c>
      <c r="G11" s="237">
        <f>SUM(D11:F11)</f>
        <v>773070.87800985877</v>
      </c>
      <c r="H11" s="275">
        <f>G11/Pop_NSW*1000</f>
        <v>102.19551872225524</v>
      </c>
      <c r="I11" s="237">
        <f>NSW!H191*1000</f>
        <v>447872.90233477141</v>
      </c>
      <c r="J11" s="237">
        <f>NSW!I191*1000</f>
        <v>356980.70261337433</v>
      </c>
      <c r="K11" s="237">
        <f>NSW!J191*1000</f>
        <v>3914640.7039135774</v>
      </c>
      <c r="L11" s="237">
        <f>SUM(I11:K11)</f>
        <v>4719494.3088617232</v>
      </c>
      <c r="M11" s="273">
        <f>L11/Pop_NSW*1000</f>
        <v>623.88997273119946</v>
      </c>
      <c r="N11" s="907"/>
      <c r="O11" s="907"/>
      <c r="P11" s="908"/>
      <c r="Q11" s="920"/>
      <c r="R11" s="915"/>
      <c r="S11" s="915"/>
      <c r="T11" s="921"/>
      <c r="U11" s="923"/>
      <c r="V11" s="500"/>
    </row>
    <row r="12" spans="1:39" ht="12.75" customHeight="1" outlineLevel="1" x14ac:dyDescent="0.2">
      <c r="A12" s="459"/>
      <c r="B12" s="464" t="s">
        <v>28</v>
      </c>
      <c r="C12" s="645" t="s">
        <v>56</v>
      </c>
      <c r="D12" s="961"/>
      <c r="E12" s="961"/>
      <c r="F12" s="961"/>
      <c r="G12" s="961"/>
      <c r="H12" s="962"/>
      <c r="I12" s="976">
        <f>IF(ISBLANK(NSW!G$94),NSW!G91,"")</f>
        <v>0</v>
      </c>
      <c r="J12" s="963">
        <f>IF(ISBLANK(NSW!H$94),NSW!H91,"")</f>
        <v>0</v>
      </c>
      <c r="K12" s="963">
        <f>IF(ISBLANK(NSW!I$94),NSW!I91,"")</f>
        <v>0</v>
      </c>
      <c r="L12" s="980" t="str">
        <f t="shared" si="0"/>
        <v/>
      </c>
      <c r="M12" s="964" t="str">
        <f>IF(ISNUMBER(L12),L12/Pop_NSW*1000,"")</f>
        <v/>
      </c>
      <c r="N12" s="910"/>
      <c r="O12" s="910"/>
      <c r="P12" s="911"/>
      <c r="Q12" s="464"/>
      <c r="R12" s="912"/>
      <c r="S12" s="912"/>
      <c r="T12" s="925"/>
      <c r="U12" s="926"/>
      <c r="V12" s="80"/>
    </row>
    <row r="13" spans="1:39" ht="12.75" customHeight="1" outlineLevel="1" x14ac:dyDescent="0.2">
      <c r="A13" s="459"/>
      <c r="B13" s="468" t="str">
        <f t="shared" si="1"/>
        <v>Metals</v>
      </c>
      <c r="C13" s="645" t="s">
        <v>52</v>
      </c>
      <c r="D13" s="27"/>
      <c r="E13" s="27"/>
      <c r="F13" s="27"/>
      <c r="G13" s="27"/>
      <c r="H13" s="280"/>
      <c r="I13" s="282">
        <f>IF(ISBLANK(NSW!G$94),NSW!G92,"")</f>
        <v>0</v>
      </c>
      <c r="J13" s="29">
        <f>IF(ISBLANK(NSW!H$94),NSW!H92,"")</f>
        <v>0</v>
      </c>
      <c r="K13" s="29">
        <f>IF(ISBLANK(NSW!I$94),NSW!I92,"")</f>
        <v>0</v>
      </c>
      <c r="L13" s="29" t="str">
        <f t="shared" si="0"/>
        <v/>
      </c>
      <c r="M13" s="272" t="str">
        <f>IF(ISNUMBER(L13),L13/Pop_NSW*1000,"")</f>
        <v/>
      </c>
      <c r="N13" s="910"/>
      <c r="O13" s="910"/>
      <c r="P13" s="911"/>
      <c r="Q13" s="464"/>
      <c r="R13" s="912"/>
      <c r="S13" s="912"/>
      <c r="T13" s="925"/>
      <c r="U13" s="926"/>
      <c r="V13" s="80"/>
    </row>
    <row r="14" spans="1:39" ht="12.75" customHeight="1" outlineLevel="1" x14ac:dyDescent="0.2">
      <c r="A14" s="459"/>
      <c r="B14" s="468" t="str">
        <f t="shared" si="1"/>
        <v>Metals</v>
      </c>
      <c r="C14" s="645" t="s">
        <v>54</v>
      </c>
      <c r="D14" s="27"/>
      <c r="E14" s="27"/>
      <c r="F14" s="27"/>
      <c r="G14" s="27"/>
      <c r="H14" s="280"/>
      <c r="I14" s="282">
        <f>IF(ISBLANK(NSW!G$94),NSW!G93,"")</f>
        <v>0</v>
      </c>
      <c r="J14" s="29">
        <f>IF(ISBLANK(NSW!H$94),NSW!H93,"")</f>
        <v>0</v>
      </c>
      <c r="K14" s="29">
        <f>IF(ISBLANK(NSW!I$94),NSW!I93,"")</f>
        <v>0</v>
      </c>
      <c r="L14" s="29" t="str">
        <f t="shared" si="0"/>
        <v/>
      </c>
      <c r="M14" s="272" t="str">
        <f>IF(ISNUMBER(L14),L14/Pop_NSW*1000,"")</f>
        <v/>
      </c>
      <c r="N14" s="910"/>
      <c r="O14" s="910"/>
      <c r="P14" s="911"/>
      <c r="Q14" s="464"/>
      <c r="R14" s="912"/>
      <c r="S14" s="912"/>
      <c r="T14" s="925"/>
      <c r="U14" s="926"/>
      <c r="V14" s="80"/>
    </row>
    <row r="15" spans="1:39" s="247" customFormat="1" x14ac:dyDescent="0.2">
      <c r="A15" s="459"/>
      <c r="B15" s="464" t="str">
        <f t="shared" si="1"/>
        <v>Metals</v>
      </c>
      <c r="C15" s="646" t="s">
        <v>115</v>
      </c>
      <c r="D15" s="966">
        <f>NSW!G63</f>
        <v>45663.123908874222</v>
      </c>
      <c r="E15" s="966">
        <f>NSW!H63</f>
        <v>48136.833541068954</v>
      </c>
      <c r="F15" s="966">
        <f>NSW!I63</f>
        <v>51451.815074987971</v>
      </c>
      <c r="G15" s="971">
        <f t="shared" ref="G15:G21" si="2">SUM(D15:F15)</f>
        <v>145251.77252493115</v>
      </c>
      <c r="H15" s="967">
        <f t="shared" ref="H15:H21" si="3">G15/Pop_NSW*1000</f>
        <v>19.201447966486533</v>
      </c>
      <c r="I15" s="965">
        <f>NSW!H192*1000</f>
        <v>407330.62683055887</v>
      </c>
      <c r="J15" s="966">
        <f>NSW!I192*1000</f>
        <v>636311.07522915432</v>
      </c>
      <c r="K15" s="966">
        <f>NSW!J192*1000</f>
        <v>301303.81118296774</v>
      </c>
      <c r="L15" s="971">
        <f>SUM(I15:K15)</f>
        <v>1344945.513242681</v>
      </c>
      <c r="M15" s="968">
        <f>L15/Pop_NSW*1000</f>
        <v>177.79405263957278</v>
      </c>
      <c r="N15" s="910"/>
      <c r="O15" s="910"/>
      <c r="P15" s="911"/>
      <c r="Q15" s="927"/>
      <c r="R15" s="913"/>
      <c r="S15" s="913"/>
      <c r="T15" s="928"/>
      <c r="U15" s="929"/>
      <c r="V15" s="246"/>
    </row>
    <row r="16" spans="1:39" ht="12.75" customHeight="1" outlineLevel="1" x14ac:dyDescent="0.2">
      <c r="A16" s="459"/>
      <c r="B16" s="465" t="s">
        <v>22</v>
      </c>
      <c r="C16" s="643" t="s">
        <v>61</v>
      </c>
      <c r="D16" s="29">
        <f>NSW!G64</f>
        <v>556213.38979349833</v>
      </c>
      <c r="E16" s="29">
        <f>NSW!H64</f>
        <v>152032.0427320328</v>
      </c>
      <c r="F16" s="29">
        <f>NSW!I64</f>
        <v>146.41850730977637</v>
      </c>
      <c r="G16" s="29">
        <f t="shared" si="2"/>
        <v>708391.8510328409</v>
      </c>
      <c r="H16" s="283">
        <f t="shared" si="3"/>
        <v>93.645323778444691</v>
      </c>
      <c r="I16" s="976">
        <f>NSW!H205*1000</f>
        <v>89193.006109267575</v>
      </c>
      <c r="J16" s="963">
        <f>NSW!I205*1000</f>
        <v>43568.510948876392</v>
      </c>
      <c r="K16" s="963">
        <f>NSW!J205*1000</f>
        <v>0</v>
      </c>
      <c r="L16" s="980">
        <f t="shared" si="0"/>
        <v>132761.51705814397</v>
      </c>
      <c r="M16" s="272">
        <f>IF(ISNUMBER(L16),L16/Pop_NSW*1000,"")</f>
        <v>17.550308112806103</v>
      </c>
      <c r="N16" s="282">
        <f>'Other national data'!K320</f>
        <v>181251.87972626599</v>
      </c>
      <c r="O16" s="29">
        <f>'Other national data'!L320</f>
        <v>49542.305218570014</v>
      </c>
      <c r="P16" s="28">
        <f>'Other national data'!M320</f>
        <v>47.713036333885825</v>
      </c>
      <c r="Q16" s="29">
        <f>N16</f>
        <v>181251.87972626599</v>
      </c>
      <c r="R16" s="29">
        <f>O16+NSW!I113</f>
        <v>79785.846202176574</v>
      </c>
      <c r="S16" s="29">
        <f>P16</f>
        <v>47.713036333885825</v>
      </c>
      <c r="T16" s="29">
        <f t="shared" ref="T16:T21" si="4">SUM(Q16:S16)</f>
        <v>261085.43896477643</v>
      </c>
      <c r="U16" s="272">
        <f t="shared" ref="U16:U21" si="5">T16/Pop_NSW*1000</f>
        <v>34.513991698304238</v>
      </c>
      <c r="V16" s="80"/>
    </row>
    <row r="17" spans="1:22" ht="12.75" customHeight="1" outlineLevel="1" x14ac:dyDescent="0.2">
      <c r="A17" s="459"/>
      <c r="B17" s="467" t="str">
        <f>B16</f>
        <v>Organics</v>
      </c>
      <c r="C17" s="643" t="s">
        <v>63</v>
      </c>
      <c r="D17" s="29">
        <f>NSW!G65</f>
        <v>323699.02693325444</v>
      </c>
      <c r="E17" s="29">
        <f>NSW!H65</f>
        <v>110747.26877886556</v>
      </c>
      <c r="F17" s="29">
        <f>NSW!I65</f>
        <v>24191.940221692563</v>
      </c>
      <c r="G17" s="29">
        <f t="shared" si="2"/>
        <v>458638.23593381257</v>
      </c>
      <c r="H17" s="283">
        <f t="shared" si="3"/>
        <v>60.629333946425454</v>
      </c>
      <c r="I17" s="282">
        <f>IF(ISBLANK(NSW!G$99),NSW!G96,"")</f>
        <v>0</v>
      </c>
      <c r="J17" s="29">
        <f>IF(ISBLANK(NSW!H$99),NSW!H96,"")</f>
        <v>0</v>
      </c>
      <c r="K17" s="29">
        <f>IF(ISBLANK(NSW!I$99),NSW!I96,"")</f>
        <v>0</v>
      </c>
      <c r="L17" s="29" t="str">
        <f>IF(SUM(I17:K17)&gt;0,SUM(I17:K17),"")</f>
        <v/>
      </c>
      <c r="M17" s="272" t="str">
        <f>IF(ISNUMBER(L17),L17/Pop_NSW*1000,"")</f>
        <v/>
      </c>
      <c r="N17" s="282">
        <f>'Other national data'!K321</f>
        <v>23900.601254113273</v>
      </c>
      <c r="O17" s="29">
        <f>'Other national data'!L321</f>
        <v>8177.1216186311258</v>
      </c>
      <c r="P17" s="28">
        <f>'Other national data'!M321</f>
        <v>1786.2331014088645</v>
      </c>
      <c r="Q17" s="29">
        <f t="shared" ref="Q17:S19" si="6">N17</f>
        <v>23900.601254113273</v>
      </c>
      <c r="R17" s="29">
        <f t="shared" si="6"/>
        <v>8177.1216186311258</v>
      </c>
      <c r="S17" s="29">
        <f t="shared" si="6"/>
        <v>1786.2331014088645</v>
      </c>
      <c r="T17" s="29">
        <f t="shared" si="4"/>
        <v>33863.955974153265</v>
      </c>
      <c r="U17" s="272">
        <f t="shared" si="5"/>
        <v>4.4766199907508</v>
      </c>
      <c r="V17" s="248"/>
    </row>
    <row r="18" spans="1:22" ht="12.75" customHeight="1" outlineLevel="1" x14ac:dyDescent="0.2">
      <c r="A18" s="459"/>
      <c r="B18" s="467" t="str">
        <f>B17</f>
        <v>Organics</v>
      </c>
      <c r="C18" s="643" t="s">
        <v>67</v>
      </c>
      <c r="D18" s="29">
        <f>NSW!G66</f>
        <v>28297.397983943163</v>
      </c>
      <c r="E18" s="29">
        <f>NSW!H66</f>
        <v>279779.05515532556</v>
      </c>
      <c r="F18" s="29">
        <f>NSW!I66</f>
        <v>183700.11190470553</v>
      </c>
      <c r="G18" s="29">
        <f t="shared" si="2"/>
        <v>491776.56504397426</v>
      </c>
      <c r="H18" s="283">
        <f t="shared" si="3"/>
        <v>65.010030243924064</v>
      </c>
      <c r="I18" s="282">
        <f>IF(ISBLANK(NSW!G$99),NSW!G97,"")</f>
        <v>0</v>
      </c>
      <c r="J18" s="29">
        <f>IF(ISBLANK(NSW!H$99),NSW!H97,"")</f>
        <v>0</v>
      </c>
      <c r="K18" s="29">
        <f>IF(ISBLANK(NSW!I$99),NSW!I97,"")</f>
        <v>0</v>
      </c>
      <c r="L18" s="29" t="str">
        <f>IF(SUM(I18:K18)&gt;0,SUM(I18:K18),"")</f>
        <v/>
      </c>
      <c r="M18" s="272" t="str">
        <f>IF(ISNUMBER(L18),L18/Pop_NSW*1000,"")</f>
        <v/>
      </c>
      <c r="N18" s="282">
        <f>'Other national data'!K322</f>
        <v>1899.6080744180952</v>
      </c>
      <c r="O18" s="29">
        <f>'Other national data'!L322</f>
        <v>18781.605026995596</v>
      </c>
      <c r="P18" s="28">
        <f>'Other national data'!M322</f>
        <v>12331.812841721212</v>
      </c>
      <c r="Q18" s="29">
        <f t="shared" si="6"/>
        <v>1899.6080744180952</v>
      </c>
      <c r="R18" s="29">
        <f t="shared" si="6"/>
        <v>18781.605026995596</v>
      </c>
      <c r="S18" s="29">
        <f t="shared" si="6"/>
        <v>12331.812841721212</v>
      </c>
      <c r="T18" s="29">
        <f t="shared" si="4"/>
        <v>33013.025943134904</v>
      </c>
      <c r="U18" s="272">
        <f t="shared" si="5"/>
        <v>4.3641319403146843</v>
      </c>
      <c r="V18" s="74"/>
    </row>
    <row r="19" spans="1:22" ht="12.75" customHeight="1" outlineLevel="1" x14ac:dyDescent="0.2">
      <c r="A19" s="459"/>
      <c r="B19" s="467" t="str">
        <f>B18</f>
        <v>Organics</v>
      </c>
      <c r="C19" s="643" t="s">
        <v>65</v>
      </c>
      <c r="D19" s="29">
        <f>NSW!G67</f>
        <v>142835.55300160055</v>
      </c>
      <c r="E19" s="29">
        <f>NSW!H67</f>
        <v>0</v>
      </c>
      <c r="F19" s="29">
        <f>NSW!I67</f>
        <v>0</v>
      </c>
      <c r="G19" s="29">
        <f t="shared" si="2"/>
        <v>142835.55300160055</v>
      </c>
      <c r="H19" s="283">
        <f t="shared" si="3"/>
        <v>18.882037658120908</v>
      </c>
      <c r="I19" s="282">
        <f>IF(ISBLANK(NSW!G$99),NSW!G98,"")</f>
        <v>0</v>
      </c>
      <c r="J19" s="29">
        <f>IF(ISBLANK(NSW!H$99),NSW!H98,"")</f>
        <v>0</v>
      </c>
      <c r="K19" s="29">
        <f>IF(ISBLANK(NSW!I$99),NSW!I98,"")</f>
        <v>0</v>
      </c>
      <c r="L19" s="29" t="str">
        <f>IF(SUM(I19:K19)&gt;0,SUM(I19:K19),"")</f>
        <v/>
      </c>
      <c r="M19" s="272" t="str">
        <f>IF(ISNUMBER(L19),L19/Pop_NSW*1000,"")</f>
        <v/>
      </c>
      <c r="N19" s="282">
        <f>'Other national data'!K323</f>
        <v>12700.012993686976</v>
      </c>
      <c r="O19" s="29">
        <f>'Other national data'!L323</f>
        <v>0</v>
      </c>
      <c r="P19" s="28">
        <f>'Other national data'!M323</f>
        <v>0</v>
      </c>
      <c r="Q19" s="29">
        <f t="shared" si="6"/>
        <v>12700.012993686976</v>
      </c>
      <c r="R19" s="29">
        <f t="shared" si="6"/>
        <v>0</v>
      </c>
      <c r="S19" s="29">
        <f t="shared" si="6"/>
        <v>0</v>
      </c>
      <c r="T19" s="29">
        <f t="shared" si="4"/>
        <v>12700.012993686976</v>
      </c>
      <c r="U19" s="272">
        <f t="shared" si="5"/>
        <v>1.6788685909504286</v>
      </c>
      <c r="V19" s="74"/>
    </row>
    <row r="20" spans="1:22" ht="12.75" customHeight="1" outlineLevel="1" x14ac:dyDescent="0.2">
      <c r="A20" s="459"/>
      <c r="B20" s="467" t="str">
        <f>B19</f>
        <v>Organics</v>
      </c>
      <c r="C20" s="643" t="s">
        <v>903</v>
      </c>
      <c r="D20" s="29">
        <v>0</v>
      </c>
      <c r="E20" s="29">
        <v>0</v>
      </c>
      <c r="F20" s="29">
        <v>0</v>
      </c>
      <c r="G20" s="29">
        <f t="shared" si="2"/>
        <v>0</v>
      </c>
      <c r="H20" s="283">
        <f t="shared" si="3"/>
        <v>0</v>
      </c>
      <c r="I20" s="282">
        <v>0</v>
      </c>
      <c r="J20" s="29">
        <v>0</v>
      </c>
      <c r="K20" s="29">
        <v>0</v>
      </c>
      <c r="L20" s="29">
        <f>SUM(I20:K20)</f>
        <v>0</v>
      </c>
      <c r="M20" s="272">
        <f>IF(ISNUMBER(L20),L20/Pop_NSW*1000,"")</f>
        <v>0</v>
      </c>
      <c r="N20" s="282">
        <v>0</v>
      </c>
      <c r="O20" s="29">
        <v>0</v>
      </c>
      <c r="P20" s="28">
        <v>0</v>
      </c>
      <c r="Q20" s="27">
        <v>0</v>
      </c>
      <c r="R20" s="27">
        <v>0</v>
      </c>
      <c r="S20" s="27">
        <v>0</v>
      </c>
      <c r="T20" s="29">
        <f t="shared" si="4"/>
        <v>0</v>
      </c>
      <c r="U20" s="272">
        <f t="shared" si="5"/>
        <v>0</v>
      </c>
      <c r="V20" s="74"/>
    </row>
    <row r="21" spans="1:22" s="247" customFormat="1" x14ac:dyDescent="0.2">
      <c r="A21" s="459"/>
      <c r="B21" s="465" t="str">
        <f>B20</f>
        <v>Organics</v>
      </c>
      <c r="C21" s="644" t="s">
        <v>115</v>
      </c>
      <c r="D21" s="237">
        <f>SUM(D16:D20)</f>
        <v>1051045.3677122965</v>
      </c>
      <c r="E21" s="237">
        <f>SUM(E16:E20)</f>
        <v>542558.36666622385</v>
      </c>
      <c r="F21" s="237">
        <f>SUM(F16:F20)</f>
        <v>208038.47063370785</v>
      </c>
      <c r="G21" s="971">
        <f t="shared" si="2"/>
        <v>1801642.2050122283</v>
      </c>
      <c r="H21" s="275">
        <f t="shared" si="3"/>
        <v>238.16672562691511</v>
      </c>
      <c r="I21" s="965">
        <f>NSW!H193*1000</f>
        <v>929610.52891423798</v>
      </c>
      <c r="J21" s="966">
        <f>NSW!I193*1000</f>
        <v>544255.02790168975</v>
      </c>
      <c r="K21" s="966">
        <f>NSW!J193*1000</f>
        <v>180666.8446365305</v>
      </c>
      <c r="L21" s="971">
        <f>SUM(I21:K21)</f>
        <v>1654532.4014524585</v>
      </c>
      <c r="M21" s="273">
        <f>L21/Pop_NSW*1000</f>
        <v>218.71965665618612</v>
      </c>
      <c r="N21" s="237">
        <f t="shared" ref="N21:S21" si="7">SUM(N16:N20)</f>
        <v>219752.10204848435</v>
      </c>
      <c r="O21" s="237">
        <f t="shared" si="7"/>
        <v>76501.031864196731</v>
      </c>
      <c r="P21" s="238">
        <f t="shared" si="7"/>
        <v>14165.758979463963</v>
      </c>
      <c r="Q21" s="281">
        <f t="shared" si="7"/>
        <v>219752.10204848435</v>
      </c>
      <c r="R21" s="237">
        <f t="shared" si="7"/>
        <v>106744.5728478033</v>
      </c>
      <c r="S21" s="237">
        <f t="shared" si="7"/>
        <v>14165.758979463963</v>
      </c>
      <c r="T21" s="237">
        <f t="shared" si="4"/>
        <v>340662.43387575157</v>
      </c>
      <c r="U21" s="273">
        <f t="shared" si="5"/>
        <v>45.033612220320151</v>
      </c>
      <c r="V21" s="246"/>
    </row>
    <row r="22" spans="1:22" ht="12.75" customHeight="1" outlineLevel="1" x14ac:dyDescent="0.2">
      <c r="A22" s="459"/>
      <c r="B22" s="464" t="s">
        <v>20</v>
      </c>
      <c r="C22" s="645" t="s">
        <v>74</v>
      </c>
      <c r="D22" s="961"/>
      <c r="E22" s="961"/>
      <c r="F22" s="961"/>
      <c r="G22" s="961"/>
      <c r="H22" s="962"/>
      <c r="I22" s="976">
        <f>IF(ISBLANK(NSW!G$104),NSW!G100,"")</f>
        <v>0</v>
      </c>
      <c r="J22" s="963">
        <f>IF(ISBLANK(NSW!H$104),NSW!H100,"")</f>
        <v>0</v>
      </c>
      <c r="K22" s="963">
        <f>IF(ISBLANK(NSW!I$104),NSW!I100,"")</f>
        <v>0</v>
      </c>
      <c r="L22" s="980" t="str">
        <f>IF(SUM(I22:K22)&gt;0,SUM(I22:K22),"")</f>
        <v/>
      </c>
      <c r="M22" s="964" t="str">
        <f>IF(ISNUMBER(L22),L22/Pop_NSW*1000,"")</f>
        <v/>
      </c>
      <c r="N22" s="961"/>
      <c r="O22" s="961"/>
      <c r="P22" s="969"/>
      <c r="Q22" s="961"/>
      <c r="R22" s="961"/>
      <c r="S22" s="961"/>
      <c r="T22" s="961"/>
      <c r="U22" s="970"/>
      <c r="V22" s="74"/>
    </row>
    <row r="23" spans="1:22" ht="12.75" customHeight="1" outlineLevel="1" x14ac:dyDescent="0.2">
      <c r="A23" s="459"/>
      <c r="B23" s="468" t="str">
        <f>B22</f>
        <v>Paper &amp; cardboard</v>
      </c>
      <c r="C23" s="645" t="s">
        <v>89</v>
      </c>
      <c r="D23" s="27"/>
      <c r="E23" s="27"/>
      <c r="F23" s="27"/>
      <c r="G23" s="27"/>
      <c r="H23" s="280"/>
      <c r="I23" s="282">
        <f>IF(ISBLANK(NSW!G$104),NSW!G101,"")</f>
        <v>0</v>
      </c>
      <c r="J23" s="29">
        <f>IF(ISBLANK(NSW!H$104),NSW!H101,"")</f>
        <v>0</v>
      </c>
      <c r="K23" s="29">
        <f>IF(ISBLANK(NSW!I$104),NSW!I101,"")</f>
        <v>0</v>
      </c>
      <c r="L23" s="29" t="str">
        <f>IF(SUM(I23:K23)&gt;0,SUM(I23:K23),"")</f>
        <v/>
      </c>
      <c r="M23" s="272" t="str">
        <f>IF(ISNUMBER(L23),L23/Pop_NSW*1000,"")</f>
        <v/>
      </c>
      <c r="N23" s="27"/>
      <c r="O23" s="27"/>
      <c r="P23" s="297"/>
      <c r="Q23" s="27"/>
      <c r="R23" s="27"/>
      <c r="S23" s="27"/>
      <c r="T23" s="27"/>
      <c r="U23" s="271"/>
      <c r="V23" s="74"/>
    </row>
    <row r="24" spans="1:22" ht="12.75" customHeight="1" outlineLevel="1" x14ac:dyDescent="0.2">
      <c r="A24" s="459"/>
      <c r="B24" s="468" t="str">
        <f>B23</f>
        <v>Paper &amp; cardboard</v>
      </c>
      <c r="C24" s="645" t="s">
        <v>76</v>
      </c>
      <c r="D24" s="27"/>
      <c r="E24" s="27"/>
      <c r="F24" s="27"/>
      <c r="G24" s="27"/>
      <c r="H24" s="280"/>
      <c r="I24" s="282">
        <f>IF(ISBLANK(NSW!G$104),NSW!G102,"")</f>
        <v>0</v>
      </c>
      <c r="J24" s="29">
        <f>IF(ISBLANK(NSW!H$104),NSW!H102,"")</f>
        <v>0</v>
      </c>
      <c r="K24" s="29">
        <f>IF(ISBLANK(NSW!I$104),NSW!I102,"")</f>
        <v>0</v>
      </c>
      <c r="L24" s="29" t="str">
        <f>IF(SUM(I24:K24)&gt;0,SUM(I24:K24),"")</f>
        <v/>
      </c>
      <c r="M24" s="272" t="str">
        <f>IF(ISNUMBER(L24),L24/Pop_NSW*1000,"")</f>
        <v/>
      </c>
      <c r="N24" s="27"/>
      <c r="O24" s="27"/>
      <c r="P24" s="297"/>
      <c r="Q24" s="27"/>
      <c r="R24" s="27"/>
      <c r="S24" s="27"/>
      <c r="T24" s="27"/>
      <c r="U24" s="271"/>
      <c r="V24" s="74"/>
    </row>
    <row r="25" spans="1:22" ht="12.75" customHeight="1" outlineLevel="1" x14ac:dyDescent="0.2">
      <c r="A25" s="459"/>
      <c r="B25" s="468" t="str">
        <f>B24</f>
        <v>Paper &amp; cardboard</v>
      </c>
      <c r="C25" s="645" t="s">
        <v>79</v>
      </c>
      <c r="D25" s="27"/>
      <c r="E25" s="27"/>
      <c r="F25" s="27"/>
      <c r="G25" s="27"/>
      <c r="H25" s="280"/>
      <c r="I25" s="282">
        <f>IF(ISBLANK(NSW!G$104),NSW!G103,"")</f>
        <v>0</v>
      </c>
      <c r="J25" s="29">
        <f>IF(ISBLANK(NSW!H$104),NSW!H103,"")</f>
        <v>0</v>
      </c>
      <c r="K25" s="29">
        <f>IF(ISBLANK(NSW!I$104),NSW!I103,"")</f>
        <v>0</v>
      </c>
      <c r="L25" s="29" t="str">
        <f>IF(SUM(I25:K25)&gt;0,SUM(I25:K25),"")</f>
        <v/>
      </c>
      <c r="M25" s="272" t="str">
        <f>IF(ISNUMBER(L25),L25/Pop_NSW*1000,"")</f>
        <v/>
      </c>
      <c r="N25" s="27"/>
      <c r="O25" s="27"/>
      <c r="P25" s="297"/>
      <c r="Q25" s="27"/>
      <c r="R25" s="27"/>
      <c r="S25" s="27"/>
      <c r="T25" s="27"/>
      <c r="U25" s="271"/>
      <c r="V25" s="74"/>
    </row>
    <row r="26" spans="1:22" s="247" customFormat="1" x14ac:dyDescent="0.2">
      <c r="A26" s="459"/>
      <c r="B26" s="464" t="str">
        <f>B25</f>
        <v>Paper &amp; cardboard</v>
      </c>
      <c r="C26" s="646" t="s">
        <v>115</v>
      </c>
      <c r="D26" s="966">
        <f>NSW!G68</f>
        <v>91736.701097690166</v>
      </c>
      <c r="E26" s="966">
        <f>NSW!H68</f>
        <v>232954.28083295404</v>
      </c>
      <c r="F26" s="966">
        <f>NSW!I68</f>
        <v>22723.89258532555</v>
      </c>
      <c r="G26" s="971">
        <f>SUM(D26:F26)</f>
        <v>347414.87451596977</v>
      </c>
      <c r="H26" s="967">
        <f>G26/Pop_NSW*1000</f>
        <v>45.926245992329264</v>
      </c>
      <c r="I26" s="965">
        <f>NSW!H194*1000</f>
        <v>361064.73596104578</v>
      </c>
      <c r="J26" s="966">
        <f>NSW!I194*1000</f>
        <v>345385.8569576249</v>
      </c>
      <c r="K26" s="966">
        <f>NSW!J194*1000</f>
        <v>0</v>
      </c>
      <c r="L26" s="971">
        <f>SUM(I26:K26)</f>
        <v>706450.59291867074</v>
      </c>
      <c r="M26" s="968">
        <f>L26/Pop_NSW*1000</f>
        <v>93.388700633537027</v>
      </c>
      <c r="N26" s="966">
        <f>'Other national data'!K324</f>
        <v>28802.902078806208</v>
      </c>
      <c r="O26" s="966">
        <f>'Other national data'!L324</f>
        <v>73141.493637591062</v>
      </c>
      <c r="P26" s="971">
        <f>'Other national data'!M324</f>
        <v>7134.7023072854117</v>
      </c>
      <c r="Q26" s="966">
        <f>N26</f>
        <v>28802.902078806208</v>
      </c>
      <c r="R26" s="966">
        <f>O26</f>
        <v>73141.493637591062</v>
      </c>
      <c r="S26" s="966">
        <f>P26</f>
        <v>7134.7023072854117</v>
      </c>
      <c r="T26" s="966">
        <f>SUM(Q26:S26)</f>
        <v>109079.09802368267</v>
      </c>
      <c r="U26" s="968">
        <f>T26/Pop_NSW*1000</f>
        <v>14.419628680080507</v>
      </c>
      <c r="V26" s="246"/>
    </row>
    <row r="27" spans="1:22" ht="12.75" customHeight="1" outlineLevel="1" x14ac:dyDescent="0.2">
      <c r="A27" s="459"/>
      <c r="B27" s="465" t="s">
        <v>32</v>
      </c>
      <c r="C27" s="643" t="s">
        <v>90</v>
      </c>
      <c r="D27" s="27"/>
      <c r="E27" s="27"/>
      <c r="F27" s="27"/>
      <c r="G27" s="27"/>
      <c r="H27" s="280"/>
      <c r="I27" s="2083"/>
      <c r="J27" s="1480"/>
      <c r="K27" s="1480"/>
      <c r="L27" s="1480"/>
      <c r="M27" s="1481"/>
      <c r="N27" s="907"/>
      <c r="O27" s="907"/>
      <c r="P27" s="908"/>
      <c r="Q27" s="27"/>
      <c r="R27" s="27"/>
      <c r="S27" s="27"/>
      <c r="T27" s="27"/>
      <c r="U27" s="271"/>
      <c r="V27" s="74"/>
    </row>
    <row r="28" spans="1:22" ht="12.75" customHeight="1" outlineLevel="1" x14ac:dyDescent="0.2">
      <c r="A28" s="459"/>
      <c r="B28" s="467" t="str">
        <f t="shared" ref="B28:B36" si="8">B27</f>
        <v>Plastics</v>
      </c>
      <c r="C28" s="643" t="s">
        <v>91</v>
      </c>
      <c r="D28" s="27"/>
      <c r="E28" s="27"/>
      <c r="F28" s="27"/>
      <c r="G28" s="27"/>
      <c r="H28" s="280"/>
      <c r="I28" s="2083"/>
      <c r="J28" s="1480"/>
      <c r="K28" s="1480"/>
      <c r="L28" s="1480"/>
      <c r="M28" s="1481"/>
      <c r="N28" s="907"/>
      <c r="O28" s="907"/>
      <c r="P28" s="908"/>
      <c r="Q28" s="27"/>
      <c r="R28" s="27"/>
      <c r="S28" s="27"/>
      <c r="T28" s="27"/>
      <c r="U28" s="271"/>
      <c r="V28" s="74"/>
    </row>
    <row r="29" spans="1:22" ht="12.75" customHeight="1" outlineLevel="1" x14ac:dyDescent="0.2">
      <c r="A29" s="459"/>
      <c r="B29" s="467" t="str">
        <f t="shared" si="8"/>
        <v>Plastics</v>
      </c>
      <c r="C29" s="643" t="s">
        <v>92</v>
      </c>
      <c r="D29" s="27"/>
      <c r="E29" s="27"/>
      <c r="F29" s="27"/>
      <c r="G29" s="27"/>
      <c r="H29" s="280"/>
      <c r="I29" s="2083"/>
      <c r="J29" s="1480"/>
      <c r="K29" s="1480"/>
      <c r="L29" s="1480"/>
      <c r="M29" s="1481"/>
      <c r="N29" s="907"/>
      <c r="O29" s="907"/>
      <c r="P29" s="908"/>
      <c r="Q29" s="27"/>
      <c r="R29" s="27"/>
      <c r="S29" s="27"/>
      <c r="T29" s="27"/>
      <c r="U29" s="271"/>
      <c r="V29" s="74"/>
    </row>
    <row r="30" spans="1:22" s="76" customFormat="1" ht="12.75" customHeight="1" outlineLevel="1" x14ac:dyDescent="0.2">
      <c r="A30" s="459"/>
      <c r="B30" s="467" t="str">
        <f t="shared" si="8"/>
        <v>Plastics</v>
      </c>
      <c r="C30" s="647" t="s">
        <v>118</v>
      </c>
      <c r="D30" s="30"/>
      <c r="E30" s="30"/>
      <c r="F30" s="30"/>
      <c r="G30" s="30"/>
      <c r="H30" s="285"/>
      <c r="I30" s="2084"/>
      <c r="J30" s="1482"/>
      <c r="K30" s="1482"/>
      <c r="L30" s="1482"/>
      <c r="M30" s="1483"/>
      <c r="N30" s="907"/>
      <c r="O30" s="907"/>
      <c r="P30" s="908"/>
      <c r="Q30" s="30"/>
      <c r="R30" s="30"/>
      <c r="S30" s="30"/>
      <c r="T30" s="30"/>
      <c r="U30" s="274"/>
    </row>
    <row r="31" spans="1:22" ht="12.75" customHeight="1" outlineLevel="1" x14ac:dyDescent="0.2">
      <c r="A31" s="459"/>
      <c r="B31" s="467" t="str">
        <f t="shared" si="8"/>
        <v>Plastics</v>
      </c>
      <c r="C31" s="643" t="s">
        <v>93</v>
      </c>
      <c r="D31" s="27"/>
      <c r="E31" s="27"/>
      <c r="F31" s="27"/>
      <c r="G31" s="27"/>
      <c r="H31" s="280"/>
      <c r="I31" s="2083"/>
      <c r="J31" s="1480"/>
      <c r="K31" s="1480"/>
      <c r="L31" s="1480"/>
      <c r="M31" s="1481"/>
      <c r="N31" s="907"/>
      <c r="O31" s="907"/>
      <c r="P31" s="908"/>
      <c r="Q31" s="27"/>
      <c r="R31" s="27"/>
      <c r="S31" s="27"/>
      <c r="T31" s="27"/>
      <c r="U31" s="271"/>
      <c r="V31" s="74"/>
    </row>
    <row r="32" spans="1:22" ht="12.75" customHeight="1" outlineLevel="1" x14ac:dyDescent="0.2">
      <c r="A32" s="459"/>
      <c r="B32" s="467" t="str">
        <f t="shared" si="8"/>
        <v>Plastics</v>
      </c>
      <c r="C32" s="643" t="s">
        <v>94</v>
      </c>
      <c r="D32" s="27"/>
      <c r="E32" s="27"/>
      <c r="F32" s="27"/>
      <c r="G32" s="27"/>
      <c r="H32" s="280"/>
      <c r="I32" s="2083"/>
      <c r="J32" s="1480"/>
      <c r="K32" s="1480"/>
      <c r="L32" s="1480"/>
      <c r="M32" s="1481"/>
      <c r="N32" s="907"/>
      <c r="O32" s="907"/>
      <c r="P32" s="908"/>
      <c r="Q32" s="27"/>
      <c r="R32" s="27"/>
      <c r="S32" s="27"/>
      <c r="T32" s="27"/>
      <c r="U32" s="271"/>
      <c r="V32" s="74"/>
    </row>
    <row r="33" spans="1:22" ht="12.75" customHeight="1" outlineLevel="1" x14ac:dyDescent="0.2">
      <c r="A33" s="459"/>
      <c r="B33" s="467" t="str">
        <f t="shared" si="8"/>
        <v>Plastics</v>
      </c>
      <c r="C33" s="643" t="s">
        <v>95</v>
      </c>
      <c r="D33" s="27"/>
      <c r="E33" s="27"/>
      <c r="F33" s="27"/>
      <c r="G33" s="27"/>
      <c r="H33" s="280"/>
      <c r="I33" s="2083"/>
      <c r="J33" s="1480"/>
      <c r="K33" s="1480"/>
      <c r="L33" s="1480"/>
      <c r="M33" s="1481"/>
      <c r="N33" s="907"/>
      <c r="O33" s="907"/>
      <c r="P33" s="908"/>
      <c r="Q33" s="27"/>
      <c r="R33" s="27"/>
      <c r="S33" s="27"/>
      <c r="T33" s="27"/>
      <c r="U33" s="271"/>
      <c r="V33" s="74"/>
    </row>
    <row r="34" spans="1:22" ht="12.75" customHeight="1" outlineLevel="1" x14ac:dyDescent="0.2">
      <c r="A34" s="459"/>
      <c r="B34" s="467" t="str">
        <f t="shared" si="8"/>
        <v>Plastics</v>
      </c>
      <c r="C34" s="643" t="s">
        <v>96</v>
      </c>
      <c r="D34" s="27"/>
      <c r="E34" s="27"/>
      <c r="F34" s="27"/>
      <c r="G34" s="27"/>
      <c r="H34" s="280"/>
      <c r="I34" s="2083"/>
      <c r="J34" s="1480"/>
      <c r="K34" s="1480"/>
      <c r="L34" s="1480"/>
      <c r="M34" s="1481"/>
      <c r="N34" s="907"/>
      <c r="O34" s="907"/>
      <c r="P34" s="908"/>
      <c r="Q34" s="27"/>
      <c r="R34" s="27"/>
      <c r="S34" s="27"/>
      <c r="T34" s="27"/>
      <c r="U34" s="271"/>
      <c r="V34" s="74"/>
    </row>
    <row r="35" spans="1:22" s="76" customFormat="1" ht="12.75" customHeight="1" outlineLevel="1" x14ac:dyDescent="0.2">
      <c r="A35" s="459"/>
      <c r="B35" s="467" t="str">
        <f t="shared" si="8"/>
        <v>Plastics</v>
      </c>
      <c r="C35" s="647" t="s">
        <v>119</v>
      </c>
      <c r="D35" s="30"/>
      <c r="E35" s="30"/>
      <c r="F35" s="30"/>
      <c r="G35" s="30"/>
      <c r="H35" s="285"/>
      <c r="I35" s="2084"/>
      <c r="J35" s="1482"/>
      <c r="K35" s="1482"/>
      <c r="L35" s="1482"/>
      <c r="M35" s="1483"/>
      <c r="N35" s="907"/>
      <c r="O35" s="907"/>
      <c r="P35" s="908"/>
      <c r="Q35" s="30"/>
      <c r="R35" s="30"/>
      <c r="S35" s="30"/>
      <c r="T35" s="30"/>
      <c r="U35" s="274"/>
    </row>
    <row r="36" spans="1:22" s="247" customFormat="1" x14ac:dyDescent="0.2">
      <c r="A36" s="459"/>
      <c r="B36" s="465" t="str">
        <f t="shared" si="8"/>
        <v>Plastics</v>
      </c>
      <c r="C36" s="644" t="s">
        <v>115</v>
      </c>
      <c r="D36" s="237">
        <f>NSW!G69</f>
        <v>216800.12673954395</v>
      </c>
      <c r="E36" s="237">
        <f>NSW!H69</f>
        <v>252794.91342908441</v>
      </c>
      <c r="F36" s="237">
        <f>NSW!I69</f>
        <v>26832.040666874182</v>
      </c>
      <c r="G36" s="237">
        <f>SUM(D36:F36)</f>
        <v>496427.08083550254</v>
      </c>
      <c r="H36" s="275">
        <f>G36/Pop_NSW*1000</f>
        <v>65.624801653842837</v>
      </c>
      <c r="I36" s="281">
        <f>NSW!G77</f>
        <v>58900.000000000007</v>
      </c>
      <c r="J36" s="237">
        <f>NSW!H77</f>
        <v>31700</v>
      </c>
      <c r="K36" s="237">
        <f>NSW!I77</f>
        <v>1100</v>
      </c>
      <c r="L36" s="971">
        <f>SUM(I36:K36)</f>
        <v>91700</v>
      </c>
      <c r="M36" s="273">
        <f>L36/Pop_NSW*1000</f>
        <v>12.122211990387893</v>
      </c>
      <c r="N36" s="907"/>
      <c r="O36" s="907"/>
      <c r="P36" s="908"/>
      <c r="Q36" s="237"/>
      <c r="R36" s="237"/>
      <c r="S36" s="237"/>
      <c r="T36" s="237"/>
      <c r="U36" s="275"/>
    </row>
    <row r="37" spans="1:22" s="76" customFormat="1" x14ac:dyDescent="0.2">
      <c r="A37" s="459"/>
      <c r="B37" s="306" t="s">
        <v>30</v>
      </c>
      <c r="C37" s="648" t="s">
        <v>30</v>
      </c>
      <c r="D37" s="973">
        <f>NSW!G70</f>
        <v>75911.035786737542</v>
      </c>
      <c r="E37" s="973">
        <f>NSW!H70</f>
        <v>30586.923914097308</v>
      </c>
      <c r="F37" s="973">
        <f>NSW!I70</f>
        <v>0</v>
      </c>
      <c r="G37" s="1478">
        <f>SUM(D37:F37)</f>
        <v>106497.95970083485</v>
      </c>
      <c r="H37" s="974">
        <f>G37/Pop_NSW*1000</f>
        <v>14.078417056022975</v>
      </c>
      <c r="I37" s="972">
        <f>NSW!H195*1000</f>
        <v>136889.80082010585</v>
      </c>
      <c r="J37" s="973">
        <f>NSW!I195*1000</f>
        <v>47433.459500792844</v>
      </c>
      <c r="K37" s="973">
        <f>NSW!J195*1000</f>
        <v>7503.7347612616495</v>
      </c>
      <c r="L37" s="971">
        <f>SUM(I37:K37)</f>
        <v>191826.99508216034</v>
      </c>
      <c r="M37" s="975">
        <f>L37/Pop_NSW*1000</f>
        <v>25.35842420790669</v>
      </c>
      <c r="N37" s="910"/>
      <c r="O37" s="910"/>
      <c r="P37" s="911"/>
      <c r="Q37" s="913"/>
      <c r="R37" s="913"/>
      <c r="S37" s="913"/>
      <c r="T37" s="913"/>
      <c r="U37" s="929"/>
    </row>
    <row r="38" spans="1:22" ht="12.75" customHeight="1" outlineLevel="1" x14ac:dyDescent="0.2">
      <c r="A38" s="459"/>
      <c r="B38" s="465" t="s">
        <v>27</v>
      </c>
      <c r="C38" s="643" t="s">
        <v>83</v>
      </c>
      <c r="D38" s="29"/>
      <c r="E38" s="29"/>
      <c r="F38" s="29"/>
      <c r="G38" s="29"/>
      <c r="H38" s="283"/>
      <c r="I38" s="282"/>
      <c r="J38" s="29"/>
      <c r="K38" s="29"/>
      <c r="L38" s="29"/>
      <c r="M38" s="272">
        <f>L38/Pop_NSW*1000</f>
        <v>0</v>
      </c>
      <c r="N38" s="29"/>
      <c r="O38" s="29"/>
      <c r="P38" s="28"/>
      <c r="Q38" s="29"/>
      <c r="R38" s="29"/>
      <c r="S38" s="29"/>
      <c r="T38" s="29"/>
      <c r="U38" s="272"/>
      <c r="V38" s="74"/>
    </row>
    <row r="39" spans="1:22" ht="12.75" customHeight="1" outlineLevel="1" x14ac:dyDescent="0.2">
      <c r="A39" s="459"/>
      <c r="B39" s="467" t="str">
        <f>B38</f>
        <v>Other</v>
      </c>
      <c r="C39" s="643" t="s">
        <v>568</v>
      </c>
      <c r="D39" s="27"/>
      <c r="E39" s="27"/>
      <c r="F39" s="27"/>
      <c r="G39" s="27"/>
      <c r="H39" s="280"/>
      <c r="I39" s="282"/>
      <c r="J39" s="29"/>
      <c r="K39" s="29"/>
      <c r="L39" s="29"/>
      <c r="M39" s="272">
        <f>L39/Pop_NSW*1000</f>
        <v>0</v>
      </c>
      <c r="N39" s="27"/>
      <c r="O39" s="29"/>
      <c r="P39" s="297"/>
      <c r="Q39" s="27"/>
      <c r="R39" s="29"/>
      <c r="S39" s="27"/>
      <c r="T39" s="29"/>
      <c r="U39" s="272"/>
      <c r="V39" s="74"/>
    </row>
    <row r="40" spans="1:22" s="247" customFormat="1" x14ac:dyDescent="0.2">
      <c r="A40" s="459"/>
      <c r="B40" s="465" t="str">
        <f>B39</f>
        <v>Other</v>
      </c>
      <c r="C40" s="644" t="s">
        <v>115</v>
      </c>
      <c r="D40" s="237">
        <f>NSW!G71</f>
        <v>377390.10636911786</v>
      </c>
      <c r="E40" s="237">
        <f>NSW!H71</f>
        <v>537413.92929394194</v>
      </c>
      <c r="F40" s="237">
        <f>NSW!I71</f>
        <v>274847.51820475754</v>
      </c>
      <c r="G40" s="237">
        <f>SUM(D40:F40)</f>
        <v>1189651.5538678174</v>
      </c>
      <c r="H40" s="275">
        <f>G40/Pop_NSW*1000</f>
        <v>157.26508539454792</v>
      </c>
      <c r="I40" s="965">
        <f>NSW!H196*1000</f>
        <v>16216.910201685014</v>
      </c>
      <c r="J40" s="966">
        <f>NSW!I196*1000</f>
        <v>13351.640452075022</v>
      </c>
      <c r="K40" s="966">
        <f>NSW!J196*1000</f>
        <v>0</v>
      </c>
      <c r="L40" s="971">
        <f>SUM(I40:K40)</f>
        <v>29568.550653760038</v>
      </c>
      <c r="M40" s="273">
        <f>L40/Pop_NSW*1000</f>
        <v>3.9087921403860597</v>
      </c>
      <c r="N40" s="237">
        <f>'Other national data'!K325</f>
        <v>117697.44563383023</v>
      </c>
      <c r="O40" s="237">
        <f>'Other national data'!L325</f>
        <v>167604.41161133946</v>
      </c>
      <c r="P40" s="238">
        <f>'Other national data'!M325</f>
        <v>85717.273149333269</v>
      </c>
      <c r="Q40" s="237">
        <f>N40+SUM(Q38:Q39)</f>
        <v>117697.44563383023</v>
      </c>
      <c r="R40" s="237">
        <f>O40+SUM(R38:R39)</f>
        <v>167604.41161133946</v>
      </c>
      <c r="S40" s="237">
        <f>P40+SUM(S38:S39)</f>
        <v>85717.273149333269</v>
      </c>
      <c r="T40" s="237">
        <f>SUM(Q40:S40)</f>
        <v>371019.13039450295</v>
      </c>
      <c r="U40" s="273">
        <f>T40/Pop_NSW*1000</f>
        <v>49.046592705905482</v>
      </c>
      <c r="V40" s="246"/>
    </row>
    <row r="41" spans="1:22" outlineLevel="1" x14ac:dyDescent="0.2">
      <c r="A41" s="459"/>
      <c r="B41" s="454" t="s">
        <v>35</v>
      </c>
      <c r="C41" s="1079" t="s">
        <v>867</v>
      </c>
      <c r="D41" s="1073"/>
      <c r="E41" s="963">
        <f>NSW!$G121*'Other national data'!I447</f>
        <v>1.3378285689035332</v>
      </c>
      <c r="F41" s="963">
        <f>NSW!$G121*'Other national data'!J447</f>
        <v>0</v>
      </c>
      <c r="G41" s="963">
        <f>SUM(D41:F41)</f>
        <v>1.3378285689035332</v>
      </c>
      <c r="H41" s="964">
        <f t="shared" ref="H41:H61" si="9">G41/Pop_NSW*1000</f>
        <v>1.7685323357738151E-4</v>
      </c>
      <c r="I41" s="1073"/>
      <c r="J41" s="963">
        <f>NSW!$H121*'Other national data'!I447</f>
        <v>0.21780945204109203</v>
      </c>
      <c r="K41" s="963">
        <f>NSW!$H121*'Other national data'!J447</f>
        <v>0</v>
      </c>
      <c r="L41" s="963">
        <f>SUM(I41:K41)</f>
        <v>0.21780945204109203</v>
      </c>
      <c r="M41" s="964">
        <f t="shared" ref="M41:M61" si="10">L41/Pop_NSW*1000</f>
        <v>2.8793155410603518E-5</v>
      </c>
      <c r="N41" s="910"/>
      <c r="O41" s="910"/>
      <c r="P41" s="911"/>
      <c r="Q41" s="927"/>
      <c r="R41" s="913"/>
      <c r="S41" s="913"/>
      <c r="T41" s="928"/>
      <c r="U41" s="926"/>
      <c r="V41" s="74"/>
    </row>
    <row r="42" spans="1:22" outlineLevel="1" x14ac:dyDescent="0.2">
      <c r="A42" s="459"/>
      <c r="B42" s="468" t="str">
        <f>B41</f>
        <v>Hazardous</v>
      </c>
      <c r="C42" s="1080" t="s">
        <v>152</v>
      </c>
      <c r="D42" s="910"/>
      <c r="E42" s="29">
        <f>NSW!$G122*'Other national data'!I448</f>
        <v>3617.2960408401004</v>
      </c>
      <c r="F42" s="29">
        <f>NSW!$G122*'Other national data'!J448</f>
        <v>0</v>
      </c>
      <c r="G42" s="29">
        <f>SUM(D42:F42)</f>
        <v>3617.2960408401004</v>
      </c>
      <c r="H42" s="272">
        <f t="shared" si="9"/>
        <v>0.4781857081685334</v>
      </c>
      <c r="I42" s="910"/>
      <c r="J42" s="29">
        <f>NSW!$H122*'Other national data'!I448</f>
        <v>13735.907935923988</v>
      </c>
      <c r="K42" s="29">
        <f>NSW!$H122*'Other national data'!J448</f>
        <v>0</v>
      </c>
      <c r="L42" s="29">
        <f>SUM(I42:K42)</f>
        <v>13735.907935923988</v>
      </c>
      <c r="M42" s="272">
        <f t="shared" si="10"/>
        <v>1.8158079376196508</v>
      </c>
      <c r="N42" s="910"/>
      <c r="O42" s="910"/>
      <c r="P42" s="911"/>
      <c r="Q42" s="927"/>
      <c r="R42" s="913"/>
      <c r="S42" s="913"/>
      <c r="T42" s="928"/>
      <c r="U42" s="926"/>
      <c r="V42" s="74"/>
    </row>
    <row r="43" spans="1:22" outlineLevel="1" x14ac:dyDescent="0.2">
      <c r="A43" s="459"/>
      <c r="B43" s="468" t="str">
        <f t="shared" ref="B43:B60" si="11">B42</f>
        <v>Hazardous</v>
      </c>
      <c r="C43" s="1080" t="s">
        <v>156</v>
      </c>
      <c r="D43" s="910"/>
      <c r="E43" s="29">
        <f>NSW!$G123*'Other national data'!I449</f>
        <v>524.54878103084297</v>
      </c>
      <c r="F43" s="29">
        <f>NSW!$G123*'Other national data'!J449</f>
        <v>0</v>
      </c>
      <c r="G43" s="29">
        <f t="shared" ref="G43:G55" si="12">SUM(D43:F43)</f>
        <v>524.54878103084297</v>
      </c>
      <c r="H43" s="272">
        <f t="shared" si="9"/>
        <v>6.9342328494606739E-2</v>
      </c>
      <c r="I43" s="910"/>
      <c r="J43" s="29">
        <f>NSW!$H123*'Other national data'!I449</f>
        <v>1661.6290311058099</v>
      </c>
      <c r="K43" s="29">
        <f>NSW!$H123*'Other national data'!J449</f>
        <v>0</v>
      </c>
      <c r="L43" s="29">
        <f t="shared" ref="L43:L55" si="13">SUM(I43:K43)</f>
        <v>1661.6290311058099</v>
      </c>
      <c r="M43" s="272">
        <f t="shared" si="10"/>
        <v>0.21965779023388729</v>
      </c>
      <c r="N43" s="910"/>
      <c r="O43" s="910"/>
      <c r="P43" s="911"/>
      <c r="Q43" s="927"/>
      <c r="R43" s="913"/>
      <c r="S43" s="913"/>
      <c r="T43" s="928"/>
      <c r="U43" s="926"/>
      <c r="V43" s="74"/>
    </row>
    <row r="44" spans="1:22" outlineLevel="1" x14ac:dyDescent="0.2">
      <c r="A44" s="459"/>
      <c r="B44" s="468" t="str">
        <f t="shared" si="11"/>
        <v>Hazardous</v>
      </c>
      <c r="C44" s="1080" t="s">
        <v>160</v>
      </c>
      <c r="D44" s="910"/>
      <c r="E44" s="29">
        <f>NSW!$G124*'Other national data'!I450</f>
        <v>83591.361932598869</v>
      </c>
      <c r="F44" s="29">
        <f>NSW!$G124*'Other national data'!J450</f>
        <v>0</v>
      </c>
      <c r="G44" s="29">
        <f t="shared" si="12"/>
        <v>83591.361932598869</v>
      </c>
      <c r="H44" s="272">
        <f t="shared" si="9"/>
        <v>11.050296727504952</v>
      </c>
      <c r="I44" s="910"/>
      <c r="J44" s="29">
        <f>NSW!$H124*'Other national data'!I450</f>
        <v>0</v>
      </c>
      <c r="K44" s="29">
        <f>NSW!$H124*'Other national data'!J450</f>
        <v>0</v>
      </c>
      <c r="L44" s="29">
        <f t="shared" si="13"/>
        <v>0</v>
      </c>
      <c r="M44" s="272">
        <f t="shared" si="10"/>
        <v>0</v>
      </c>
      <c r="N44" s="910"/>
      <c r="O44" s="910"/>
      <c r="P44" s="911"/>
      <c r="Q44" s="927"/>
      <c r="R44" s="913"/>
      <c r="S44" s="913"/>
      <c r="T44" s="928"/>
      <c r="U44" s="925"/>
      <c r="V44" s="74"/>
    </row>
    <row r="45" spans="1:22" outlineLevel="1" x14ac:dyDescent="0.2">
      <c r="A45" s="459"/>
      <c r="B45" s="468" t="str">
        <f t="shared" si="11"/>
        <v>Hazardous</v>
      </c>
      <c r="C45" s="1080" t="s">
        <v>210</v>
      </c>
      <c r="D45" s="910"/>
      <c r="E45" s="29">
        <f>NSW!$G125*'Other national data'!I451</f>
        <v>0.39655378153186177</v>
      </c>
      <c r="F45" s="29">
        <f>NSW!$G125*'Other national data'!J451</f>
        <v>0</v>
      </c>
      <c r="G45" s="29">
        <f t="shared" si="12"/>
        <v>0.39655378153186177</v>
      </c>
      <c r="H45" s="272">
        <f t="shared" si="9"/>
        <v>5.2422126557461241E-5</v>
      </c>
      <c r="I45" s="910"/>
      <c r="J45" s="29">
        <f>NSW!$H125*'Other national data'!I451</f>
        <v>36.089824864583157</v>
      </c>
      <c r="K45" s="29">
        <f>NSW!$H125*'Other national data'!J451</f>
        <v>0</v>
      </c>
      <c r="L45" s="29">
        <f t="shared" si="13"/>
        <v>36.089824864583157</v>
      </c>
      <c r="M45" s="272">
        <f t="shared" si="10"/>
        <v>4.7708670414879943E-3</v>
      </c>
      <c r="N45" s="910"/>
      <c r="O45" s="910"/>
      <c r="P45" s="911"/>
      <c r="Q45" s="927"/>
      <c r="R45" s="29">
        <f>NSW!$I125*'Other national data'!I451</f>
        <v>3.648637864611502E-13</v>
      </c>
      <c r="S45" s="29">
        <f>NSW!$I125*'Other national data'!J451</f>
        <v>0</v>
      </c>
      <c r="T45" s="29">
        <f>SUM(Q45:S45)</f>
        <v>3.648637864611502E-13</v>
      </c>
      <c r="U45" s="272">
        <f>T45/Pop_NSW*1000</f>
        <v>4.823289168045455E-17</v>
      </c>
      <c r="V45" s="74"/>
    </row>
    <row r="46" spans="1:22" outlineLevel="1" x14ac:dyDescent="0.2">
      <c r="A46" s="459"/>
      <c r="B46" s="468" t="str">
        <f t="shared" si="11"/>
        <v>Hazardous</v>
      </c>
      <c r="C46" s="1080" t="s">
        <v>214</v>
      </c>
      <c r="D46" s="910"/>
      <c r="E46" s="29">
        <f>NSW!$G126*'Other national data'!I452</f>
        <v>2860.7346963531936</v>
      </c>
      <c r="F46" s="29">
        <f>NSW!$G126*'Other national data'!J452</f>
        <v>0</v>
      </c>
      <c r="G46" s="29">
        <f t="shared" si="12"/>
        <v>2860.7346963531936</v>
      </c>
      <c r="H46" s="272">
        <f t="shared" si="9"/>
        <v>0.3781726547159362</v>
      </c>
      <c r="I46" s="910"/>
      <c r="J46" s="29">
        <f>NSW!$H126*'Other national data'!I452</f>
        <v>6066.2750092775195</v>
      </c>
      <c r="K46" s="29">
        <f>NSW!$H126*'Other national data'!J452</f>
        <v>0</v>
      </c>
      <c r="L46" s="29">
        <f t="shared" si="13"/>
        <v>6066.2750092775195</v>
      </c>
      <c r="M46" s="272">
        <f t="shared" si="10"/>
        <v>0.80192662654803015</v>
      </c>
      <c r="N46" s="910"/>
      <c r="O46" s="910"/>
      <c r="P46" s="911"/>
      <c r="Q46" s="927"/>
      <c r="R46" s="29">
        <f>NSW!$I126*'Other national data'!I452</f>
        <v>8.9270097056307131E-11</v>
      </c>
      <c r="S46" s="29">
        <f>NSW!$I126*'Other national data'!J452</f>
        <v>0</v>
      </c>
      <c r="T46" s="29">
        <f>SUM(Q46:S46)</f>
        <v>8.9270097056307131E-11</v>
      </c>
      <c r="U46" s="272">
        <f>T46/Pop_NSW*1000</f>
        <v>1.1800992812639665E-14</v>
      </c>
      <c r="V46" s="74"/>
    </row>
    <row r="47" spans="1:22" outlineLevel="1" x14ac:dyDescent="0.2">
      <c r="A47" s="459"/>
      <c r="B47" s="468" t="str">
        <f t="shared" si="11"/>
        <v>Hazardous</v>
      </c>
      <c r="C47" s="1080" t="s">
        <v>220</v>
      </c>
      <c r="D47" s="910"/>
      <c r="E47" s="29">
        <f>NSW!$G127*'Other national data'!I453</f>
        <v>161.20722806899087</v>
      </c>
      <c r="F47" s="29">
        <f>NSW!$G127*'Other national data'!J453</f>
        <v>0</v>
      </c>
      <c r="G47" s="29">
        <f t="shared" si="12"/>
        <v>161.20722806899087</v>
      </c>
      <c r="H47" s="272">
        <f t="shared" si="9"/>
        <v>2.1310667317722101E-2</v>
      </c>
      <c r="I47" s="910"/>
      <c r="J47" s="29">
        <f>NSW!$H127*'Other national data'!I453</f>
        <v>1735.7331382342954</v>
      </c>
      <c r="K47" s="29">
        <f>NSW!$H127*'Other national data'!J453</f>
        <v>0</v>
      </c>
      <c r="L47" s="29">
        <f t="shared" si="13"/>
        <v>1735.7331382342954</v>
      </c>
      <c r="M47" s="272">
        <f t="shared" si="10"/>
        <v>0.22945392650400634</v>
      </c>
      <c r="N47" s="910"/>
      <c r="O47" s="910"/>
      <c r="P47" s="911"/>
      <c r="Q47" s="927"/>
      <c r="R47" s="29">
        <f>NSW!$I127*'Other national data'!I453</f>
        <v>1.8969403663032864E-11</v>
      </c>
      <c r="S47" s="29">
        <f>NSW!$I127*'Other national data'!J453</f>
        <v>0</v>
      </c>
      <c r="T47" s="29">
        <f>SUM(Q47:S47)</f>
        <v>1.8969403663032864E-11</v>
      </c>
      <c r="U47" s="272">
        <f>T47/Pop_NSW*1000</f>
        <v>2.5076459382172844E-15</v>
      </c>
      <c r="V47" s="74"/>
    </row>
    <row r="48" spans="1:22" outlineLevel="1" x14ac:dyDescent="0.2">
      <c r="A48" s="459"/>
      <c r="B48" s="468" t="str">
        <f t="shared" si="11"/>
        <v>Hazardous</v>
      </c>
      <c r="C48" s="1080" t="s">
        <v>230</v>
      </c>
      <c r="D48" s="910"/>
      <c r="E48" s="29">
        <f>NSW!$G128*'Other national data'!I454</f>
        <v>11.030546417131836</v>
      </c>
      <c r="F48" s="29">
        <f>NSW!$G128*'Other national data'!J454</f>
        <v>0</v>
      </c>
      <c r="G48" s="29">
        <f t="shared" si="12"/>
        <v>11.030546417131836</v>
      </c>
      <c r="H48" s="272">
        <f t="shared" si="9"/>
        <v>1.458174722336813E-3</v>
      </c>
      <c r="I48" s="910"/>
      <c r="J48" s="29">
        <f>NSW!$H128*'Other national data'!I454</f>
        <v>153.49867536567029</v>
      </c>
      <c r="K48" s="29">
        <f>NSW!$H128*'Other national data'!J454</f>
        <v>0</v>
      </c>
      <c r="L48" s="29">
        <f t="shared" si="13"/>
        <v>153.49867536567029</v>
      </c>
      <c r="M48" s="272">
        <f t="shared" si="10"/>
        <v>2.0291641036274666E-2</v>
      </c>
      <c r="N48" s="910"/>
      <c r="O48" s="910"/>
      <c r="P48" s="911"/>
      <c r="Q48" s="927"/>
      <c r="R48" s="913"/>
      <c r="S48" s="913"/>
      <c r="T48" s="928"/>
      <c r="U48" s="926"/>
      <c r="V48" s="74"/>
    </row>
    <row r="49" spans="1:47" outlineLevel="1" x14ac:dyDescent="0.2">
      <c r="A49" s="459"/>
      <c r="B49" s="468" t="str">
        <f t="shared" si="11"/>
        <v>Hazardous</v>
      </c>
      <c r="C49" s="1080" t="s">
        <v>238</v>
      </c>
      <c r="D49" s="910"/>
      <c r="E49" s="29">
        <f>NSW!$G129*'Other national data'!I455</f>
        <v>23.940446595068817</v>
      </c>
      <c r="F49" s="29">
        <f>NSW!$G129*'Other national data'!J455</f>
        <v>0</v>
      </c>
      <c r="G49" s="29">
        <f t="shared" si="12"/>
        <v>23.940446595068817</v>
      </c>
      <c r="H49" s="272">
        <f t="shared" si="9"/>
        <v>3.1647891905123688E-3</v>
      </c>
      <c r="I49" s="910"/>
      <c r="J49" s="29">
        <f>NSW!$H129*'Other national data'!I455</f>
        <v>75069.828957408943</v>
      </c>
      <c r="K49" s="29">
        <f>NSW!$H129*'Other national data'!J455</f>
        <v>0</v>
      </c>
      <c r="L49" s="29">
        <f t="shared" si="13"/>
        <v>75069.828957408943</v>
      </c>
      <c r="M49" s="272">
        <f t="shared" si="10"/>
        <v>9.9237991352657673</v>
      </c>
      <c r="N49" s="910"/>
      <c r="O49" s="910"/>
      <c r="P49" s="911"/>
      <c r="Q49" s="927"/>
      <c r="R49" s="29">
        <f>NSW!$I129*'Other national data'!I455</f>
        <v>7.5093769404004011E-10</v>
      </c>
      <c r="S49" s="29">
        <f>NSW!$I129*'Other national data'!J455</f>
        <v>0</v>
      </c>
      <c r="T49" s="29">
        <f>SUM(Q49:S49)</f>
        <v>7.5093769404004011E-10</v>
      </c>
      <c r="U49" s="272">
        <f>T49/Pop_NSW*1000</f>
        <v>9.9269639244562795E-14</v>
      </c>
      <c r="V49" s="74"/>
    </row>
    <row r="50" spans="1:47" outlineLevel="1" x14ac:dyDescent="0.2">
      <c r="A50" s="459"/>
      <c r="B50" s="468" t="str">
        <f t="shared" si="11"/>
        <v>Hazardous</v>
      </c>
      <c r="C50" s="1080" t="s">
        <v>246</v>
      </c>
      <c r="D50" s="910"/>
      <c r="E50" s="29">
        <f>NSW!$G130*'Other national data'!I456</f>
        <v>12658.686348461073</v>
      </c>
      <c r="F50" s="29">
        <f>NSW!$G130*'Other national data'!J456</f>
        <v>0</v>
      </c>
      <c r="G50" s="29">
        <f t="shared" si="12"/>
        <v>12658.686348461073</v>
      </c>
      <c r="H50" s="272">
        <f t="shared" si="9"/>
        <v>1.6734054464108434</v>
      </c>
      <c r="I50" s="910"/>
      <c r="J50" s="29">
        <f>NSW!$H130*'Other national data'!I456</f>
        <v>237929.98966099686</v>
      </c>
      <c r="K50" s="29">
        <f>NSW!$H130*'Other national data'!J456</f>
        <v>0</v>
      </c>
      <c r="L50" s="29">
        <f t="shared" si="13"/>
        <v>237929.98966099686</v>
      </c>
      <c r="M50" s="272">
        <f t="shared" si="10"/>
        <v>31.452974629677243</v>
      </c>
      <c r="N50" s="910"/>
      <c r="O50" s="910"/>
      <c r="P50" s="911"/>
      <c r="Q50" s="927"/>
      <c r="R50" s="29">
        <f>NSW!$I130*'Other national data'!I456</f>
        <v>2.5058867600945794E-9</v>
      </c>
      <c r="S50" s="29">
        <f>NSW!$I130*'Other national data'!J456</f>
        <v>0</v>
      </c>
      <c r="T50" s="29">
        <f>SUM(Q50:S50)</f>
        <v>2.5058867600945794E-9</v>
      </c>
      <c r="U50" s="272">
        <f>T50/Pop_NSW*1000</f>
        <v>3.3126380076088087E-13</v>
      </c>
      <c r="V50" s="74"/>
    </row>
    <row r="51" spans="1:47" outlineLevel="1" x14ac:dyDescent="0.2">
      <c r="A51" s="459"/>
      <c r="B51" s="468" t="str">
        <f t="shared" si="11"/>
        <v>Hazardous</v>
      </c>
      <c r="C51" s="1080" t="s">
        <v>256</v>
      </c>
      <c r="D51" s="910"/>
      <c r="E51" s="29">
        <f>NSW!$G131*'Other national data'!I457</f>
        <v>7389.0766417247487</v>
      </c>
      <c r="F51" s="29">
        <f>NSW!$G131*'Other national data'!J457</f>
        <v>0</v>
      </c>
      <c r="G51" s="29">
        <f t="shared" si="12"/>
        <v>7389.0766417247487</v>
      </c>
      <c r="H51" s="272">
        <f t="shared" si="9"/>
        <v>0.97679338565115437</v>
      </c>
      <c r="I51" s="910"/>
      <c r="J51" s="29">
        <f>NSW!$H131*'Other national data'!I457</f>
        <v>80.336670127103389</v>
      </c>
      <c r="K51" s="29">
        <f>NSW!$H131*'Other national data'!J457</f>
        <v>0</v>
      </c>
      <c r="L51" s="29">
        <f t="shared" si="13"/>
        <v>80.336670127103389</v>
      </c>
      <c r="M51" s="272">
        <f t="shared" si="10"/>
        <v>1.0620045211369788E-2</v>
      </c>
      <c r="N51" s="910"/>
      <c r="O51" s="910"/>
      <c r="P51" s="911"/>
      <c r="Q51" s="927"/>
      <c r="R51" s="29">
        <f>NSW!$I131*'Other national data'!I457</f>
        <v>7.469413311851852E-11</v>
      </c>
      <c r="S51" s="29">
        <f>NSW!$I131*'Other national data'!J457</f>
        <v>0</v>
      </c>
      <c r="T51" s="29">
        <f>SUM(Q51:S51)</f>
        <v>7.469413311851852E-11</v>
      </c>
      <c r="U51" s="272">
        <f>T51/Pop_NSW*1000</f>
        <v>9.8741343086252412E-15</v>
      </c>
      <c r="V51" s="74"/>
    </row>
    <row r="52" spans="1:47" outlineLevel="1" x14ac:dyDescent="0.2">
      <c r="A52" s="459"/>
      <c r="B52" s="468" t="str">
        <f t="shared" si="11"/>
        <v>Hazardous</v>
      </c>
      <c r="C52" s="1081" t="s">
        <v>343</v>
      </c>
      <c r="D52" s="910"/>
      <c r="E52" s="29">
        <f>NSW!$G132*'Other national data'!I458</f>
        <v>120205.44338311188</v>
      </c>
      <c r="F52" s="29">
        <f>NSW!$G132*'Other national data'!J458</f>
        <v>309099.71155657334</v>
      </c>
      <c r="G52" s="29">
        <f t="shared" si="12"/>
        <v>429305.15493968525</v>
      </c>
      <c r="H52" s="272">
        <f t="shared" si="9"/>
        <v>56.751669539205935</v>
      </c>
      <c r="I52" s="910"/>
      <c r="J52" s="29">
        <f>NSW!$H132*'Other national data'!I458</f>
        <v>0</v>
      </c>
      <c r="K52" s="29">
        <f>NSW!$H132*'Other national data'!J458</f>
        <v>0</v>
      </c>
      <c r="L52" s="29">
        <f t="shared" si="13"/>
        <v>0</v>
      </c>
      <c r="M52" s="272">
        <f t="shared" si="10"/>
        <v>0</v>
      </c>
      <c r="N52" s="910"/>
      <c r="O52" s="910"/>
      <c r="P52" s="911"/>
      <c r="Q52" s="927"/>
      <c r="R52" s="29">
        <f>NSW!$I132*'Other national data'!I458</f>
        <v>1.2020544338311189E-9</v>
      </c>
      <c r="S52" s="29">
        <f>NSW!$I132*'Other national data'!J458</f>
        <v>3.0909971155657339E-9</v>
      </c>
      <c r="T52" s="29">
        <f>SUM(Q52:S52)</f>
        <v>4.2930515493968528E-9</v>
      </c>
      <c r="U52" s="272">
        <f>T52/Pop_NSW*1000</f>
        <v>5.6751669539205944E-13</v>
      </c>
      <c r="V52" s="74"/>
    </row>
    <row r="53" spans="1:47" outlineLevel="1" x14ac:dyDescent="0.2">
      <c r="A53" s="459"/>
      <c r="B53" s="468" t="str">
        <f t="shared" si="11"/>
        <v>Hazardous</v>
      </c>
      <c r="C53" s="1081" t="s">
        <v>97</v>
      </c>
      <c r="D53" s="910"/>
      <c r="E53" s="29">
        <f>NSW!$G133*'Other national data'!I459</f>
        <v>179840.06967869823</v>
      </c>
      <c r="F53" s="29">
        <f>NSW!$G133*'Other national data'!J459</f>
        <v>211116.60353586319</v>
      </c>
      <c r="G53" s="29">
        <f t="shared" si="12"/>
        <v>390956.67321456142</v>
      </c>
      <c r="H53" s="272">
        <f t="shared" si="9"/>
        <v>51.682221066125599</v>
      </c>
      <c r="I53" s="910"/>
      <c r="J53" s="29">
        <f>NSW!$H133*'Other national data'!I459</f>
        <v>0</v>
      </c>
      <c r="K53" s="29">
        <f>NSW!$H133*'Other national data'!J459</f>
        <v>0</v>
      </c>
      <c r="L53" s="29">
        <f t="shared" si="13"/>
        <v>0</v>
      </c>
      <c r="M53" s="272">
        <f t="shared" si="10"/>
        <v>0</v>
      </c>
      <c r="N53" s="910"/>
      <c r="O53" s="910"/>
      <c r="P53" s="911"/>
      <c r="Q53" s="927"/>
      <c r="R53" s="913"/>
      <c r="S53" s="913"/>
      <c r="T53" s="928"/>
      <c r="U53" s="926"/>
      <c r="V53" s="74"/>
    </row>
    <row r="54" spans="1:47" outlineLevel="1" x14ac:dyDescent="0.2">
      <c r="A54" s="459"/>
      <c r="B54" s="468" t="str">
        <f t="shared" si="11"/>
        <v>Hazardous</v>
      </c>
      <c r="C54" s="1081" t="s">
        <v>345</v>
      </c>
      <c r="D54" s="910"/>
      <c r="E54" s="29">
        <f>NSW!$G134*'Other national data'!I460</f>
        <v>26091.807637576698</v>
      </c>
      <c r="F54" s="29">
        <f>NSW!$G134*'Other national data'!J460</f>
        <v>0</v>
      </c>
      <c r="G54" s="29">
        <f t="shared" si="12"/>
        <v>26091.807637576698</v>
      </c>
      <c r="H54" s="272">
        <f t="shared" si="9"/>
        <v>3.4491867327712828</v>
      </c>
      <c r="I54" s="910"/>
      <c r="J54" s="29">
        <f>NSW!$H134*'Other national data'!I460</f>
        <v>373662.98416729283</v>
      </c>
      <c r="K54" s="29">
        <f>NSW!$H134*'Other national data'!J460</f>
        <v>0</v>
      </c>
      <c r="L54" s="29">
        <f t="shared" si="13"/>
        <v>373662.98416729283</v>
      </c>
      <c r="M54" s="272">
        <f t="shared" si="10"/>
        <v>49.396094951329097</v>
      </c>
      <c r="N54" s="910"/>
      <c r="O54" s="910"/>
      <c r="P54" s="911"/>
      <c r="Q54" s="927"/>
      <c r="R54" s="29">
        <f>NSW!$I134*'Other national data'!I460</f>
        <v>0</v>
      </c>
      <c r="S54" s="29">
        <f>NSW!$I134*'Other national data'!J460</f>
        <v>0</v>
      </c>
      <c r="T54" s="29">
        <f t="shared" ref="T54:T59" si="14">SUM(Q54:S54)</f>
        <v>0</v>
      </c>
      <c r="U54" s="272">
        <f t="shared" ref="U54:U59" si="15">T54/Pop_NSW*1000</f>
        <v>0</v>
      </c>
      <c r="V54" s="74"/>
    </row>
    <row r="55" spans="1:47" outlineLevel="1" x14ac:dyDescent="0.2">
      <c r="A55" s="459"/>
      <c r="B55" s="468" t="str">
        <f t="shared" si="11"/>
        <v>Hazardous</v>
      </c>
      <c r="C55" s="1080" t="s">
        <v>297</v>
      </c>
      <c r="D55" s="910"/>
      <c r="E55" s="29">
        <f>NSW!$G135*'Other national data'!I461</f>
        <v>23327.354667731386</v>
      </c>
      <c r="F55" s="29">
        <f>NSW!$G135*'Other national data'!J461</f>
        <v>0</v>
      </c>
      <c r="G55" s="29">
        <f t="shared" si="12"/>
        <v>23327.354667731386</v>
      </c>
      <c r="H55" s="272">
        <f t="shared" si="9"/>
        <v>3.0837419679084443</v>
      </c>
      <c r="I55" s="910"/>
      <c r="J55" s="29">
        <f>NSW!$H135*'Other national data'!I461</f>
        <v>0</v>
      </c>
      <c r="K55" s="29">
        <f>NSW!$H135*'Other national data'!J461</f>
        <v>0</v>
      </c>
      <c r="L55" s="29">
        <f t="shared" si="13"/>
        <v>0</v>
      </c>
      <c r="M55" s="272">
        <f t="shared" si="10"/>
        <v>0</v>
      </c>
      <c r="N55" s="910"/>
      <c r="O55" s="910"/>
      <c r="P55" s="911"/>
      <c r="Q55" s="927"/>
      <c r="R55" s="29">
        <f>NSW!$I135*'Other national data'!I461</f>
        <v>2.3327354667731387E-10</v>
      </c>
      <c r="S55" s="29">
        <f>NSW!$I135*'Other national data'!J461</f>
        <v>0</v>
      </c>
      <c r="T55" s="29">
        <f t="shared" si="14"/>
        <v>2.3327354667731387E-10</v>
      </c>
      <c r="U55" s="272">
        <f t="shared" si="15"/>
        <v>3.0837419679084443E-14</v>
      </c>
      <c r="V55" s="74"/>
    </row>
    <row r="56" spans="1:47" outlineLevel="1" x14ac:dyDescent="0.2">
      <c r="A56" s="459"/>
      <c r="B56" s="468" t="str">
        <f t="shared" si="11"/>
        <v>Hazardous</v>
      </c>
      <c r="C56" s="1274" t="s">
        <v>39</v>
      </c>
      <c r="D56" s="910"/>
      <c r="E56" s="29">
        <f>NSW!$G136*'Other national data'!I462</f>
        <v>39211.416869198787</v>
      </c>
      <c r="F56" s="29">
        <f>NSW!$G136*'Other national data'!J462</f>
        <v>0</v>
      </c>
      <c r="G56" s="29">
        <f t="shared" ref="G56:G61" si="16">SUM(D56:F56)</f>
        <v>39211.416869198787</v>
      </c>
      <c r="H56" s="272">
        <f>G56/Pop_NSW*1000</f>
        <v>5.1835235303369647</v>
      </c>
      <c r="I56" s="910"/>
      <c r="J56" s="29">
        <f>NSW!$H136*'Other national data'!I462</f>
        <v>70016.307911320546</v>
      </c>
      <c r="K56" s="29">
        <f>NSW!$H136*'Other national data'!J462</f>
        <v>0</v>
      </c>
      <c r="L56" s="29">
        <f t="shared" ref="L56:L61" si="17">SUM(I56:K56)</f>
        <v>70016.307911320546</v>
      </c>
      <c r="M56" s="272">
        <f>L56/Pop_NSW*1000</f>
        <v>9.2557527512028415</v>
      </c>
      <c r="N56" s="910"/>
      <c r="O56" s="910"/>
      <c r="P56" s="911"/>
      <c r="Q56" s="927"/>
      <c r="R56" s="29">
        <f>NSW!$I136*'Other national data'!I462</f>
        <v>1.0922772478051933E-9</v>
      </c>
      <c r="S56" s="29">
        <f>NSW!$I136*'Other national data'!J462</f>
        <v>0</v>
      </c>
      <c r="T56" s="29">
        <f t="shared" si="14"/>
        <v>1.0922772478051933E-9</v>
      </c>
      <c r="U56" s="272">
        <f t="shared" si="15"/>
        <v>1.4439276281539806E-13</v>
      </c>
      <c r="V56" s="74"/>
    </row>
    <row r="57" spans="1:47" outlineLevel="1" x14ac:dyDescent="0.2">
      <c r="A57" s="459"/>
      <c r="B57" s="468" t="str">
        <f t="shared" si="11"/>
        <v>Hazardous</v>
      </c>
      <c r="C57" s="1274" t="s">
        <v>904</v>
      </c>
      <c r="D57" s="910"/>
      <c r="E57" s="29">
        <f>NSW!$G137*'Other national data'!I463</f>
        <v>392.16752308017379</v>
      </c>
      <c r="F57" s="29">
        <f>NSW!$G137*'Other national data'!J463</f>
        <v>0</v>
      </c>
      <c r="G57" s="29">
        <f t="shared" si="16"/>
        <v>392.16752308017379</v>
      </c>
      <c r="H57" s="272">
        <f>G57/Pop_NSW*1000</f>
        <v>5.1842288446272658E-2</v>
      </c>
      <c r="I57" s="910"/>
      <c r="J57" s="29">
        <f>NSW!$H137*'Other national data'!I463</f>
        <v>1648.6419230532374</v>
      </c>
      <c r="K57" s="29">
        <f>NSW!$H137*'Other national data'!J463</f>
        <v>0</v>
      </c>
      <c r="L57" s="29">
        <f t="shared" si="17"/>
        <v>1648.6419230532374</v>
      </c>
      <c r="M57" s="272">
        <f>L57/Pop_NSW*1000</f>
        <v>0.21794096932924872</v>
      </c>
      <c r="N57" s="910"/>
      <c r="O57" s="910"/>
      <c r="P57" s="911"/>
      <c r="Q57" s="927"/>
      <c r="R57" s="29">
        <f>NSW!$I137*'Other national data'!I463</f>
        <v>2.0408094461334113E-11</v>
      </c>
      <c r="S57" s="29">
        <f>NSW!$I137*'Other national data'!J463</f>
        <v>0</v>
      </c>
      <c r="T57" s="29">
        <f t="shared" si="14"/>
        <v>2.0408094461334113E-11</v>
      </c>
      <c r="U57" s="272">
        <f t="shared" si="15"/>
        <v>2.6978325777552141E-15</v>
      </c>
      <c r="V57" s="74"/>
    </row>
    <row r="58" spans="1:47" outlineLevel="1" x14ac:dyDescent="0.2">
      <c r="A58" s="459"/>
      <c r="B58" s="468" t="str">
        <f t="shared" si="11"/>
        <v>Hazardous</v>
      </c>
      <c r="C58" s="649" t="s">
        <v>567</v>
      </c>
      <c r="D58" s="1074"/>
      <c r="E58" s="30">
        <f>SUMIF(Hazstate,"Solid",E$41:E$57)</f>
        <v>472659.62169199606</v>
      </c>
      <c r="F58" s="30">
        <f>SUMIF(Hazstate,"Solid",F$41:F$57)</f>
        <v>520216.3150924365</v>
      </c>
      <c r="G58" s="30">
        <f t="shared" si="16"/>
        <v>992875.9367844325</v>
      </c>
      <c r="H58" s="285">
        <f t="shared" si="9"/>
        <v>131.25248185229944</v>
      </c>
      <c r="I58" s="1076"/>
      <c r="J58" s="30">
        <f>SUMIF(Hazstate,"Solid",J$41:J$57)</f>
        <v>445327.93400166661</v>
      </c>
      <c r="K58" s="30">
        <f>SUMIF(Hazstate,"Solid",K$41:K$57)</f>
        <v>0</v>
      </c>
      <c r="L58" s="30">
        <f t="shared" si="17"/>
        <v>445327.93400166661</v>
      </c>
      <c r="M58" s="285">
        <f t="shared" si="10"/>
        <v>58.869788671861194</v>
      </c>
      <c r="N58" s="930"/>
      <c r="O58" s="930"/>
      <c r="P58" s="931"/>
      <c r="Q58" s="927"/>
      <c r="R58" s="30">
        <f>SUMIF(Hazstate,"Solid",R$41:R$57)</f>
        <v>2.5480133227749598E-9</v>
      </c>
      <c r="S58" s="30">
        <f>SUMIF(Hazstate,"Solid",S$41:S$57)</f>
        <v>3.0909971155657339E-9</v>
      </c>
      <c r="T58" s="30">
        <f t="shared" si="14"/>
        <v>5.6390104383406933E-9</v>
      </c>
      <c r="U58" s="924">
        <f t="shared" si="15"/>
        <v>7.45444710464297E-13</v>
      </c>
      <c r="V58" s="74"/>
    </row>
    <row r="59" spans="1:47" outlineLevel="1" x14ac:dyDescent="0.2">
      <c r="A59" s="459"/>
      <c r="B59" s="468" t="str">
        <f t="shared" si="11"/>
        <v>Hazardous</v>
      </c>
      <c r="C59" s="649" t="s">
        <v>459</v>
      </c>
      <c r="D59" s="1074"/>
      <c r="E59" s="30">
        <f>SUMIF(Hazstate,"Liquid",E$41:E$57)</f>
        <v>27248.255111841587</v>
      </c>
      <c r="F59" s="30">
        <f>SUMIF(Hazstate,"Liquid",F$41:F$57)</f>
        <v>0</v>
      </c>
      <c r="G59" s="30">
        <f t="shared" si="16"/>
        <v>27248.255111841587</v>
      </c>
      <c r="H59" s="285">
        <f t="shared" si="9"/>
        <v>3.6020624300317801</v>
      </c>
      <c r="I59" s="1076"/>
      <c r="J59" s="30">
        <f>SUMIF(Hazstate,"Liquid",J$41:J$57)</f>
        <v>336469.50671275682</v>
      </c>
      <c r="K59" s="30">
        <f>SUMIF(Hazstate,"Liquid",K$41:K$57)</f>
        <v>0</v>
      </c>
      <c r="L59" s="30">
        <f t="shared" si="17"/>
        <v>336469.50671275682</v>
      </c>
      <c r="M59" s="285">
        <f t="shared" si="10"/>
        <v>44.479331392293133</v>
      </c>
      <c r="N59" s="930"/>
      <c r="O59" s="930"/>
      <c r="P59" s="931"/>
      <c r="Q59" s="927"/>
      <c r="R59" s="30">
        <f>SUMIF(Hazstate,"Liquid",R$41:R$57)</f>
        <v>3.4401229517589392E-9</v>
      </c>
      <c r="S59" s="30">
        <f>SUMIF(Hazstate,"Liquid",S$41:S$57)</f>
        <v>0</v>
      </c>
      <c r="T59" s="30">
        <f t="shared" si="14"/>
        <v>3.4401229517589392E-9</v>
      </c>
      <c r="U59" s="924">
        <f t="shared" si="15"/>
        <v>4.5476444595660638E-13</v>
      </c>
      <c r="V59" s="74"/>
    </row>
    <row r="60" spans="1:47" s="76" customFormat="1" outlineLevel="1" x14ac:dyDescent="0.2">
      <c r="A60" s="459"/>
      <c r="B60" s="468" t="str">
        <f t="shared" si="11"/>
        <v>Hazardous</v>
      </c>
      <c r="C60" s="827" t="s">
        <v>2</v>
      </c>
      <c r="D60" s="932"/>
      <c r="E60" s="237">
        <f>'Other national data'!H148</f>
        <v>801412.09374948149</v>
      </c>
      <c r="F60" s="932"/>
      <c r="G60" s="237">
        <f t="shared" si="16"/>
        <v>801412.09374948149</v>
      </c>
      <c r="H60" s="275">
        <f t="shared" si="9"/>
        <v>105.94206425400033</v>
      </c>
      <c r="I60" s="913"/>
      <c r="J60" s="237">
        <f>'Other national data'!H149</f>
        <v>1938612.4953078597</v>
      </c>
      <c r="K60" s="913"/>
      <c r="L60" s="237">
        <f t="shared" si="17"/>
        <v>1938612.4953078597</v>
      </c>
      <c r="M60" s="273">
        <f t="shared" si="10"/>
        <v>256.27340932755425</v>
      </c>
      <c r="N60" s="932"/>
      <c r="O60" s="932"/>
      <c r="P60" s="933"/>
      <c r="Q60" s="927"/>
      <c r="R60" s="913"/>
      <c r="S60" s="913"/>
      <c r="T60" s="928"/>
      <c r="U60" s="929"/>
      <c r="Y60" s="74"/>
      <c r="Z60" s="74"/>
      <c r="AA60" s="74"/>
      <c r="AB60" s="74"/>
      <c r="AC60" s="74"/>
      <c r="AD60" s="74"/>
      <c r="AI60" s="74"/>
      <c r="AJ60" s="74"/>
      <c r="AK60" s="74"/>
      <c r="AL60" s="74"/>
      <c r="AM60" s="74"/>
      <c r="AN60" s="74"/>
      <c r="AO60" s="74"/>
      <c r="AP60" s="74"/>
      <c r="AQ60" s="74"/>
      <c r="AR60" s="74"/>
      <c r="AS60" s="74"/>
      <c r="AT60" s="74"/>
      <c r="AU60" s="74"/>
    </row>
    <row r="61" spans="1:47" s="247" customFormat="1" x14ac:dyDescent="0.2">
      <c r="A61" s="459"/>
      <c r="B61" s="498" t="str">
        <f>B59</f>
        <v>Hazardous</v>
      </c>
      <c r="C61" s="650" t="s">
        <v>115</v>
      </c>
      <c r="D61" s="1075"/>
      <c r="E61" s="966">
        <f>SUM(E58:E60)</f>
        <v>1301319.9705533192</v>
      </c>
      <c r="F61" s="966">
        <f>SUM(F58:F60)</f>
        <v>520216.3150924365</v>
      </c>
      <c r="G61" s="966">
        <f t="shared" si="16"/>
        <v>1821536.2856457557</v>
      </c>
      <c r="H61" s="967">
        <f t="shared" si="9"/>
        <v>240.79660853633155</v>
      </c>
      <c r="I61" s="1077"/>
      <c r="J61" s="966">
        <f>SUM(J58:J60)</f>
        <v>2720409.936022283</v>
      </c>
      <c r="K61" s="966">
        <f>SUM(K58:K60)</f>
        <v>0</v>
      </c>
      <c r="L61" s="966">
        <f t="shared" si="17"/>
        <v>2720409.936022283</v>
      </c>
      <c r="M61" s="968">
        <f t="shared" si="10"/>
        <v>359.62252939170855</v>
      </c>
      <c r="N61" s="934"/>
      <c r="O61" s="934"/>
      <c r="P61" s="935"/>
      <c r="Q61" s="927"/>
      <c r="R61" s="966">
        <f>SUM(R59,R58)</f>
        <v>5.988136274533899E-9</v>
      </c>
      <c r="S61" s="966">
        <f>SUM(S59,S58)</f>
        <v>3.0909971155657339E-9</v>
      </c>
      <c r="T61" s="966">
        <f>SUM(Q61:S61)</f>
        <v>9.0791333900996333E-9</v>
      </c>
      <c r="U61" s="968">
        <f>T61/Pop_NSW*1000</f>
        <v>1.2002091564209036E-12</v>
      </c>
      <c r="V61" s="957" t="s">
        <v>847</v>
      </c>
      <c r="X61" s="957" t="str">
        <f>IF(SUM(G58:G59,L58:L59,T58:T59)=SUM(NSW!G121:I137),"OK","Error")</f>
        <v>OK</v>
      </c>
      <c r="Y61" s="74"/>
      <c r="AI61" s="249"/>
      <c r="AJ61" s="249"/>
      <c r="AK61" s="249"/>
      <c r="AL61" s="249"/>
      <c r="AM61" s="249"/>
      <c r="AN61" s="249"/>
      <c r="AO61" s="249"/>
      <c r="AP61" s="249"/>
      <c r="AQ61" s="249"/>
      <c r="AR61" s="249"/>
      <c r="AS61" s="249"/>
      <c r="AT61" s="249"/>
      <c r="AU61" s="249"/>
    </row>
    <row r="62" spans="1:47" ht="14.25" customHeight="1" x14ac:dyDescent="0.2">
      <c r="C62" s="951" t="s">
        <v>98</v>
      </c>
      <c r="D62" s="286"/>
      <c r="E62" s="286"/>
      <c r="F62" s="286"/>
      <c r="G62" s="286"/>
      <c r="H62" s="287"/>
      <c r="I62" s="977"/>
      <c r="J62" s="977"/>
      <c r="K62" s="977"/>
      <c r="L62" s="977"/>
      <c r="M62" s="291"/>
      <c r="N62" s="934"/>
      <c r="O62" s="934"/>
      <c r="P62" s="935"/>
      <c r="Q62" s="905"/>
      <c r="R62" s="27"/>
      <c r="S62" s="27"/>
      <c r="T62" s="27"/>
      <c r="U62" s="287"/>
      <c r="Y62" s="75"/>
    </row>
    <row r="63" spans="1:47" x14ac:dyDescent="0.2">
      <c r="C63" s="303" t="s">
        <v>1350</v>
      </c>
      <c r="D63" s="289">
        <f>SUM(D61,D40,D37,D36,D26,D21,D15,D11,D62)</f>
        <v>1881204.1634498672</v>
      </c>
      <c r="E63" s="987">
        <f>SUM(E61,E40,E37,E36,E26,E21,E15,E11,E62)</f>
        <v>3206567.0981666986</v>
      </c>
      <c r="F63" s="289">
        <f t="shared" ref="F63" si="18">SUM(F61,F40,F37,F36,F26,F21,F15,F11,F62)</f>
        <v>1593721.3484963323</v>
      </c>
      <c r="G63" s="294">
        <f>SUM(G61,G40,G37,G36,G26,G21,G15,G11,G62)</f>
        <v>6681492.6101128981</v>
      </c>
      <c r="H63" s="290">
        <f>G63/Pop_NSW*1000</f>
        <v>883.25485094873136</v>
      </c>
      <c r="I63" s="289">
        <f>SUM(I61,I40,I37,I36,I26,I21,I15,I11,I62)</f>
        <v>2357885.505062405</v>
      </c>
      <c r="J63" s="987">
        <f>SUM(J61,J40,J37,J36,J26,J21,J15,J11,J62)</f>
        <v>4695827.6986769931</v>
      </c>
      <c r="K63" s="289">
        <f t="shared" ref="K63" si="19">SUM(K61,K40,K37,K36,K26,K21,K15,K11,K62)</f>
        <v>4405215.0944943372</v>
      </c>
      <c r="L63" s="294">
        <f>SUM(L61,L40,L37,L36,L26,L21,L15,L11,L62)</f>
        <v>11458928.298233736</v>
      </c>
      <c r="M63" s="2424">
        <f>L63/Pop_NSW*1000</f>
        <v>1514.8043403908846</v>
      </c>
      <c r="N63" s="289">
        <f>SUM(N40,N26,N21)</f>
        <v>366252.44976112078</v>
      </c>
      <c r="O63" s="289">
        <f>SUM(O40,O26,O21)</f>
        <v>317246.93711312721</v>
      </c>
      <c r="P63" s="298">
        <f>SUM(P40,P26,P21)</f>
        <v>107017.73443608264</v>
      </c>
      <c r="Q63" s="289">
        <f>SUM(Q62,Q61,Q40,Q36,Q26,Q21)</f>
        <v>366252.44976112078</v>
      </c>
      <c r="R63" s="289">
        <f t="shared" ref="R63:T63" si="20">SUM(R62,R61,R40,R36,R26,R21)</f>
        <v>347490.4780967398</v>
      </c>
      <c r="S63" s="289">
        <f t="shared" si="20"/>
        <v>107017.73443608572</v>
      </c>
      <c r="T63" s="294">
        <f t="shared" si="20"/>
        <v>820760.66229394625</v>
      </c>
      <c r="U63" s="2342">
        <f>T63/Pop_NSW*1000</f>
        <v>108.49983360630735</v>
      </c>
      <c r="V63" s="74"/>
      <c r="Y63" s="75"/>
    </row>
    <row r="64" spans="1:47" x14ac:dyDescent="0.2">
      <c r="C64" s="2414" t="s">
        <v>1314</v>
      </c>
      <c r="E64" s="2413">
        <f>E63-E60</f>
        <v>2405155.0044172173</v>
      </c>
      <c r="G64" s="272">
        <f>G63-G60</f>
        <v>5880080.5163634168</v>
      </c>
      <c r="H64" s="283">
        <f>G64/Pop_NSW*1000</f>
        <v>777.31278669473102</v>
      </c>
      <c r="J64" s="2413">
        <f>J63-J60</f>
        <v>2757215.2033691332</v>
      </c>
      <c r="L64" s="272">
        <f>L63-L60</f>
        <v>9520315.8029258773</v>
      </c>
      <c r="M64" s="272">
        <f>L64/Pop_NSW*1000</f>
        <v>1258.5309310633304</v>
      </c>
      <c r="T64" s="272">
        <f>T63-T60</f>
        <v>820760.66229394625</v>
      </c>
      <c r="U64" s="283">
        <f>U63+U49</f>
        <v>108.49983360630745</v>
      </c>
      <c r="V64" s="74"/>
    </row>
    <row r="65" spans="1:44" x14ac:dyDescent="0.2">
      <c r="C65" s="304" t="s">
        <v>1351</v>
      </c>
      <c r="E65" s="955" t="s">
        <v>397</v>
      </c>
      <c r="F65" s="956" t="str">
        <f>IF(ROUND(SUM(D63:F63),0)=ROUND(G63,0),"Ok","Error")</f>
        <v>Ok</v>
      </c>
      <c r="G65" s="2415">
        <f>G64-SUM(G58:G59)</f>
        <v>4859956.324467143</v>
      </c>
      <c r="H65" s="292">
        <f>G65/Pop_NSW*1000</f>
        <v>642.45824241239995</v>
      </c>
      <c r="J65" s="955" t="s">
        <v>397</v>
      </c>
      <c r="K65" s="956" t="str">
        <f>IF(ROUND(SUM(I63:K63),0)=ROUND(L63,0),"Ok","Error")</f>
        <v>Ok</v>
      </c>
      <c r="L65" s="2415">
        <f>L64-SUM(L58:L59)</f>
        <v>8738518.3622114547</v>
      </c>
      <c r="M65" s="291">
        <f>L65/Pop_NSW*1000</f>
        <v>1155.1818109991764</v>
      </c>
      <c r="R65" s="955" t="s">
        <v>397</v>
      </c>
      <c r="S65" s="956" t="str">
        <f>IF(ROUND(SUM(Q63:S63),0)=ROUND(T63,0),"Ok","Error")</f>
        <v>Ok</v>
      </c>
      <c r="T65" s="2415">
        <f>T64-SUM(T58:T59)</f>
        <v>820760.66229393717</v>
      </c>
      <c r="U65" s="292">
        <f>T65/Pop_NSW*1000</f>
        <v>108.49983360630614</v>
      </c>
    </row>
    <row r="66" spans="1:44" x14ac:dyDescent="0.2">
      <c r="C66" s="138"/>
    </row>
    <row r="67" spans="1:44" ht="15" customHeight="1" x14ac:dyDescent="0.2">
      <c r="C67" s="2444" t="s">
        <v>410</v>
      </c>
      <c r="D67" s="2440" t="s">
        <v>16</v>
      </c>
      <c r="E67" s="2441" t="s">
        <v>17</v>
      </c>
      <c r="F67" s="2441" t="s">
        <v>1354</v>
      </c>
      <c r="G67" s="2441" t="s">
        <v>18</v>
      </c>
      <c r="H67" s="2547" t="s">
        <v>88</v>
      </c>
      <c r="I67" s="2442" t="s">
        <v>1368</v>
      </c>
      <c r="J67" s="2443" t="s">
        <v>1369</v>
      </c>
      <c r="K67" s="2788" t="s">
        <v>1423</v>
      </c>
      <c r="L67" s="2775"/>
      <c r="M67" s="2776"/>
    </row>
    <row r="68" spans="1:44" ht="38.25" x14ac:dyDescent="0.2">
      <c r="C68" s="936"/>
      <c r="D68" s="930"/>
      <c r="E68" s="2280" t="s">
        <v>455</v>
      </c>
      <c r="F68" s="2280" t="s">
        <v>454</v>
      </c>
      <c r="G68" s="2280"/>
      <c r="H68" s="2279" t="s">
        <v>88</v>
      </c>
      <c r="I68" s="2280" t="s">
        <v>454</v>
      </c>
      <c r="J68" s="2341" t="s">
        <v>1352</v>
      </c>
      <c r="K68" s="943" t="s">
        <v>455</v>
      </c>
      <c r="L68" s="2280" t="s">
        <v>454</v>
      </c>
      <c r="M68" s="2341" t="s">
        <v>1352</v>
      </c>
    </row>
    <row r="69" spans="1:44" x14ac:dyDescent="0.2">
      <c r="C69" s="937"/>
      <c r="D69" s="944" t="s">
        <v>16</v>
      </c>
      <c r="E69" s="945" t="s">
        <v>17</v>
      </c>
      <c r="F69" s="945" t="s">
        <v>17</v>
      </c>
      <c r="G69" s="945" t="s">
        <v>18</v>
      </c>
      <c r="H69" s="944" t="s">
        <v>112</v>
      </c>
      <c r="I69" s="945" t="s">
        <v>112</v>
      </c>
      <c r="J69" s="946" t="s">
        <v>112</v>
      </c>
      <c r="K69" s="944" t="s">
        <v>112</v>
      </c>
      <c r="L69" s="945" t="s">
        <v>112</v>
      </c>
      <c r="M69" s="946" t="s">
        <v>112</v>
      </c>
    </row>
    <row r="70" spans="1:44" s="76" customFormat="1" x14ac:dyDescent="0.2">
      <c r="A70" s="74"/>
      <c r="C70" s="252" t="s">
        <v>113</v>
      </c>
      <c r="D70" s="253">
        <f>D63/1000</f>
        <v>1881.2041634498671</v>
      </c>
      <c r="E70" s="253">
        <f>E63/1000</f>
        <v>3206.5670981666985</v>
      </c>
      <c r="F70" s="253">
        <f>E64/1000</f>
        <v>2405.1550044172172</v>
      </c>
      <c r="G70" s="253">
        <f>F63/1000</f>
        <v>1593.7213484963322</v>
      </c>
      <c r="H70" s="255">
        <f>G63/1000</f>
        <v>6681.4926101128976</v>
      </c>
      <c r="I70" s="253">
        <f>G64/1000</f>
        <v>5880.0805163634168</v>
      </c>
      <c r="J70" s="254">
        <f>G65/1000</f>
        <v>4859.9563244671426</v>
      </c>
      <c r="K70" s="255">
        <f>H63</f>
        <v>883.25485094873136</v>
      </c>
      <c r="L70" s="253">
        <f>H64</f>
        <v>777.31278669473102</v>
      </c>
      <c r="M70" s="254">
        <f>H65</f>
        <v>642.45824241239995</v>
      </c>
      <c r="N70" s="2149"/>
      <c r="O70" s="2149">
        <f>H70/1000</f>
        <v>6.6814926101128975</v>
      </c>
      <c r="P70" s="2149">
        <f t="shared" ref="P70:Q72" si="21">I70/1000</f>
        <v>5.8800805163634164</v>
      </c>
      <c r="Q70" s="2149">
        <f t="shared" si="21"/>
        <v>4.8599563244671424</v>
      </c>
      <c r="S70" s="74"/>
      <c r="T70" s="74"/>
      <c r="U70" s="74"/>
      <c r="V70" s="75"/>
      <c r="W70" s="74"/>
      <c r="X70" s="74"/>
      <c r="Y70" s="74"/>
      <c r="Z70" s="74"/>
      <c r="AA70" s="74"/>
      <c r="AB70" s="74"/>
      <c r="AC70" s="74"/>
      <c r="AD70" s="74"/>
      <c r="AE70" s="74"/>
      <c r="AF70" s="74"/>
      <c r="AG70" s="74"/>
      <c r="AH70" s="74"/>
      <c r="AI70" s="74"/>
      <c r="AJ70" s="74"/>
      <c r="AK70" s="74"/>
      <c r="AL70" s="74"/>
      <c r="AM70" s="74"/>
      <c r="AN70" s="74"/>
      <c r="AO70" s="74"/>
      <c r="AP70" s="74"/>
      <c r="AQ70" s="74"/>
      <c r="AR70" s="74"/>
    </row>
    <row r="71" spans="1:44" x14ac:dyDescent="0.2">
      <c r="C71" s="256" t="s">
        <v>114</v>
      </c>
      <c r="D71" s="253">
        <f>I63/1000</f>
        <v>2357.8855050624052</v>
      </c>
      <c r="E71" s="253">
        <f>J63/1000</f>
        <v>4695.8276986769934</v>
      </c>
      <c r="F71" s="253">
        <f>J64/1000</f>
        <v>2757.2152033691332</v>
      </c>
      <c r="G71" s="253">
        <f>K63/1000</f>
        <v>4405.2150944943369</v>
      </c>
      <c r="H71" s="255">
        <f>L63/1000</f>
        <v>11458.928298233735</v>
      </c>
      <c r="I71" s="253">
        <f>L64/1000</f>
        <v>9520.3158029258775</v>
      </c>
      <c r="J71" s="254">
        <f>L65/1000</f>
        <v>8738.5183622114546</v>
      </c>
      <c r="K71" s="255">
        <f>M63</f>
        <v>1514.8043403908846</v>
      </c>
      <c r="L71" s="253">
        <f>M64</f>
        <v>1258.5309310633304</v>
      </c>
      <c r="M71" s="254">
        <f>M65</f>
        <v>1155.1818109991764</v>
      </c>
      <c r="N71" s="2149"/>
      <c r="O71" s="2149">
        <f t="shared" ref="O71:O74" si="22">H71/1000</f>
        <v>11.458928298233735</v>
      </c>
      <c r="P71" s="2149">
        <f t="shared" si="21"/>
        <v>9.520315802925877</v>
      </c>
      <c r="Q71" s="2149">
        <f t="shared" si="21"/>
        <v>8.7385183622114546</v>
      </c>
    </row>
    <row r="72" spans="1:44" x14ac:dyDescent="0.2">
      <c r="C72" s="256" t="s">
        <v>38</v>
      </c>
      <c r="D72" s="253">
        <f>Q63/1000</f>
        <v>366.25244976112077</v>
      </c>
      <c r="E72" s="253">
        <f>R63/1000</f>
        <v>347.49047809673982</v>
      </c>
      <c r="F72" s="253">
        <f>E72</f>
        <v>347.49047809673982</v>
      </c>
      <c r="G72" s="253">
        <f>S63/1000</f>
        <v>107.01773443608572</v>
      </c>
      <c r="H72" s="255">
        <f>T63/1000</f>
        <v>820.76066229394621</v>
      </c>
      <c r="I72" s="253">
        <f>T64/1000</f>
        <v>820.76066229394621</v>
      </c>
      <c r="J72" s="254">
        <f>T65/1000</f>
        <v>820.76066229393723</v>
      </c>
      <c r="K72" s="255">
        <f>U63</f>
        <v>108.49983360630735</v>
      </c>
      <c r="L72" s="253">
        <f>U64</f>
        <v>108.49983360630745</v>
      </c>
      <c r="M72" s="254">
        <f>U65</f>
        <v>108.49983360630614</v>
      </c>
      <c r="N72" s="2149"/>
      <c r="O72" s="2149">
        <f t="shared" si="22"/>
        <v>0.82076066229394617</v>
      </c>
      <c r="P72" s="2149">
        <f t="shared" si="21"/>
        <v>0.82076066229394617</v>
      </c>
      <c r="Q72" s="2149">
        <f t="shared" si="21"/>
        <v>0.82076066229393718</v>
      </c>
    </row>
    <row r="73" spans="1:44" x14ac:dyDescent="0.2">
      <c r="C73" s="252" t="s">
        <v>116</v>
      </c>
      <c r="D73" s="257">
        <f t="shared" ref="D73:J73" si="23">SUM(D71:D72)/D74</f>
        <v>0.59151695679990934</v>
      </c>
      <c r="E73" s="257">
        <f t="shared" si="23"/>
        <v>0.61131979520892787</v>
      </c>
      <c r="F73" s="257">
        <f t="shared" si="23"/>
        <v>0.56348170279885534</v>
      </c>
      <c r="G73" s="257">
        <f t="shared" si="23"/>
        <v>0.73898897663067997</v>
      </c>
      <c r="H73" s="259">
        <f t="shared" si="23"/>
        <v>0.64762256058670442</v>
      </c>
      <c r="I73" s="257">
        <f t="shared" si="23"/>
        <v>0.63750547984712858</v>
      </c>
      <c r="J73" s="258">
        <f t="shared" si="23"/>
        <v>0.66295325606059641</v>
      </c>
      <c r="K73" s="259">
        <f>SUM(K71:K72)/K74</f>
        <v>0.64762256058670442</v>
      </c>
      <c r="L73" s="257">
        <f>SUM(L71:L72)/L74</f>
        <v>0.63750547984712858</v>
      </c>
      <c r="M73" s="258">
        <f>SUM(M71:M72)/M74</f>
        <v>0.6629532560605963</v>
      </c>
      <c r="N73" s="2150"/>
      <c r="O73" s="2150">
        <f>H73*1000</f>
        <v>647.62256058670437</v>
      </c>
      <c r="P73" s="2150">
        <f t="shared" ref="P73:Q73" si="24">I73*1000</f>
        <v>637.50547984712853</v>
      </c>
      <c r="Q73" s="2150">
        <f t="shared" si="24"/>
        <v>662.95325606059646</v>
      </c>
    </row>
    <row r="74" spans="1:44" x14ac:dyDescent="0.2">
      <c r="C74" s="260" t="s">
        <v>117</v>
      </c>
      <c r="D74" s="261">
        <f t="shared" ref="D74:J74" si="25">SUM(D70:D72)</f>
        <v>4605.3421182733937</v>
      </c>
      <c r="E74" s="261">
        <f t="shared" si="25"/>
        <v>8249.8852749404305</v>
      </c>
      <c r="F74" s="261">
        <f t="shared" si="25"/>
        <v>5509.8606858830908</v>
      </c>
      <c r="G74" s="261">
        <f t="shared" si="25"/>
        <v>6105.9541774267545</v>
      </c>
      <c r="H74" s="263">
        <f t="shared" si="25"/>
        <v>18961.18157064058</v>
      </c>
      <c r="I74" s="2412">
        <f t="shared" si="25"/>
        <v>16221.156981583241</v>
      </c>
      <c r="J74" s="262">
        <f t="shared" si="25"/>
        <v>14419.235348972534</v>
      </c>
      <c r="K74" s="263">
        <f>SUM(K70:K72)</f>
        <v>2506.5590249459233</v>
      </c>
      <c r="L74" s="2412">
        <f>SUM(L70:L72)</f>
        <v>2144.343551364369</v>
      </c>
      <c r="M74" s="262">
        <f>SUM(M70:M72)</f>
        <v>1906.1398870178825</v>
      </c>
      <c r="N74" s="2149"/>
      <c r="O74" s="2149">
        <f t="shared" si="22"/>
        <v>18.96118157064058</v>
      </c>
      <c r="P74" s="2149">
        <f t="shared" ref="P74" si="26">I74/1000</f>
        <v>16.221156981583242</v>
      </c>
      <c r="Q74" s="2149">
        <f t="shared" ref="Q74" si="27">J74/1000</f>
        <v>14.419235348972533</v>
      </c>
    </row>
    <row r="75" spans="1:44" s="76" customFormat="1" x14ac:dyDescent="0.2">
      <c r="A75" s="74"/>
      <c r="B75" s="74"/>
      <c r="C75" s="2076" t="s">
        <v>1308</v>
      </c>
      <c r="D75" s="2439">
        <f>D74/Pop_NSW*1000000</f>
        <v>608.79971042499562</v>
      </c>
      <c r="E75" s="2439">
        <f>E74/Pop_NSW*1000000</f>
        <v>1090.5873304166566</v>
      </c>
      <c r="F75" s="2439">
        <f>F74/Pop_NSW*1000000</f>
        <v>728.37185683510211</v>
      </c>
      <c r="G75" s="2439">
        <f>G74/Pop_NSW*1000000</f>
        <v>807.1719841042709</v>
      </c>
      <c r="H75" s="74"/>
      <c r="I75" s="74"/>
      <c r="J75" s="74"/>
      <c r="K75" s="74"/>
      <c r="L75" s="74"/>
      <c r="M75" s="74"/>
      <c r="N75" s="2076" t="s">
        <v>1146</v>
      </c>
      <c r="O75" s="2076" t="s">
        <v>1147</v>
      </c>
      <c r="P75" s="2076" t="s">
        <v>1148</v>
      </c>
      <c r="Q75" s="2076" t="s">
        <v>1149</v>
      </c>
      <c r="R75" s="2076" t="s">
        <v>1312</v>
      </c>
      <c r="S75" s="74"/>
      <c r="T75" s="74"/>
      <c r="U75" s="74"/>
      <c r="V75" s="75"/>
      <c r="W75" s="74"/>
      <c r="X75" s="74"/>
      <c r="Y75" s="74"/>
      <c r="Z75" s="74"/>
      <c r="AA75" s="74"/>
      <c r="AB75" s="74"/>
      <c r="AC75" s="74"/>
      <c r="AD75" s="74"/>
      <c r="AE75" s="74"/>
      <c r="AF75" s="74"/>
      <c r="AG75" s="74"/>
      <c r="AH75" s="74"/>
      <c r="AI75" s="74"/>
      <c r="AJ75" s="74"/>
      <c r="AK75" s="74"/>
      <c r="AL75" s="74"/>
      <c r="AM75" s="74"/>
      <c r="AN75" s="74"/>
      <c r="AO75" s="74"/>
      <c r="AP75" s="74"/>
      <c r="AQ75" s="74"/>
      <c r="AR75" s="74"/>
    </row>
    <row r="76" spans="1:44" x14ac:dyDescent="0.2">
      <c r="C76" s="76"/>
      <c r="D76" s="76"/>
      <c r="E76" s="76"/>
      <c r="F76" s="76"/>
      <c r="G76" s="76"/>
      <c r="H76" s="76"/>
      <c r="I76" s="76"/>
      <c r="J76" s="76"/>
      <c r="N76" s="2076" t="s">
        <v>1367</v>
      </c>
      <c r="O76" s="2076" t="s">
        <v>1309</v>
      </c>
      <c r="P76" s="2076" t="s">
        <v>1367</v>
      </c>
      <c r="Q76" s="2076" t="s">
        <v>1309</v>
      </c>
      <c r="R76" s="2076" t="s">
        <v>1367</v>
      </c>
      <c r="S76" s="2076" t="s">
        <v>1309</v>
      </c>
    </row>
    <row r="77" spans="1:44" x14ac:dyDescent="0.2">
      <c r="C77" s="941"/>
      <c r="D77" s="2775" t="s">
        <v>410</v>
      </c>
      <c r="E77" s="2775"/>
      <c r="F77" s="2775"/>
      <c r="G77" s="2776"/>
      <c r="H77" s="942"/>
      <c r="I77" s="2788" t="s">
        <v>1311</v>
      </c>
      <c r="J77" s="2775"/>
      <c r="K77" s="2775"/>
      <c r="L77" s="2776"/>
    </row>
    <row r="78" spans="1:44" ht="25.5" x14ac:dyDescent="0.2">
      <c r="C78" s="940"/>
      <c r="D78" s="947" t="s">
        <v>113</v>
      </c>
      <c r="E78" s="947" t="s">
        <v>114</v>
      </c>
      <c r="F78" s="947" t="s">
        <v>38</v>
      </c>
      <c r="G78" s="948" t="s">
        <v>117</v>
      </c>
      <c r="H78" s="949" t="s">
        <v>116</v>
      </c>
      <c r="I78" s="2148" t="s">
        <v>113</v>
      </c>
      <c r="J78" s="947" t="s">
        <v>114</v>
      </c>
      <c r="K78" s="947" t="s">
        <v>38</v>
      </c>
      <c r="L78" s="948" t="s">
        <v>117</v>
      </c>
    </row>
    <row r="79" spans="1:44" s="77" customFormat="1" x14ac:dyDescent="0.2">
      <c r="A79" s="74"/>
      <c r="B79" s="2130" t="s">
        <v>1121</v>
      </c>
      <c r="C79" s="264" t="s">
        <v>25</v>
      </c>
      <c r="D79" s="253">
        <f>G11/1000</f>
        <v>773.0708780098588</v>
      </c>
      <c r="E79" s="253">
        <f>L11/1000</f>
        <v>4719.4943088617229</v>
      </c>
      <c r="F79" s="253">
        <f>T11/1000</f>
        <v>0</v>
      </c>
      <c r="G79" s="254">
        <f t="shared" ref="G79:G87" si="28">SUM(D79:F79)</f>
        <v>5492.5651868715813</v>
      </c>
      <c r="H79" s="938">
        <f t="shared" ref="H79:H87" si="29">SUM(E79:F79)/G79</f>
        <v>0.85925139680496376</v>
      </c>
      <c r="I79" s="255">
        <f>H11</f>
        <v>102.19551872225524</v>
      </c>
      <c r="J79" s="253">
        <f>M11</f>
        <v>623.88997273119946</v>
      </c>
      <c r="K79" s="253">
        <f>U11</f>
        <v>0</v>
      </c>
      <c r="L79" s="254">
        <f>SUM(I79:K79)</f>
        <v>726.08549145345467</v>
      </c>
      <c r="M79" s="74"/>
      <c r="N79" s="74"/>
      <c r="O79" s="74"/>
      <c r="P79" s="74"/>
      <c r="Q79" s="74"/>
      <c r="R79" s="74"/>
      <c r="S79" s="74"/>
      <c r="T79" s="74"/>
      <c r="U79" s="74"/>
      <c r="V79" s="75"/>
      <c r="W79" s="74"/>
      <c r="X79" s="74"/>
      <c r="Y79" s="74"/>
      <c r="Z79" s="74"/>
      <c r="AA79" s="74"/>
      <c r="AB79" s="74"/>
      <c r="AC79" s="74"/>
      <c r="AD79" s="74"/>
      <c r="AE79" s="74"/>
      <c r="AF79" s="74"/>
      <c r="AG79" s="74"/>
      <c r="AH79" s="74"/>
      <c r="AI79" s="74"/>
      <c r="AJ79" s="74"/>
      <c r="AK79" s="74"/>
      <c r="AL79" s="74"/>
      <c r="AM79" s="74"/>
      <c r="AN79" s="74"/>
      <c r="AO79" s="74"/>
      <c r="AP79" s="74"/>
      <c r="AQ79" s="74"/>
      <c r="AR79" s="74"/>
    </row>
    <row r="80" spans="1:44" x14ac:dyDescent="0.2">
      <c r="B80" s="2130" t="s">
        <v>28</v>
      </c>
      <c r="C80" s="264" t="s">
        <v>28</v>
      </c>
      <c r="D80" s="253">
        <f>G15/1000</f>
        <v>145.25177252493114</v>
      </c>
      <c r="E80" s="253">
        <f>L15/1000</f>
        <v>1344.945513242681</v>
      </c>
      <c r="F80" s="253">
        <f>T15/1000</f>
        <v>0</v>
      </c>
      <c r="G80" s="254">
        <f t="shared" si="28"/>
        <v>1490.1972857676121</v>
      </c>
      <c r="H80" s="938">
        <f t="shared" si="29"/>
        <v>0.90252849477570296</v>
      </c>
      <c r="I80" s="255">
        <f>H15</f>
        <v>19.201447966486533</v>
      </c>
      <c r="J80" s="253">
        <f>M15</f>
        <v>177.79405263957278</v>
      </c>
      <c r="K80" s="253">
        <f>U15</f>
        <v>0</v>
      </c>
      <c r="L80" s="254">
        <f t="shared" ref="L80:L87" si="30">SUM(I80:K80)</f>
        <v>196.99550060605932</v>
      </c>
    </row>
    <row r="81" spans="1:50" x14ac:dyDescent="0.2">
      <c r="B81" s="2130" t="s">
        <v>22</v>
      </c>
      <c r="C81" s="264" t="s">
        <v>22</v>
      </c>
      <c r="D81" s="253">
        <f>G21/1000</f>
        <v>1801.6422050122283</v>
      </c>
      <c r="E81" s="253">
        <f>L21/1000</f>
        <v>1654.5324014524585</v>
      </c>
      <c r="F81" s="253">
        <f>T21/1000</f>
        <v>340.66243387575156</v>
      </c>
      <c r="G81" s="254">
        <f t="shared" si="28"/>
        <v>3796.8370403404383</v>
      </c>
      <c r="H81" s="938">
        <f t="shared" si="29"/>
        <v>0.52548866704832653</v>
      </c>
      <c r="I81" s="255">
        <f>H21</f>
        <v>238.16672562691511</v>
      </c>
      <c r="J81" s="253">
        <f>M21</f>
        <v>218.71965665618612</v>
      </c>
      <c r="K81" s="253">
        <f>U21</f>
        <v>45.033612220320151</v>
      </c>
      <c r="L81" s="254">
        <f t="shared" si="30"/>
        <v>501.91999450342138</v>
      </c>
    </row>
    <row r="82" spans="1:50" x14ac:dyDescent="0.2">
      <c r="B82" s="2130" t="s">
        <v>1120</v>
      </c>
      <c r="C82" s="264" t="s">
        <v>20</v>
      </c>
      <c r="D82" s="253">
        <f>G26/1000</f>
        <v>347.41487451596976</v>
      </c>
      <c r="E82" s="253">
        <f>L26/1000</f>
        <v>706.45059291867074</v>
      </c>
      <c r="F82" s="253">
        <f>T26/1000</f>
        <v>109.07909802368268</v>
      </c>
      <c r="G82" s="254">
        <f t="shared" si="28"/>
        <v>1162.9445654583233</v>
      </c>
      <c r="H82" s="938">
        <f t="shared" si="29"/>
        <v>0.70126273871097922</v>
      </c>
      <c r="I82" s="255">
        <f>H26</f>
        <v>45.926245992329264</v>
      </c>
      <c r="J82" s="253">
        <f>M26</f>
        <v>93.388700633537027</v>
      </c>
      <c r="K82" s="253">
        <f>U26</f>
        <v>14.419628680080507</v>
      </c>
      <c r="L82" s="254">
        <f t="shared" si="30"/>
        <v>153.73457530594681</v>
      </c>
    </row>
    <row r="83" spans="1:50" x14ac:dyDescent="0.2">
      <c r="B83" s="2130" t="s">
        <v>32</v>
      </c>
      <c r="C83" s="264" t="s">
        <v>32</v>
      </c>
      <c r="D83" s="253">
        <f>G36/1000</f>
        <v>496.42708083550252</v>
      </c>
      <c r="E83" s="253">
        <f>L36/1000</f>
        <v>91.7</v>
      </c>
      <c r="F83" s="253">
        <f>T36/1000</f>
        <v>0</v>
      </c>
      <c r="G83" s="254">
        <f t="shared" si="28"/>
        <v>588.12708083550251</v>
      </c>
      <c r="H83" s="938">
        <f t="shared" si="29"/>
        <v>0.15591868320317703</v>
      </c>
      <c r="I83" s="255">
        <f>H36</f>
        <v>65.624801653842837</v>
      </c>
      <c r="J83" s="253">
        <f>M36</f>
        <v>12.122211990387893</v>
      </c>
      <c r="K83" s="253">
        <f>U36</f>
        <v>0</v>
      </c>
      <c r="L83" s="254">
        <f t="shared" si="30"/>
        <v>77.747013644230734</v>
      </c>
      <c r="AE83" s="79"/>
      <c r="AF83" s="79"/>
      <c r="AG83" s="79"/>
      <c r="AH83" s="79"/>
      <c r="AI83" s="79"/>
      <c r="AJ83" s="79"/>
    </row>
    <row r="84" spans="1:50" s="77" customFormat="1" x14ac:dyDescent="0.2">
      <c r="A84" s="74"/>
      <c r="B84" s="2130" t="s">
        <v>30</v>
      </c>
      <c r="C84" s="264" t="s">
        <v>30</v>
      </c>
      <c r="D84" s="253">
        <f>G37/1000</f>
        <v>106.49795970083485</v>
      </c>
      <c r="E84" s="253">
        <f>L37/1000</f>
        <v>191.82699508216035</v>
      </c>
      <c r="F84" s="253">
        <f>T37/1000</f>
        <v>0</v>
      </c>
      <c r="G84" s="254">
        <f t="shared" si="28"/>
        <v>298.32495478299518</v>
      </c>
      <c r="H84" s="938">
        <f t="shared" si="29"/>
        <v>0.6430135729734624</v>
      </c>
      <c r="I84" s="255">
        <f>H37</f>
        <v>14.078417056022975</v>
      </c>
      <c r="J84" s="253">
        <f>M37</f>
        <v>25.35842420790669</v>
      </c>
      <c r="K84" s="253">
        <f>U37</f>
        <v>0</v>
      </c>
      <c r="L84" s="254">
        <f t="shared" si="30"/>
        <v>39.436841263929665</v>
      </c>
      <c r="M84" s="74"/>
      <c r="N84" s="74"/>
      <c r="O84" s="74"/>
      <c r="P84" s="74"/>
      <c r="Q84" s="74"/>
      <c r="R84" s="74"/>
      <c r="S84" s="74"/>
      <c r="AB84" s="74"/>
      <c r="AC84" s="74"/>
      <c r="AD84" s="74"/>
      <c r="AE84" s="80"/>
      <c r="AF84" s="80"/>
      <c r="AG84" s="80"/>
      <c r="AH84" s="81"/>
      <c r="AI84" s="81"/>
      <c r="AJ84" s="82"/>
      <c r="AK84" s="74"/>
      <c r="AL84" s="74"/>
      <c r="AM84" s="74"/>
      <c r="AN84" s="74"/>
      <c r="AO84" s="74"/>
      <c r="AP84" s="74"/>
      <c r="AQ84" s="74"/>
      <c r="AR84" s="74"/>
      <c r="AS84" s="74"/>
      <c r="AT84" s="74"/>
      <c r="AU84" s="74"/>
      <c r="AV84" s="74"/>
      <c r="AW84" s="74"/>
      <c r="AX84" s="74"/>
    </row>
    <row r="85" spans="1:50" s="76" customFormat="1" x14ac:dyDescent="0.2">
      <c r="A85" s="74"/>
      <c r="B85" s="2130" t="s">
        <v>27</v>
      </c>
      <c r="C85" s="264" t="s">
        <v>27</v>
      </c>
      <c r="D85" s="253">
        <f>G40/1000</f>
        <v>1189.6515538678175</v>
      </c>
      <c r="E85" s="253">
        <f>L40/1000</f>
        <v>29.568550653760038</v>
      </c>
      <c r="F85" s="253">
        <f>T40/1000</f>
        <v>371.01913039450295</v>
      </c>
      <c r="G85" s="254">
        <f t="shared" si="28"/>
        <v>1590.2392349160805</v>
      </c>
      <c r="H85" s="938">
        <f t="shared" si="29"/>
        <v>0.25190403572793413</v>
      </c>
      <c r="I85" s="255">
        <f>H40</f>
        <v>157.26508539454792</v>
      </c>
      <c r="J85" s="253">
        <f>M40</f>
        <v>3.9087921403860597</v>
      </c>
      <c r="K85" s="253">
        <f>U40</f>
        <v>49.046592705905482</v>
      </c>
      <c r="L85" s="254">
        <f t="shared" si="30"/>
        <v>210.22047024083946</v>
      </c>
      <c r="M85" s="74"/>
      <c r="N85" s="74"/>
      <c r="O85" s="74"/>
      <c r="P85" s="74"/>
      <c r="Q85" s="74"/>
      <c r="R85" s="74"/>
      <c r="S85" s="74"/>
      <c r="AB85" s="74"/>
      <c r="AC85" s="74"/>
      <c r="AD85" s="74"/>
      <c r="AE85" s="80"/>
      <c r="AF85" s="80"/>
      <c r="AG85" s="80"/>
      <c r="AH85" s="81"/>
      <c r="AI85" s="81"/>
      <c r="AJ85" s="82"/>
      <c r="AK85" s="74"/>
      <c r="AL85" s="74"/>
      <c r="AM85" s="74"/>
      <c r="AN85" s="74"/>
      <c r="AO85" s="74"/>
      <c r="AP85" s="74"/>
      <c r="AQ85" s="74"/>
      <c r="AR85" s="74"/>
      <c r="AS85" s="74"/>
      <c r="AT85" s="74"/>
      <c r="AU85" s="74"/>
      <c r="AV85" s="74"/>
      <c r="AW85" s="74"/>
      <c r="AX85" s="74"/>
    </row>
    <row r="86" spans="1:50" s="76" customFormat="1" x14ac:dyDescent="0.2">
      <c r="A86" s="74"/>
      <c r="B86" s="2130" t="s">
        <v>1370</v>
      </c>
      <c r="C86" s="264" t="s">
        <v>35</v>
      </c>
      <c r="D86" s="253">
        <f>SUM(G58:G59)/1000</f>
        <v>1020.1241918962741</v>
      </c>
      <c r="E86" s="253">
        <f>SUM(L58:L59)/1000</f>
        <v>781.79744071442337</v>
      </c>
      <c r="F86" s="253">
        <f>SUM(U58:U59)/1000</f>
        <v>1.2002091564209033E-15</v>
      </c>
      <c r="G86" s="254">
        <f t="shared" si="28"/>
        <v>1801.9216326106975</v>
      </c>
      <c r="H86" s="938">
        <f t="shared" si="29"/>
        <v>0.43386872468017568</v>
      </c>
      <c r="I86" s="255">
        <f>SUM(H58:H59)</f>
        <v>134.85454428233123</v>
      </c>
      <c r="J86" s="253">
        <f>SUM(M58:M59)</f>
        <v>103.34912006415433</v>
      </c>
      <c r="K86" s="253">
        <f>SUM(U58:U59)</f>
        <v>1.2002091564209034E-12</v>
      </c>
      <c r="L86" s="254">
        <f t="shared" si="30"/>
        <v>238.20366434648676</v>
      </c>
      <c r="M86" s="74"/>
      <c r="N86" s="74"/>
      <c r="O86" s="74"/>
      <c r="P86" s="74"/>
      <c r="Q86" s="74"/>
      <c r="R86" s="74"/>
      <c r="S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row>
    <row r="87" spans="1:50" x14ac:dyDescent="0.2">
      <c r="B87" s="2130" t="s">
        <v>2</v>
      </c>
      <c r="C87" s="265" t="s">
        <v>2</v>
      </c>
      <c r="D87" s="261">
        <f>G60/1000</f>
        <v>801.41209374948153</v>
      </c>
      <c r="E87" s="261">
        <f>L60/1000</f>
        <v>1938.6124953078597</v>
      </c>
      <c r="F87" s="261">
        <f>T60/1000</f>
        <v>0</v>
      </c>
      <c r="G87" s="266">
        <f t="shared" si="28"/>
        <v>2740.0245890573415</v>
      </c>
      <c r="H87" s="939">
        <f t="shared" si="29"/>
        <v>0.70751645917703465</v>
      </c>
      <c r="I87" s="1677">
        <f>H60</f>
        <v>105.94206425400033</v>
      </c>
      <c r="J87" s="261">
        <f>M60</f>
        <v>256.27340932755425</v>
      </c>
      <c r="K87" s="261">
        <f>U60</f>
        <v>0</v>
      </c>
      <c r="L87" s="266">
        <f t="shared" si="30"/>
        <v>362.21547358155459</v>
      </c>
      <c r="AB87" s="76"/>
      <c r="AC87" s="76"/>
      <c r="AE87" s="76"/>
      <c r="AF87" s="76"/>
      <c r="AG87" s="76"/>
      <c r="AH87" s="76"/>
      <c r="AI87" s="76"/>
      <c r="AJ87" s="76"/>
      <c r="AK87" s="76"/>
      <c r="AL87" s="76"/>
      <c r="AM87" s="76"/>
      <c r="AN87" s="76"/>
      <c r="AO87" s="76"/>
      <c r="AP87" s="76"/>
      <c r="AQ87" s="76"/>
      <c r="AR87" s="76"/>
      <c r="AS87" s="76"/>
      <c r="AT87" s="76"/>
      <c r="AU87" s="76"/>
      <c r="AV87" s="76"/>
      <c r="AW87" s="76"/>
      <c r="AX87" s="76"/>
    </row>
    <row r="88" spans="1:50" x14ac:dyDescent="0.2">
      <c r="C88" s="2240" t="s">
        <v>1438</v>
      </c>
      <c r="D88" s="2331">
        <f>D16/1000</f>
        <v>556.21338979349832</v>
      </c>
      <c r="E88" s="2331">
        <f>I16/1000</f>
        <v>89.193006109267571</v>
      </c>
      <c r="F88" s="2331">
        <f>Q16/1000</f>
        <v>181.251879726266</v>
      </c>
      <c r="G88" s="2422">
        <f t="shared" ref="G88" si="31">SUM(D88:F88)</f>
        <v>826.65827562903189</v>
      </c>
      <c r="H88" s="2566">
        <f>SUM(E88:F88)/G88</f>
        <v>0.32715439233913557</v>
      </c>
      <c r="I88" s="2567"/>
      <c r="J88" s="2331"/>
      <c r="K88" s="2331"/>
      <c r="L88" s="1652"/>
    </row>
    <row r="89" spans="1:50" s="76" customFormat="1" x14ac:dyDescent="0.2">
      <c r="A89" s="74"/>
      <c r="B89" s="74"/>
      <c r="C89" s="1641" t="s">
        <v>1439</v>
      </c>
      <c r="D89" s="2314">
        <f>G16/1000</f>
        <v>708.39185103284092</v>
      </c>
      <c r="E89" s="2314">
        <f>L16/1000</f>
        <v>132.76151705814397</v>
      </c>
      <c r="F89" s="2314">
        <f>T16/1000</f>
        <v>261.08543896477642</v>
      </c>
      <c r="G89" s="254">
        <f t="shared" ref="G89:G91" si="32">SUM(D89:F89)</f>
        <v>1102.2388070557613</v>
      </c>
      <c r="H89" s="938">
        <f>SUM(E89:F89)/G89</f>
        <v>0.35731545060996567</v>
      </c>
      <c r="I89" s="2568"/>
      <c r="J89" s="2314"/>
      <c r="K89" s="2314"/>
      <c r="L89" s="253"/>
      <c r="M89" s="74"/>
      <c r="N89" s="74"/>
      <c r="O89" s="74"/>
      <c r="P89" s="74"/>
      <c r="Q89" s="74"/>
      <c r="R89" s="74"/>
      <c r="S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row>
    <row r="90" spans="1:50" x14ac:dyDescent="0.2">
      <c r="C90" s="1641" t="s">
        <v>1437</v>
      </c>
      <c r="D90" s="2314">
        <f>(SUMIFS('Basel data'!$E$8:$E$604,'Basel data'!$C$8:$C$604,"K100",'Basel data'!$G$8:$G$604,"new south wales")+SUMIFS('Basel data'!$F$8:$F$604,'Basel data'!$C$8:$C$604,"K100",'Basel data'!$G$8:$G$604,"new south wales")+SUMIFS('Basel data'!$E$8:$E$604,'Basel data'!$C$8:$C$604,"K110",'Basel data'!$G$8:$G$604,"new south wales")+SUMIFS('Basel data'!$F$8:$F$604,'Basel data'!$C$8:$C$604,"K110",'Basel data'!$G$8:$G$604,"new south wales"))*(1-SUM('Other national data'!M432:N432))/1000</f>
        <v>12.658686348461082</v>
      </c>
      <c r="E90" s="2314">
        <f>(SUMIFS('Basel data'!$E$8:$E$604,'Basel data'!$C$8:$C$604,"K100",'Basel data'!$G$8:$G$604,"new south wales")+SUMIFS('Basel data'!$F$8:$F$604,'Basel data'!$C$8:$C$604,"K100",'Basel data'!$G$8:$G$604,"new south wales")+SUMIFS('Basel data'!$E$8:$E$604,'Basel data'!$C$8:$C$604,"K110",'Basel data'!$G$8:$G$604,"new south wales")+SUMIFS('Basel data'!$F$8:$F$604,'Basel data'!$C$8:$C$604,"K110",'Basel data'!$G$8:$G$604,"new south wales"))*'Other national data'!M432/1000</f>
        <v>237.92998966099438</v>
      </c>
      <c r="F90" s="2314">
        <f>(SUMIFS('Basel data'!$E$8:$E$604,'Basel data'!$C$8:$C$604,"K100",'Basel data'!$G$8:$G$604,"new south wales")+SUMIFS('Basel data'!$F$8:$F$604,'Basel data'!$C$8:$C$604,"K100",'Basel data'!$G$8:$G$604,"new south wales")+SUMIFS('Basel data'!$E$8:$E$604,'Basel data'!$C$8:$C$604,"K110",'Basel data'!$G$8:$G$604,"new south wales")+SUMIFS('Basel data'!$F$8:$F$604,'Basel data'!$C$8:$C$604,"K110",'Basel data'!$G$8:$G$604,"new south wales"))*'Other national data'!N432/1000</f>
        <v>2.5058867600945799E-12</v>
      </c>
      <c r="G90" s="254">
        <f t="shared" si="32"/>
        <v>250.58867600945797</v>
      </c>
      <c r="H90" s="938">
        <f>SUM(E90:F90)/G90</f>
        <v>0.94948420435413727</v>
      </c>
      <c r="I90" s="2568"/>
      <c r="J90" s="2314"/>
      <c r="K90" s="2314"/>
      <c r="L90" s="253"/>
    </row>
    <row r="91" spans="1:50" x14ac:dyDescent="0.2">
      <c r="C91" s="2049" t="s">
        <v>1436</v>
      </c>
      <c r="D91" s="2315">
        <f>SUM(D89:D90)</f>
        <v>721.05053738130198</v>
      </c>
      <c r="E91" s="2315">
        <f t="shared" ref="E91:F91" si="33">SUM(E89:E90)</f>
        <v>370.69150671913837</v>
      </c>
      <c r="F91" s="2315">
        <f t="shared" si="33"/>
        <v>261.08543896477892</v>
      </c>
      <c r="G91" s="266">
        <f t="shared" si="32"/>
        <v>1352.8274830652192</v>
      </c>
      <c r="H91" s="939">
        <f>SUM(E91:F91)/G91</f>
        <v>0.46700481295105362</v>
      </c>
      <c r="AB91" s="76"/>
      <c r="AC91" s="76"/>
      <c r="AE91" s="76"/>
      <c r="AF91" s="76"/>
      <c r="AG91" s="76"/>
      <c r="AH91" s="76"/>
      <c r="AI91" s="76"/>
      <c r="AJ91" s="76"/>
      <c r="AK91" s="76"/>
      <c r="AL91" s="76"/>
      <c r="AM91" s="76"/>
      <c r="AN91" s="76"/>
      <c r="AO91" s="76"/>
      <c r="AP91" s="76"/>
      <c r="AQ91" s="76"/>
      <c r="AR91" s="76"/>
      <c r="AS91" s="76"/>
      <c r="AT91" s="76"/>
      <c r="AU91" s="76"/>
      <c r="AV91" s="76"/>
      <c r="AW91" s="76"/>
      <c r="AX91" s="76"/>
    </row>
    <row r="93" spans="1:50" x14ac:dyDescent="0.2">
      <c r="C93" s="1629" t="s">
        <v>342</v>
      </c>
      <c r="D93" s="253">
        <f>SUM(G11,G15,G21,G26,G36,G37,G40,G52:G53,N63:P63)/1000</f>
        <v>6470.7352739317203</v>
      </c>
    </row>
    <row r="94" spans="1:50" s="76" customFormat="1" x14ac:dyDescent="0.2">
      <c r="A94" s="74"/>
      <c r="B94" s="74"/>
      <c r="C94" s="74"/>
      <c r="D94" s="74"/>
      <c r="G94" s="74"/>
      <c r="H94" s="74"/>
      <c r="I94" s="74"/>
      <c r="J94" s="74"/>
      <c r="K94" s="74"/>
      <c r="L94" s="74"/>
      <c r="M94" s="74"/>
      <c r="N94" s="74"/>
      <c r="O94" s="74"/>
      <c r="P94" s="74"/>
      <c r="Q94" s="74"/>
      <c r="R94" s="74"/>
      <c r="S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row>
    <row r="95" spans="1:50" s="76" customFormat="1" x14ac:dyDescent="0.2">
      <c r="A95" s="74"/>
      <c r="B95" s="74"/>
      <c r="C95" s="74"/>
      <c r="D95" s="74"/>
      <c r="E95" s="74"/>
      <c r="F95" s="74"/>
      <c r="G95" s="74"/>
      <c r="H95" s="74"/>
      <c r="I95" s="74"/>
      <c r="J95" s="74"/>
      <c r="K95" s="74"/>
      <c r="L95" s="74"/>
      <c r="M95" s="74"/>
      <c r="N95" s="74"/>
      <c r="O95" s="74"/>
      <c r="P95" s="74"/>
      <c r="Q95" s="74"/>
      <c r="R95" s="74"/>
      <c r="S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row>
    <row r="97" spans="1:50" x14ac:dyDescent="0.2">
      <c r="AB97" s="76"/>
      <c r="AC97" s="76"/>
      <c r="AE97" s="76"/>
      <c r="AF97" s="76"/>
      <c r="AG97" s="76"/>
      <c r="AH97" s="76"/>
      <c r="AI97" s="76"/>
      <c r="AJ97" s="76"/>
      <c r="AK97" s="76"/>
      <c r="AL97" s="76"/>
      <c r="AM97" s="76"/>
      <c r="AN97" s="76"/>
      <c r="AO97" s="76"/>
      <c r="AP97" s="76"/>
      <c r="AQ97" s="76"/>
      <c r="AR97" s="76"/>
      <c r="AS97" s="76"/>
      <c r="AT97" s="76"/>
      <c r="AU97" s="76"/>
      <c r="AV97" s="76"/>
      <c r="AW97" s="76"/>
      <c r="AX97" s="76"/>
    </row>
    <row r="102" spans="1:50" ht="12.75" customHeight="1" x14ac:dyDescent="0.2">
      <c r="AB102" s="76"/>
      <c r="AC102" s="76"/>
      <c r="AE102" s="76"/>
      <c r="AF102" s="76"/>
      <c r="AG102" s="76"/>
      <c r="AH102" s="76"/>
      <c r="AI102" s="76"/>
      <c r="AJ102" s="76"/>
      <c r="AK102" s="76"/>
      <c r="AL102" s="76"/>
      <c r="AM102" s="76"/>
      <c r="AN102" s="76"/>
      <c r="AO102" s="76"/>
      <c r="AP102" s="76"/>
      <c r="AQ102" s="76"/>
      <c r="AR102" s="76"/>
      <c r="AS102" s="76"/>
      <c r="AT102" s="76"/>
      <c r="AU102" s="76"/>
      <c r="AV102" s="76"/>
      <c r="AW102" s="76"/>
      <c r="AX102" s="76"/>
    </row>
    <row r="103" spans="1:50" x14ac:dyDescent="0.2">
      <c r="V103" s="74"/>
    </row>
    <row r="104" spans="1:50" x14ac:dyDescent="0.2">
      <c r="V104" s="74"/>
    </row>
    <row r="105" spans="1:50" x14ac:dyDescent="0.2">
      <c r="V105" s="74"/>
    </row>
    <row r="106" spans="1:50" x14ac:dyDescent="0.2">
      <c r="T106" s="77"/>
      <c r="U106" s="77"/>
      <c r="V106" s="77"/>
      <c r="W106" s="77"/>
      <c r="X106" s="77"/>
      <c r="Y106" s="77"/>
      <c r="Z106" s="77"/>
      <c r="AA106" s="77"/>
      <c r="AB106" s="77"/>
      <c r="AC106" s="77"/>
      <c r="AE106" s="77"/>
      <c r="AF106" s="77"/>
      <c r="AG106" s="77"/>
      <c r="AH106" s="77"/>
      <c r="AI106" s="77"/>
      <c r="AJ106" s="77"/>
      <c r="AK106" s="77"/>
      <c r="AL106" s="77"/>
      <c r="AM106" s="77"/>
      <c r="AN106" s="77"/>
      <c r="AO106" s="77"/>
      <c r="AP106" s="77"/>
      <c r="AQ106" s="77"/>
      <c r="AR106" s="77"/>
      <c r="AS106" s="77"/>
      <c r="AT106" s="77"/>
      <c r="AU106" s="77"/>
      <c r="AV106" s="77"/>
      <c r="AW106" s="77"/>
      <c r="AX106" s="77"/>
    </row>
    <row r="107" spans="1:50" s="76" customFormat="1" x14ac:dyDescent="0.2">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row>
    <row r="108" spans="1:50" x14ac:dyDescent="0.2">
      <c r="V108" s="74"/>
    </row>
    <row r="109" spans="1:50" x14ac:dyDescent="0.2">
      <c r="V109" s="74"/>
    </row>
    <row r="110" spans="1:50" x14ac:dyDescent="0.2">
      <c r="V110" s="74"/>
    </row>
    <row r="111" spans="1:50" s="76" customFormat="1" x14ac:dyDescent="0.2">
      <c r="A111" s="74"/>
      <c r="B111" s="74"/>
      <c r="C111" s="74"/>
      <c r="D111" s="74"/>
      <c r="E111" s="74"/>
      <c r="F111" s="74"/>
      <c r="G111" s="74"/>
      <c r="H111" s="74"/>
      <c r="I111" s="74"/>
      <c r="J111" s="74"/>
      <c r="K111" s="74"/>
      <c r="L111" s="74"/>
      <c r="M111" s="74"/>
      <c r="N111" s="74"/>
      <c r="O111" s="74"/>
      <c r="P111" s="74"/>
      <c r="Q111" s="74"/>
      <c r="R111" s="74"/>
      <c r="S111" s="74"/>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row>
    <row r="112" spans="1:50" x14ac:dyDescent="0.2">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row>
    <row r="113" spans="1:50" x14ac:dyDescent="0.2">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row>
    <row r="114" spans="1:50" x14ac:dyDescent="0.2">
      <c r="V114" s="74"/>
    </row>
    <row r="115" spans="1:50" x14ac:dyDescent="0.2">
      <c r="V115" s="74"/>
    </row>
    <row r="116" spans="1:50" x14ac:dyDescent="0.2">
      <c r="T116" s="76"/>
      <c r="U116" s="76"/>
      <c r="V116" s="76"/>
      <c r="W116" s="76"/>
      <c r="X116" s="76"/>
      <c r="Y116" s="76"/>
      <c r="Z116" s="76"/>
      <c r="AA116" s="76"/>
      <c r="AB116" s="76"/>
      <c r="AC116" s="76"/>
      <c r="AD116" s="76"/>
      <c r="AE116" s="76"/>
      <c r="AS116" s="76"/>
      <c r="AT116" s="76"/>
      <c r="AU116" s="76"/>
      <c r="AV116" s="76"/>
      <c r="AW116" s="76"/>
      <c r="AX116" s="76"/>
    </row>
    <row r="117" spans="1:50" s="76" customFormat="1" x14ac:dyDescent="0.2">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row>
    <row r="118" spans="1:50" x14ac:dyDescent="0.2">
      <c r="V118" s="74"/>
    </row>
    <row r="119" spans="1:50" x14ac:dyDescent="0.2">
      <c r="V119" s="74"/>
    </row>
    <row r="120" spans="1:50" x14ac:dyDescent="0.2">
      <c r="V120" s="74"/>
    </row>
    <row r="122" spans="1:50" s="76" customFormat="1" x14ac:dyDescent="0.2">
      <c r="A122" s="74"/>
      <c r="B122" s="74"/>
      <c r="C122" s="74"/>
      <c r="D122" s="74"/>
      <c r="E122" s="74"/>
      <c r="F122" s="74"/>
      <c r="G122" s="74"/>
      <c r="H122" s="74"/>
      <c r="I122" s="74"/>
      <c r="J122" s="74"/>
      <c r="K122" s="74"/>
      <c r="L122" s="74"/>
      <c r="M122" s="74"/>
      <c r="N122" s="74"/>
      <c r="O122" s="74"/>
      <c r="P122" s="74"/>
      <c r="Q122" s="74"/>
      <c r="R122" s="74"/>
      <c r="S122" s="74"/>
      <c r="T122" s="74"/>
      <c r="U122" s="74"/>
      <c r="V122" s="75"/>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6" spans="1:50" s="77" customFormat="1" x14ac:dyDescent="0.2">
      <c r="A126" s="74"/>
      <c r="B126" s="74"/>
      <c r="C126" s="74"/>
      <c r="D126" s="74"/>
      <c r="E126" s="74"/>
      <c r="F126" s="74"/>
      <c r="G126" s="74"/>
      <c r="H126" s="74"/>
      <c r="I126" s="74"/>
      <c r="J126" s="74"/>
      <c r="K126" s="74"/>
      <c r="L126" s="74"/>
      <c r="M126" s="74"/>
      <c r="N126" s="74"/>
      <c r="O126" s="74"/>
      <c r="P126" s="74"/>
      <c r="Q126" s="74"/>
      <c r="R126" s="74"/>
      <c r="S126" s="74"/>
      <c r="T126" s="74"/>
      <c r="U126" s="74"/>
      <c r="V126" s="75"/>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31" spans="1:44" s="77" customFormat="1" x14ac:dyDescent="0.2">
      <c r="A131" s="74"/>
      <c r="B131" s="74"/>
      <c r="C131" s="74"/>
      <c r="D131" s="74"/>
      <c r="E131" s="74"/>
      <c r="F131" s="74"/>
      <c r="G131" s="74"/>
      <c r="H131" s="74"/>
      <c r="I131" s="74"/>
      <c r="J131" s="74"/>
      <c r="K131" s="74"/>
      <c r="L131" s="74"/>
      <c r="M131" s="74"/>
      <c r="N131" s="74"/>
      <c r="O131" s="74"/>
      <c r="P131" s="74"/>
      <c r="Q131" s="74"/>
      <c r="R131" s="74"/>
      <c r="S131" s="74"/>
      <c r="T131" s="74"/>
      <c r="U131" s="74"/>
      <c r="V131" s="75"/>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spans="1:44" s="76" customFormat="1" x14ac:dyDescent="0.2">
      <c r="A132" s="74"/>
      <c r="B132" s="74"/>
      <c r="C132" s="74"/>
      <c r="D132" s="74"/>
      <c r="E132" s="74"/>
      <c r="F132" s="74"/>
      <c r="G132" s="74"/>
      <c r="H132" s="74"/>
      <c r="I132" s="74"/>
      <c r="J132" s="74"/>
      <c r="K132" s="74"/>
      <c r="L132" s="74"/>
      <c r="M132" s="74"/>
      <c r="N132" s="74"/>
      <c r="O132" s="74"/>
      <c r="P132" s="74"/>
      <c r="Q132" s="74"/>
      <c r="R132" s="74"/>
      <c r="S132" s="74"/>
      <c r="T132" s="74"/>
      <c r="U132" s="74"/>
      <c r="V132" s="75"/>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spans="1:44" s="76" customFormat="1" x14ac:dyDescent="0.2">
      <c r="A133" s="74"/>
      <c r="B133" s="74"/>
      <c r="C133" s="74"/>
      <c r="D133" s="74"/>
      <c r="E133" s="74"/>
      <c r="F133" s="74"/>
      <c r="G133" s="74"/>
      <c r="H133" s="74"/>
      <c r="I133" s="74"/>
      <c r="J133" s="74"/>
      <c r="K133" s="74"/>
      <c r="L133" s="74"/>
      <c r="M133" s="74"/>
      <c r="N133" s="74"/>
      <c r="O133" s="74"/>
      <c r="P133" s="74"/>
      <c r="Q133" s="74"/>
      <c r="R133" s="74"/>
      <c r="S133" s="74"/>
      <c r="T133" s="74"/>
      <c r="U133" s="74"/>
      <c r="V133" s="75"/>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6" spans="1:44" s="76" customFormat="1" x14ac:dyDescent="0.2">
      <c r="A136" s="74"/>
      <c r="B136" s="74"/>
      <c r="C136" s="74"/>
      <c r="D136" s="74"/>
      <c r="E136" s="74"/>
      <c r="F136" s="74"/>
      <c r="G136" s="74"/>
      <c r="H136" s="74"/>
      <c r="I136" s="74"/>
      <c r="J136" s="74"/>
      <c r="K136" s="74"/>
      <c r="L136" s="74"/>
      <c r="M136" s="74"/>
      <c r="N136" s="74"/>
      <c r="O136" s="74"/>
      <c r="P136" s="74"/>
      <c r="Q136" s="74"/>
      <c r="R136" s="74"/>
      <c r="S136" s="74"/>
      <c r="T136" s="74"/>
      <c r="U136" s="74"/>
      <c r="V136" s="75"/>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spans="1:44" x14ac:dyDescent="0.2">
      <c r="AJ137" s="76"/>
      <c r="AK137" s="76"/>
      <c r="AL137" s="76"/>
      <c r="AM137" s="76"/>
      <c r="AN137" s="76"/>
      <c r="AO137" s="76"/>
      <c r="AP137" s="76"/>
      <c r="AQ137" s="76"/>
    </row>
    <row r="141" spans="1:44" s="76" customFormat="1" x14ac:dyDescent="0.2">
      <c r="A141" s="74"/>
      <c r="B141" s="74"/>
      <c r="C141" s="74"/>
      <c r="D141" s="74"/>
      <c r="E141" s="74"/>
      <c r="F141" s="74"/>
      <c r="G141" s="74"/>
      <c r="H141" s="74"/>
      <c r="I141" s="74"/>
      <c r="J141" s="74"/>
      <c r="K141" s="74"/>
      <c r="L141" s="74"/>
      <c r="M141" s="74"/>
      <c r="N141" s="74"/>
      <c r="O141" s="74"/>
      <c r="P141" s="74"/>
      <c r="Q141" s="74"/>
      <c r="R141" s="74"/>
      <c r="S141" s="74"/>
      <c r="T141" s="74"/>
      <c r="U141" s="74"/>
      <c r="V141" s="75"/>
      <c r="W141" s="74"/>
      <c r="X141" s="74"/>
      <c r="Y141" s="74"/>
      <c r="Z141" s="74"/>
      <c r="AA141" s="74"/>
      <c r="AB141" s="74"/>
      <c r="AC141" s="74"/>
      <c r="AD141" s="74"/>
      <c r="AE141" s="74"/>
      <c r="AJ141" s="74"/>
      <c r="AK141" s="74"/>
      <c r="AL141" s="74"/>
      <c r="AM141" s="74"/>
      <c r="AN141" s="74"/>
      <c r="AO141" s="74"/>
      <c r="AP141" s="74"/>
      <c r="AQ141" s="74"/>
    </row>
    <row r="142" spans="1:44" s="76" customFormat="1" x14ac:dyDescent="0.2">
      <c r="A142" s="74"/>
      <c r="B142" s="74"/>
      <c r="C142" s="74"/>
      <c r="D142" s="74"/>
      <c r="E142" s="74"/>
      <c r="F142" s="74"/>
      <c r="G142" s="74"/>
      <c r="H142" s="74"/>
      <c r="I142" s="74"/>
      <c r="J142" s="74"/>
      <c r="K142" s="74"/>
      <c r="L142" s="74"/>
      <c r="M142" s="74"/>
      <c r="N142" s="74"/>
      <c r="O142" s="74"/>
      <c r="P142" s="74"/>
      <c r="Q142" s="74"/>
      <c r="R142" s="74"/>
      <c r="S142" s="74"/>
      <c r="T142" s="74"/>
      <c r="U142" s="74"/>
      <c r="V142" s="75"/>
      <c r="W142" s="74"/>
      <c r="X142" s="74"/>
      <c r="Y142" s="74"/>
      <c r="Z142" s="74"/>
      <c r="AA142" s="74"/>
      <c r="AB142" s="74"/>
      <c r="AC142" s="74"/>
      <c r="AD142" s="74"/>
      <c r="AE142" s="74"/>
    </row>
    <row r="143" spans="1:44" x14ac:dyDescent="0.2">
      <c r="AJ143" s="76"/>
      <c r="AK143" s="76"/>
      <c r="AL143" s="76"/>
      <c r="AM143" s="76"/>
      <c r="AN143" s="76"/>
      <c r="AO143" s="76"/>
      <c r="AP143" s="76"/>
      <c r="AQ143" s="76"/>
    </row>
    <row r="149" spans="1:43" ht="12.75" customHeight="1" x14ac:dyDescent="0.2">
      <c r="AF149" s="78"/>
      <c r="AG149" s="78"/>
      <c r="AH149" s="78"/>
      <c r="AI149" s="78"/>
    </row>
    <row r="150" spans="1:43" x14ac:dyDescent="0.2">
      <c r="AF150" s="79"/>
      <c r="AG150" s="79"/>
      <c r="AH150" s="79"/>
      <c r="AI150" s="79"/>
      <c r="AJ150" s="78"/>
    </row>
    <row r="151" spans="1:43" x14ac:dyDescent="0.2">
      <c r="AF151" s="80"/>
      <c r="AG151" s="80"/>
      <c r="AH151" s="81"/>
      <c r="AI151" s="81"/>
      <c r="AJ151" s="79"/>
    </row>
    <row r="152" spans="1:43" x14ac:dyDescent="0.2">
      <c r="AF152" s="80"/>
      <c r="AG152" s="80"/>
      <c r="AH152" s="81"/>
      <c r="AI152" s="81"/>
      <c r="AJ152" s="82"/>
    </row>
    <row r="153" spans="1:43" x14ac:dyDescent="0.2">
      <c r="AJ153" s="82"/>
    </row>
    <row r="154" spans="1:43" s="76" customFormat="1" x14ac:dyDescent="0.2">
      <c r="A154" s="74"/>
      <c r="B154" s="74"/>
      <c r="C154" s="74"/>
      <c r="D154" s="74"/>
      <c r="E154" s="74"/>
      <c r="F154" s="74"/>
      <c r="G154" s="74"/>
      <c r="H154" s="74"/>
      <c r="I154" s="74"/>
      <c r="J154" s="74"/>
      <c r="K154" s="74"/>
      <c r="L154" s="74"/>
      <c r="M154" s="74"/>
      <c r="N154" s="74"/>
      <c r="O154" s="74"/>
      <c r="P154" s="74"/>
      <c r="Q154" s="74"/>
      <c r="R154" s="74"/>
      <c r="S154" s="74"/>
      <c r="T154" s="74"/>
      <c r="U154" s="74"/>
      <c r="V154" s="75"/>
      <c r="W154" s="74"/>
      <c r="X154" s="74"/>
      <c r="Y154" s="74"/>
      <c r="Z154" s="74"/>
      <c r="AA154" s="74"/>
      <c r="AB154" s="74"/>
      <c r="AC154" s="74"/>
      <c r="AD154" s="74"/>
      <c r="AE154" s="74"/>
      <c r="AJ154" s="74"/>
      <c r="AK154" s="74"/>
      <c r="AL154" s="74"/>
      <c r="AM154" s="74"/>
      <c r="AN154" s="74"/>
      <c r="AO154" s="74"/>
      <c r="AP154" s="74"/>
      <c r="AQ154" s="74"/>
    </row>
    <row r="155" spans="1:43" x14ac:dyDescent="0.2">
      <c r="AJ155" s="76"/>
      <c r="AK155" s="76"/>
      <c r="AL155" s="76"/>
      <c r="AM155" s="76"/>
      <c r="AN155" s="76"/>
      <c r="AO155" s="76"/>
      <c r="AP155" s="76"/>
      <c r="AQ155" s="76"/>
    </row>
    <row r="158" spans="1:43" s="76" customFormat="1" x14ac:dyDescent="0.2">
      <c r="A158" s="74"/>
      <c r="B158" s="74"/>
      <c r="C158" s="74"/>
      <c r="D158" s="74"/>
      <c r="E158" s="74"/>
      <c r="F158" s="74"/>
      <c r="G158" s="74"/>
      <c r="H158" s="74"/>
      <c r="I158" s="74"/>
      <c r="J158" s="74"/>
      <c r="K158" s="74"/>
      <c r="L158" s="74"/>
      <c r="M158" s="74"/>
      <c r="N158" s="74"/>
      <c r="O158" s="74"/>
      <c r="P158" s="74"/>
      <c r="Q158" s="74"/>
      <c r="R158" s="74"/>
      <c r="S158" s="74"/>
      <c r="T158" s="74"/>
      <c r="U158" s="74"/>
      <c r="V158" s="75"/>
      <c r="W158" s="74"/>
      <c r="X158" s="74"/>
      <c r="Y158" s="74"/>
      <c r="Z158" s="74"/>
      <c r="AA158" s="74"/>
      <c r="AB158" s="74"/>
      <c r="AC158" s="74"/>
      <c r="AD158" s="74"/>
      <c r="AE158" s="74"/>
      <c r="AJ158" s="74"/>
      <c r="AK158" s="74"/>
      <c r="AL158" s="74"/>
      <c r="AM158" s="74"/>
      <c r="AN158" s="74"/>
      <c r="AO158" s="74"/>
      <c r="AP158" s="74"/>
      <c r="AQ158" s="74"/>
    </row>
    <row r="159" spans="1:43" x14ac:dyDescent="0.2">
      <c r="AJ159" s="76"/>
      <c r="AK159" s="76"/>
      <c r="AL159" s="76"/>
      <c r="AM159" s="76"/>
      <c r="AN159" s="76"/>
      <c r="AO159" s="76"/>
      <c r="AP159" s="76"/>
      <c r="AQ159" s="76"/>
    </row>
    <row r="164" spans="1:43" s="76" customFormat="1" x14ac:dyDescent="0.2">
      <c r="A164" s="74"/>
      <c r="B164" s="74"/>
      <c r="C164" s="74"/>
      <c r="D164" s="74"/>
      <c r="E164" s="74"/>
      <c r="F164" s="74"/>
      <c r="G164" s="74"/>
      <c r="H164" s="74"/>
      <c r="I164" s="74"/>
      <c r="J164" s="74"/>
      <c r="K164" s="74"/>
      <c r="L164" s="74"/>
      <c r="M164" s="74"/>
      <c r="N164" s="74"/>
      <c r="O164" s="74"/>
      <c r="P164" s="74"/>
      <c r="Q164" s="74"/>
      <c r="R164" s="74"/>
      <c r="S164" s="74"/>
      <c r="T164" s="74"/>
      <c r="U164" s="74"/>
      <c r="V164" s="75"/>
      <c r="W164" s="74"/>
      <c r="X164" s="74"/>
      <c r="Y164" s="74"/>
      <c r="Z164" s="74"/>
      <c r="AA164" s="74"/>
      <c r="AB164" s="74"/>
      <c r="AC164" s="74"/>
      <c r="AD164" s="74"/>
      <c r="AE164" s="74"/>
      <c r="AJ164" s="74"/>
      <c r="AK164" s="74"/>
      <c r="AL164" s="74"/>
      <c r="AM164" s="74"/>
      <c r="AN164" s="74"/>
      <c r="AO164" s="74"/>
      <c r="AP164" s="74"/>
      <c r="AQ164" s="74"/>
    </row>
    <row r="165" spans="1:43" x14ac:dyDescent="0.2">
      <c r="AJ165" s="76"/>
      <c r="AK165" s="76"/>
      <c r="AL165" s="76"/>
      <c r="AM165" s="76"/>
      <c r="AN165" s="76"/>
      <c r="AO165" s="76"/>
      <c r="AP165" s="76"/>
      <c r="AQ165" s="76"/>
    </row>
    <row r="169" spans="1:43" s="76" customFormat="1" x14ac:dyDescent="0.2">
      <c r="A169" s="74"/>
      <c r="B169" s="74"/>
      <c r="C169" s="74"/>
      <c r="D169" s="74"/>
      <c r="E169" s="74"/>
      <c r="F169" s="74"/>
      <c r="G169" s="74"/>
      <c r="H169" s="74"/>
      <c r="I169" s="74"/>
      <c r="J169" s="74"/>
      <c r="K169" s="74"/>
      <c r="L169" s="74"/>
      <c r="M169" s="74"/>
      <c r="N169" s="74"/>
      <c r="O169" s="74"/>
      <c r="P169" s="74"/>
      <c r="Q169" s="74"/>
      <c r="R169" s="74"/>
      <c r="S169" s="74"/>
      <c r="T169" s="74"/>
      <c r="U169" s="74"/>
      <c r="V169" s="75"/>
      <c r="W169" s="74"/>
      <c r="X169" s="74"/>
      <c r="Y169" s="74"/>
      <c r="Z169" s="74"/>
      <c r="AA169" s="74"/>
      <c r="AB169" s="74"/>
      <c r="AC169" s="74"/>
      <c r="AD169" s="74"/>
      <c r="AE169" s="74"/>
      <c r="AJ169" s="74"/>
      <c r="AK169" s="74"/>
      <c r="AL169" s="74"/>
      <c r="AM169" s="74"/>
      <c r="AN169" s="74"/>
      <c r="AO169" s="74"/>
      <c r="AP169" s="74"/>
      <c r="AQ169" s="74"/>
    </row>
    <row r="170" spans="1:43" x14ac:dyDescent="0.2">
      <c r="AJ170" s="76"/>
      <c r="AK170" s="76"/>
      <c r="AL170" s="76"/>
      <c r="AM170" s="76"/>
      <c r="AN170" s="76"/>
      <c r="AO170" s="76"/>
      <c r="AP170" s="76"/>
      <c r="AQ170" s="76"/>
    </row>
    <row r="173" spans="1:43" s="77" customFormat="1" x14ac:dyDescent="0.2">
      <c r="A173" s="74"/>
      <c r="B173" s="74"/>
      <c r="C173" s="74"/>
      <c r="D173" s="74"/>
      <c r="E173" s="74"/>
      <c r="F173" s="74"/>
      <c r="G173" s="74"/>
      <c r="H173" s="74"/>
      <c r="I173" s="74"/>
      <c r="J173" s="74"/>
      <c r="K173" s="74"/>
      <c r="L173" s="74"/>
      <c r="M173" s="74"/>
      <c r="N173" s="74"/>
      <c r="O173" s="74"/>
      <c r="P173" s="74"/>
      <c r="Q173" s="74"/>
      <c r="R173" s="74"/>
      <c r="S173" s="74"/>
      <c r="T173" s="74"/>
      <c r="U173" s="74"/>
      <c r="V173" s="75"/>
      <c r="W173" s="74"/>
      <c r="X173" s="74"/>
      <c r="Y173" s="74"/>
      <c r="Z173" s="74"/>
      <c r="AA173" s="74"/>
      <c r="AB173" s="74"/>
      <c r="AC173" s="74"/>
      <c r="AD173" s="74"/>
      <c r="AE173" s="74"/>
      <c r="AJ173" s="74"/>
      <c r="AK173" s="74"/>
      <c r="AL173" s="74"/>
      <c r="AM173" s="74"/>
      <c r="AN173" s="74"/>
      <c r="AO173" s="74"/>
      <c r="AP173" s="74"/>
      <c r="AQ173" s="74"/>
    </row>
    <row r="174" spans="1:43" x14ac:dyDescent="0.2">
      <c r="AJ174" s="77"/>
      <c r="AK174" s="77"/>
      <c r="AL174" s="77"/>
      <c r="AM174" s="77"/>
      <c r="AN174" s="77"/>
      <c r="AO174" s="77"/>
      <c r="AP174" s="77"/>
      <c r="AQ174" s="77"/>
    </row>
    <row r="178" spans="1:43" s="77" customFormat="1" x14ac:dyDescent="0.2">
      <c r="A178" s="74"/>
      <c r="B178" s="74"/>
      <c r="C178" s="74"/>
      <c r="D178" s="74"/>
      <c r="E178" s="74"/>
      <c r="F178" s="74"/>
      <c r="G178" s="74"/>
      <c r="H178" s="74"/>
      <c r="I178" s="74"/>
      <c r="J178" s="74"/>
      <c r="K178" s="74"/>
      <c r="L178" s="74"/>
      <c r="M178" s="74"/>
      <c r="N178" s="74"/>
      <c r="O178" s="74"/>
      <c r="P178" s="74"/>
      <c r="Q178" s="74"/>
      <c r="R178" s="74"/>
      <c r="S178" s="74"/>
      <c r="T178" s="74"/>
      <c r="U178" s="74"/>
      <c r="V178" s="75"/>
      <c r="W178" s="74"/>
      <c r="X178" s="74"/>
      <c r="Y178" s="74"/>
      <c r="Z178" s="74"/>
      <c r="AA178" s="74"/>
      <c r="AB178" s="74"/>
      <c r="AC178" s="74"/>
      <c r="AD178" s="74"/>
      <c r="AE178" s="74"/>
      <c r="AJ178" s="74"/>
      <c r="AK178" s="74"/>
      <c r="AL178" s="74"/>
      <c r="AM178" s="74"/>
      <c r="AN178" s="74"/>
      <c r="AO178" s="74"/>
      <c r="AP178" s="74"/>
      <c r="AQ178" s="74"/>
    </row>
    <row r="179" spans="1:43" s="76" customFormat="1" x14ac:dyDescent="0.2">
      <c r="A179" s="74"/>
      <c r="B179" s="74"/>
      <c r="C179" s="74"/>
      <c r="D179" s="74"/>
      <c r="E179" s="74"/>
      <c r="F179" s="74"/>
      <c r="G179" s="74"/>
      <c r="H179" s="74"/>
      <c r="I179" s="74"/>
      <c r="J179" s="74"/>
      <c r="K179" s="74"/>
      <c r="L179" s="74"/>
      <c r="M179" s="74"/>
      <c r="N179" s="74"/>
      <c r="O179" s="74"/>
      <c r="P179" s="74"/>
      <c r="Q179" s="74"/>
      <c r="R179" s="74"/>
      <c r="S179" s="74"/>
      <c r="T179" s="74"/>
      <c r="U179" s="74"/>
      <c r="V179" s="75"/>
      <c r="W179" s="74"/>
      <c r="X179" s="74"/>
      <c r="Y179" s="74"/>
      <c r="Z179" s="74"/>
      <c r="AA179" s="74"/>
      <c r="AB179" s="74"/>
      <c r="AC179" s="74"/>
      <c r="AD179" s="74"/>
      <c r="AE179" s="74"/>
      <c r="AJ179" s="77"/>
      <c r="AK179" s="77"/>
      <c r="AL179" s="77"/>
      <c r="AM179" s="77"/>
      <c r="AN179" s="77"/>
      <c r="AO179" s="77"/>
      <c r="AP179" s="77"/>
      <c r="AQ179" s="77"/>
    </row>
    <row r="180" spans="1:43" s="76" customFormat="1" x14ac:dyDescent="0.2">
      <c r="A180" s="74"/>
      <c r="B180" s="74"/>
      <c r="C180" s="74"/>
      <c r="D180" s="74"/>
      <c r="E180" s="74"/>
      <c r="F180" s="74"/>
      <c r="G180" s="74"/>
      <c r="H180" s="74"/>
      <c r="I180" s="74"/>
      <c r="J180" s="74"/>
      <c r="K180" s="74"/>
      <c r="L180" s="74"/>
      <c r="M180" s="74"/>
      <c r="N180" s="74"/>
      <c r="O180" s="74"/>
      <c r="P180" s="74"/>
      <c r="Q180" s="74"/>
      <c r="R180" s="74"/>
      <c r="S180" s="74"/>
      <c r="T180" s="74"/>
      <c r="U180" s="74"/>
      <c r="V180" s="75"/>
      <c r="W180" s="74"/>
      <c r="X180" s="74"/>
      <c r="Y180" s="74"/>
      <c r="Z180" s="74"/>
      <c r="AA180" s="74"/>
      <c r="AB180" s="74"/>
      <c r="AC180" s="74"/>
      <c r="AD180" s="74"/>
      <c r="AE180" s="74"/>
    </row>
    <row r="181" spans="1:43" x14ac:dyDescent="0.2">
      <c r="AJ181" s="76"/>
      <c r="AK181" s="76"/>
      <c r="AL181" s="76"/>
      <c r="AM181" s="76"/>
      <c r="AN181" s="76"/>
      <c r="AO181" s="76"/>
      <c r="AP181" s="76"/>
      <c r="AQ181" s="76"/>
    </row>
    <row r="183" spans="1:43" s="76" customFormat="1" x14ac:dyDescent="0.2">
      <c r="A183" s="74"/>
      <c r="B183" s="74"/>
      <c r="C183" s="74"/>
      <c r="D183" s="74"/>
      <c r="E183" s="74"/>
      <c r="F183" s="74"/>
      <c r="G183" s="74"/>
      <c r="H183" s="74"/>
      <c r="I183" s="74"/>
      <c r="J183" s="74"/>
      <c r="K183" s="74"/>
      <c r="L183" s="74"/>
      <c r="M183" s="74"/>
      <c r="N183" s="74"/>
      <c r="O183" s="74"/>
      <c r="P183" s="74"/>
      <c r="Q183" s="74"/>
      <c r="R183" s="74"/>
      <c r="S183" s="74"/>
      <c r="T183" s="74"/>
      <c r="U183" s="74"/>
      <c r="V183" s="75"/>
      <c r="W183" s="74"/>
      <c r="X183" s="74"/>
      <c r="Y183" s="74"/>
      <c r="Z183" s="74"/>
      <c r="AA183" s="74"/>
      <c r="AB183" s="74"/>
      <c r="AC183" s="74"/>
      <c r="AD183" s="74"/>
      <c r="AE183" s="74"/>
      <c r="AJ183" s="74"/>
      <c r="AK183" s="74"/>
      <c r="AL183" s="74"/>
      <c r="AM183" s="74"/>
      <c r="AN183" s="74"/>
      <c r="AO183" s="74"/>
      <c r="AP183" s="74"/>
      <c r="AQ183" s="74"/>
    </row>
    <row r="184" spans="1:43" x14ac:dyDescent="0.2">
      <c r="AJ184" s="76"/>
      <c r="AK184" s="76"/>
      <c r="AL184" s="76"/>
      <c r="AM184" s="76"/>
      <c r="AN184" s="76"/>
      <c r="AO184" s="76"/>
      <c r="AP184" s="76"/>
      <c r="AQ184" s="76"/>
    </row>
    <row r="188" spans="1:43" s="76" customFormat="1" x14ac:dyDescent="0.2">
      <c r="A188" s="74"/>
      <c r="B188" s="74"/>
      <c r="C188" s="74"/>
      <c r="D188" s="74"/>
      <c r="E188" s="74"/>
      <c r="F188" s="74"/>
      <c r="G188" s="74"/>
      <c r="H188" s="74"/>
      <c r="I188" s="74"/>
      <c r="J188" s="74"/>
      <c r="K188" s="74"/>
      <c r="L188" s="74"/>
      <c r="M188" s="74"/>
      <c r="N188" s="74"/>
      <c r="O188" s="74"/>
      <c r="P188" s="74"/>
      <c r="Q188" s="74"/>
      <c r="R188" s="74"/>
      <c r="S188" s="74"/>
      <c r="T188" s="74"/>
      <c r="U188" s="74"/>
      <c r="V188" s="75"/>
      <c r="W188" s="74"/>
      <c r="X188" s="74"/>
      <c r="Y188" s="74"/>
      <c r="Z188" s="74"/>
      <c r="AA188" s="74"/>
      <c r="AB188" s="74"/>
      <c r="AC188" s="74"/>
      <c r="AD188" s="74"/>
      <c r="AE188" s="74"/>
      <c r="AJ188" s="74"/>
      <c r="AK188" s="74"/>
      <c r="AL188" s="74"/>
      <c r="AM188" s="74"/>
      <c r="AN188" s="74"/>
      <c r="AO188" s="74"/>
      <c r="AP188" s="74"/>
      <c r="AQ188" s="74"/>
    </row>
    <row r="189" spans="1:43" s="76" customFormat="1" x14ac:dyDescent="0.2">
      <c r="A189" s="74"/>
      <c r="B189" s="74"/>
      <c r="C189" s="74"/>
      <c r="D189" s="74"/>
      <c r="E189" s="74"/>
      <c r="F189" s="74"/>
      <c r="G189" s="74"/>
      <c r="H189" s="74"/>
      <c r="I189" s="74"/>
      <c r="J189" s="74"/>
      <c r="K189" s="74"/>
      <c r="L189" s="74"/>
      <c r="M189" s="74"/>
      <c r="N189" s="74"/>
      <c r="O189" s="74"/>
      <c r="P189" s="74"/>
      <c r="Q189" s="74"/>
      <c r="R189" s="74"/>
      <c r="S189" s="74"/>
      <c r="T189" s="74"/>
      <c r="U189" s="74"/>
      <c r="V189" s="75"/>
      <c r="W189" s="74"/>
      <c r="X189" s="74"/>
      <c r="Y189" s="74"/>
      <c r="Z189" s="74"/>
      <c r="AA189" s="74"/>
      <c r="AB189" s="74"/>
      <c r="AC189" s="74"/>
      <c r="AD189" s="74"/>
      <c r="AE189" s="74"/>
    </row>
    <row r="190" spans="1:43" x14ac:dyDescent="0.2">
      <c r="AJ190" s="76"/>
      <c r="AK190" s="76"/>
      <c r="AL190" s="76"/>
      <c r="AM190" s="76"/>
      <c r="AN190" s="76"/>
      <c r="AO190" s="76"/>
      <c r="AP190" s="76"/>
      <c r="AQ190" s="76"/>
    </row>
  </sheetData>
  <sheetProtection sheet="1" objects="1" scenarios="1"/>
  <mergeCells count="13">
    <mergeCell ref="D77:G77"/>
    <mergeCell ref="N3:U3"/>
    <mergeCell ref="B4:B5"/>
    <mergeCell ref="C4:C5"/>
    <mergeCell ref="D4:G4"/>
    <mergeCell ref="H4:H5"/>
    <mergeCell ref="I4:L4"/>
    <mergeCell ref="M4:M5"/>
    <mergeCell ref="N4:P4"/>
    <mergeCell ref="Q4:T4"/>
    <mergeCell ref="U4:U5"/>
    <mergeCell ref="I77:L77"/>
    <mergeCell ref="K67:M67"/>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X190"/>
  <sheetViews>
    <sheetView zoomScale="85" zoomScaleNormal="85" workbookViewId="0">
      <pane xSplit="3" ySplit="5" topLeftCell="K6" activePane="bottomRight" state="frozen"/>
      <selection pane="topRight" activeCell="D1" sqref="D1"/>
      <selection pane="bottomLeft" activeCell="A6" sqref="A6"/>
      <selection pane="bottomRight" activeCell="D6" sqref="D6"/>
    </sheetView>
  </sheetViews>
  <sheetFormatPr defaultColWidth="9.140625" defaultRowHeight="12.75" outlineLevelRow="1" x14ac:dyDescent="0.2"/>
  <cols>
    <col min="1" max="1" width="4.28515625" style="74" customWidth="1"/>
    <col min="2" max="2" width="19.28515625" style="74" customWidth="1"/>
    <col min="3" max="3" width="35.5703125" style="74" customWidth="1"/>
    <col min="4" max="6" width="9.7109375" style="74" customWidth="1"/>
    <col min="7" max="7" width="10.85546875" style="74" customWidth="1"/>
    <col min="8" max="8" width="9.85546875" style="74" customWidth="1"/>
    <col min="9" max="9" width="10.5703125" style="74" customWidth="1"/>
    <col min="10" max="10" width="13.28515625" style="74" customWidth="1"/>
    <col min="11" max="12" width="9.7109375" style="74" customWidth="1"/>
    <col min="13" max="13" width="7.85546875" style="74" customWidth="1"/>
    <col min="14" max="20" width="9.42578125" style="74" customWidth="1"/>
    <col min="21" max="21" width="9.140625" style="74"/>
    <col min="22" max="22" width="9.140625" style="75"/>
    <col min="23" max="24" width="9.140625" style="74"/>
    <col min="25" max="25" width="11" style="74" customWidth="1"/>
    <col min="26" max="26" width="10.42578125" style="74" customWidth="1"/>
    <col min="27" max="27" width="10" style="74" customWidth="1"/>
    <col min="28" max="16384" width="9.140625" style="74"/>
  </cols>
  <sheetData>
    <row r="1" spans="1:39" s="1695" customFormat="1" ht="21" x14ac:dyDescent="0.35">
      <c r="A1" s="1695" t="s">
        <v>849</v>
      </c>
      <c r="F1" s="1696" t="s">
        <v>958</v>
      </c>
      <c r="V1" s="1697"/>
    </row>
    <row r="2" spans="1:39" s="239" customFormat="1" x14ac:dyDescent="0.2">
      <c r="V2" s="240"/>
    </row>
    <row r="3" spans="1:39" s="241" customFormat="1" ht="18.75" x14ac:dyDescent="0.3">
      <c r="B3" s="268"/>
      <c r="C3" s="904" t="s">
        <v>845</v>
      </c>
      <c r="D3" s="277" t="s">
        <v>113</v>
      </c>
      <c r="E3" s="269"/>
      <c r="F3" s="269"/>
      <c r="G3" s="269"/>
      <c r="H3" s="278"/>
      <c r="I3" s="276" t="s">
        <v>114</v>
      </c>
      <c r="J3" s="270"/>
      <c r="K3" s="270"/>
      <c r="L3" s="270"/>
      <c r="M3" s="276"/>
      <c r="N3" s="2778" t="s">
        <v>38</v>
      </c>
      <c r="O3" s="2779"/>
      <c r="P3" s="2779"/>
      <c r="Q3" s="2779"/>
      <c r="R3" s="2779"/>
      <c r="S3" s="2779"/>
      <c r="T3" s="2779"/>
      <c r="U3" s="2780"/>
      <c r="Y3" s="242"/>
    </row>
    <row r="4" spans="1:39" ht="15" customHeight="1" x14ac:dyDescent="0.3">
      <c r="B4" s="2789" t="s">
        <v>843</v>
      </c>
      <c r="C4" s="2791" t="s">
        <v>844</v>
      </c>
      <c r="D4" s="2781" t="s">
        <v>453</v>
      </c>
      <c r="E4" s="2793"/>
      <c r="F4" s="2793"/>
      <c r="G4" s="2794"/>
      <c r="H4" s="2786" t="s">
        <v>110</v>
      </c>
      <c r="I4" s="2793" t="s">
        <v>111</v>
      </c>
      <c r="J4" s="2795"/>
      <c r="K4" s="2795"/>
      <c r="L4" s="2796"/>
      <c r="M4" s="2781" t="s">
        <v>110</v>
      </c>
      <c r="N4" s="2783" t="s">
        <v>456</v>
      </c>
      <c r="O4" s="2784"/>
      <c r="P4" s="2785"/>
      <c r="Q4" s="2784" t="s">
        <v>457</v>
      </c>
      <c r="R4" s="2784"/>
      <c r="S4" s="2784"/>
      <c r="T4" s="2785"/>
      <c r="U4" s="2786" t="s">
        <v>110</v>
      </c>
      <c r="V4" s="78"/>
      <c r="W4" s="241"/>
      <c r="X4" s="247"/>
      <c r="Y4" s="75"/>
    </row>
    <row r="5" spans="1:39" x14ac:dyDescent="0.2">
      <c r="B5" s="2790"/>
      <c r="C5" s="2792"/>
      <c r="D5" s="883" t="s">
        <v>16</v>
      </c>
      <c r="E5" s="300" t="s">
        <v>17</v>
      </c>
      <c r="F5" s="300" t="s">
        <v>18</v>
      </c>
      <c r="G5" s="300" t="s">
        <v>88</v>
      </c>
      <c r="H5" s="2787"/>
      <c r="I5" s="300" t="s">
        <v>16</v>
      </c>
      <c r="J5" s="300" t="s">
        <v>17</v>
      </c>
      <c r="K5" s="300" t="s">
        <v>18</v>
      </c>
      <c r="L5" s="300" t="s">
        <v>88</v>
      </c>
      <c r="M5" s="2782"/>
      <c r="N5" s="883" t="s">
        <v>16</v>
      </c>
      <c r="O5" s="300" t="s">
        <v>17</v>
      </c>
      <c r="P5" s="301" t="s">
        <v>18</v>
      </c>
      <c r="Q5" s="300" t="s">
        <v>16</v>
      </c>
      <c r="R5" s="300" t="s">
        <v>17</v>
      </c>
      <c r="S5" s="300" t="s">
        <v>18</v>
      </c>
      <c r="T5" s="300" t="s">
        <v>88</v>
      </c>
      <c r="U5" s="2787"/>
      <c r="V5" s="243"/>
      <c r="Y5" s="75"/>
    </row>
    <row r="6" spans="1:39" ht="12.75" customHeight="1" outlineLevel="1" x14ac:dyDescent="0.2">
      <c r="A6" s="459"/>
      <c r="B6" s="466" t="s">
        <v>25</v>
      </c>
      <c r="C6" s="642" t="s">
        <v>42</v>
      </c>
      <c r="D6" s="641"/>
      <c r="E6" s="27"/>
      <c r="F6" s="27"/>
      <c r="G6" s="27"/>
      <c r="H6" s="271"/>
      <c r="I6" s="29"/>
      <c r="J6" s="29"/>
      <c r="K6" s="29"/>
      <c r="L6" s="29"/>
      <c r="M6" s="282"/>
      <c r="N6" s="906"/>
      <c r="O6" s="907"/>
      <c r="P6" s="908"/>
      <c r="Q6" s="916"/>
      <c r="R6" s="917"/>
      <c r="S6" s="917"/>
      <c r="T6" s="918"/>
      <c r="U6" s="922"/>
      <c r="V6" s="78"/>
      <c r="AH6" s="245"/>
      <c r="AI6" s="78"/>
      <c r="AJ6" s="78"/>
      <c r="AK6" s="78"/>
      <c r="AL6" s="78"/>
      <c r="AM6" s="78"/>
    </row>
    <row r="7" spans="1:39" ht="12.75" customHeight="1" outlineLevel="1" x14ac:dyDescent="0.2">
      <c r="A7" s="459"/>
      <c r="B7" s="467" t="str">
        <f>B6</f>
        <v>Masonry materials</v>
      </c>
      <c r="C7" s="643" t="s">
        <v>44</v>
      </c>
      <c r="D7" s="27"/>
      <c r="E7" s="27"/>
      <c r="F7" s="27"/>
      <c r="G7" s="27"/>
      <c r="H7" s="271"/>
      <c r="I7" s="29"/>
      <c r="J7" s="29"/>
      <c r="K7" s="29"/>
      <c r="L7" s="29"/>
      <c r="M7" s="282"/>
      <c r="N7" s="906"/>
      <c r="O7" s="907"/>
      <c r="P7" s="908"/>
      <c r="Q7" s="465"/>
      <c r="R7" s="914"/>
      <c r="S7" s="914"/>
      <c r="T7" s="919"/>
      <c r="U7" s="922"/>
      <c r="V7" s="78"/>
    </row>
    <row r="8" spans="1:39" ht="12.75" customHeight="1" outlineLevel="1" x14ac:dyDescent="0.2">
      <c r="A8" s="459"/>
      <c r="B8" s="467" t="str">
        <f t="shared" ref="B8:B15" si="0">B7</f>
        <v>Masonry materials</v>
      </c>
      <c r="C8" s="643" t="s">
        <v>46</v>
      </c>
      <c r="D8" s="27"/>
      <c r="E8" s="27"/>
      <c r="F8" s="27"/>
      <c r="G8" s="27"/>
      <c r="H8" s="271"/>
      <c r="I8" s="29"/>
      <c r="J8" s="29"/>
      <c r="K8" s="29"/>
      <c r="L8" s="29"/>
      <c r="M8" s="282"/>
      <c r="N8" s="906"/>
      <c r="O8" s="907"/>
      <c r="P8" s="908"/>
      <c r="Q8" s="465"/>
      <c r="R8" s="914"/>
      <c r="S8" s="914"/>
      <c r="T8" s="919"/>
      <c r="U8" s="922"/>
      <c r="V8" s="80"/>
    </row>
    <row r="9" spans="1:39" ht="12.75" customHeight="1" outlineLevel="1" x14ac:dyDescent="0.2">
      <c r="A9" s="459"/>
      <c r="B9" s="467" t="str">
        <f t="shared" si="0"/>
        <v>Masonry materials</v>
      </c>
      <c r="C9" s="643" t="s">
        <v>47</v>
      </c>
      <c r="D9" s="27"/>
      <c r="E9" s="27"/>
      <c r="F9" s="27"/>
      <c r="G9" s="27"/>
      <c r="H9" s="271"/>
      <c r="I9" s="29"/>
      <c r="J9" s="29"/>
      <c r="K9" s="29"/>
      <c r="L9" s="29"/>
      <c r="M9" s="282"/>
      <c r="N9" s="906"/>
      <c r="O9" s="907"/>
      <c r="P9" s="908"/>
      <c r="Q9" s="465"/>
      <c r="R9" s="914"/>
      <c r="S9" s="914"/>
      <c r="T9" s="919"/>
      <c r="U9" s="922"/>
      <c r="V9" s="80"/>
    </row>
    <row r="10" spans="1:39" ht="12.75" customHeight="1" outlineLevel="1" x14ac:dyDescent="0.2">
      <c r="A10" s="459"/>
      <c r="B10" s="467" t="str">
        <f t="shared" si="0"/>
        <v>Masonry materials</v>
      </c>
      <c r="C10" s="643" t="s">
        <v>49</v>
      </c>
      <c r="D10" s="27"/>
      <c r="E10" s="27"/>
      <c r="F10" s="27"/>
      <c r="G10" s="27"/>
      <c r="H10" s="280"/>
      <c r="I10" s="29"/>
      <c r="J10" s="29"/>
      <c r="K10" s="29"/>
      <c r="L10" s="29"/>
      <c r="M10" s="282"/>
      <c r="N10" s="906"/>
      <c r="O10" s="907"/>
      <c r="P10" s="908"/>
      <c r="Q10" s="465"/>
      <c r="R10" s="914"/>
      <c r="S10" s="914"/>
      <c r="T10" s="919"/>
      <c r="U10" s="922"/>
      <c r="V10" s="80"/>
    </row>
    <row r="11" spans="1:39" s="501" customFormat="1" ht="15" x14ac:dyDescent="0.25">
      <c r="A11" s="499"/>
      <c r="B11" s="465" t="str">
        <f t="shared" si="0"/>
        <v>Masonry materials</v>
      </c>
      <c r="C11" s="644" t="s">
        <v>115</v>
      </c>
      <c r="D11" s="237">
        <f>NT!G50</f>
        <v>3336.7680716227856</v>
      </c>
      <c r="E11" s="237">
        <f>NT!H50</f>
        <v>7715.3657102907118</v>
      </c>
      <c r="F11" s="237">
        <f>NT!I50</f>
        <v>127455.72318786093</v>
      </c>
      <c r="G11" s="237">
        <f>SUM(D11:F11)</f>
        <v>138507.85696977444</v>
      </c>
      <c r="H11" s="275">
        <f>G11/Pop_NT*1000</f>
        <v>569.54351505513955</v>
      </c>
      <c r="I11" s="237">
        <f>NT!G88</f>
        <v>3282</v>
      </c>
      <c r="J11" s="237">
        <f>NT!H88</f>
        <v>0</v>
      </c>
      <c r="K11" s="237">
        <f>NT!I88</f>
        <v>0</v>
      </c>
      <c r="L11" s="237">
        <f t="shared" ref="L11:L26" si="1">SUM(I11:K11)</f>
        <v>3282</v>
      </c>
      <c r="M11" s="281">
        <f>L11/Pop_NT*1000</f>
        <v>13.495565214173222</v>
      </c>
      <c r="N11" s="906"/>
      <c r="O11" s="907"/>
      <c r="P11" s="908"/>
      <c r="Q11" s="920"/>
      <c r="R11" s="915"/>
      <c r="S11" s="915"/>
      <c r="T11" s="921"/>
      <c r="U11" s="923"/>
      <c r="V11" s="500"/>
    </row>
    <row r="12" spans="1:39" ht="12.75" customHeight="1" outlineLevel="1" x14ac:dyDescent="0.2">
      <c r="A12" s="459"/>
      <c r="B12" s="464" t="s">
        <v>28</v>
      </c>
      <c r="C12" s="645" t="s">
        <v>56</v>
      </c>
      <c r="D12" s="960"/>
      <c r="E12" s="961"/>
      <c r="F12" s="961"/>
      <c r="G12" s="961"/>
      <c r="H12" s="962"/>
      <c r="I12" s="976">
        <f>NT!G89</f>
        <v>1015.83</v>
      </c>
      <c r="J12" s="963">
        <f>NT!H89</f>
        <v>0</v>
      </c>
      <c r="K12" s="963">
        <f>NT!I89</f>
        <v>0</v>
      </c>
      <c r="L12" s="963">
        <f t="shared" si="1"/>
        <v>1015.83</v>
      </c>
      <c r="M12" s="964">
        <f>L12/Pop_NT*1000</f>
        <v>4.1770871454946938</v>
      </c>
      <c r="N12" s="909"/>
      <c r="O12" s="910"/>
      <c r="P12" s="911"/>
      <c r="Q12" s="464"/>
      <c r="R12" s="912"/>
      <c r="S12" s="912"/>
      <c r="T12" s="925"/>
      <c r="U12" s="926"/>
      <c r="V12" s="80"/>
    </row>
    <row r="13" spans="1:39" ht="12.75" customHeight="1" outlineLevel="1" x14ac:dyDescent="0.2">
      <c r="A13" s="459"/>
      <c r="B13" s="468" t="str">
        <f t="shared" si="0"/>
        <v>Metals</v>
      </c>
      <c r="C13" s="645" t="s">
        <v>52</v>
      </c>
      <c r="D13" s="279"/>
      <c r="E13" s="27"/>
      <c r="F13" s="27"/>
      <c r="G13" s="27"/>
      <c r="H13" s="280"/>
      <c r="I13" s="282">
        <f>NT!G90</f>
        <v>1858</v>
      </c>
      <c r="J13" s="29">
        <f>NT!H90</f>
        <v>0</v>
      </c>
      <c r="K13" s="29">
        <f>NT!I90</f>
        <v>0</v>
      </c>
      <c r="L13" s="29">
        <f t="shared" si="1"/>
        <v>1858</v>
      </c>
      <c r="M13" s="272">
        <f>L13/Pop_NT*1000</f>
        <v>7.6400853650011724</v>
      </c>
      <c r="N13" s="909"/>
      <c r="O13" s="910"/>
      <c r="P13" s="911"/>
      <c r="Q13" s="464"/>
      <c r="R13" s="912"/>
      <c r="S13" s="912"/>
      <c r="T13" s="925"/>
      <c r="U13" s="926"/>
      <c r="V13" s="80"/>
    </row>
    <row r="14" spans="1:39" ht="12.75" customHeight="1" outlineLevel="1" x14ac:dyDescent="0.2">
      <c r="A14" s="459"/>
      <c r="B14" s="468" t="str">
        <f t="shared" si="0"/>
        <v>Metals</v>
      </c>
      <c r="C14" s="645" t="s">
        <v>54</v>
      </c>
      <c r="D14" s="279"/>
      <c r="E14" s="27"/>
      <c r="F14" s="27"/>
      <c r="G14" s="27"/>
      <c r="H14" s="280"/>
      <c r="I14" s="282">
        <f>NT!G91</f>
        <v>35542</v>
      </c>
      <c r="J14" s="29">
        <f>NT!H91</f>
        <v>0</v>
      </c>
      <c r="K14" s="29">
        <f>NT!I91</f>
        <v>0</v>
      </c>
      <c r="L14" s="29">
        <f t="shared" si="1"/>
        <v>35542</v>
      </c>
      <c r="M14" s="272">
        <f>L14/Pop_NT*1000</f>
        <v>146.14850056128722</v>
      </c>
      <c r="N14" s="909"/>
      <c r="O14" s="910"/>
      <c r="P14" s="911"/>
      <c r="Q14" s="464"/>
      <c r="R14" s="912"/>
      <c r="S14" s="912"/>
      <c r="T14" s="925"/>
      <c r="U14" s="926"/>
      <c r="V14" s="80"/>
    </row>
    <row r="15" spans="1:39" s="247" customFormat="1" x14ac:dyDescent="0.2">
      <c r="A15" s="459"/>
      <c r="B15" s="464" t="str">
        <f t="shared" si="0"/>
        <v>Metals</v>
      </c>
      <c r="C15" s="646" t="s">
        <v>115</v>
      </c>
      <c r="D15" s="965">
        <f>NT!G51</f>
        <v>5605.746672921523</v>
      </c>
      <c r="E15" s="966">
        <f>NT!H51</f>
        <v>1495.8252694440666</v>
      </c>
      <c r="F15" s="966">
        <f>NT!I51</f>
        <v>7142.0831783051963</v>
      </c>
      <c r="G15" s="966">
        <f t="shared" ref="G15:G21" si="2">SUM(D15:F15)</f>
        <v>14243.655120670786</v>
      </c>
      <c r="H15" s="967">
        <f t="shared" ref="H15:H21" si="3">G15/Pop_NT*1000</f>
        <v>58.569828326997239</v>
      </c>
      <c r="I15" s="966">
        <f>SUM(I12:I14)</f>
        <v>38415.83</v>
      </c>
      <c r="J15" s="966">
        <f>SUM(J12:J14)</f>
        <v>0</v>
      </c>
      <c r="K15" s="966">
        <f>SUM(K12:K14)</f>
        <v>0</v>
      </c>
      <c r="L15" s="966">
        <f t="shared" si="1"/>
        <v>38415.83</v>
      </c>
      <c r="M15" s="968">
        <f>L15/Pop_NT*1000</f>
        <v>157.96567307178307</v>
      </c>
      <c r="N15" s="909"/>
      <c r="O15" s="910"/>
      <c r="P15" s="911"/>
      <c r="Q15" s="927"/>
      <c r="R15" s="913"/>
      <c r="S15" s="913"/>
      <c r="T15" s="928"/>
      <c r="U15" s="929"/>
      <c r="V15" s="246"/>
    </row>
    <row r="16" spans="1:39" ht="12.75" customHeight="1" outlineLevel="1" x14ac:dyDescent="0.2">
      <c r="A16" s="459"/>
      <c r="B16" s="465" t="s">
        <v>22</v>
      </c>
      <c r="C16" s="643" t="s">
        <v>61</v>
      </c>
      <c r="D16" s="29">
        <f>NT!G52</f>
        <v>48475.019542131966</v>
      </c>
      <c r="E16" s="29">
        <f>NT!H52</f>
        <v>9842.6435618542073</v>
      </c>
      <c r="F16" s="29">
        <f>NT!I52</f>
        <v>0</v>
      </c>
      <c r="G16" s="29">
        <f t="shared" si="2"/>
        <v>58317.663103986175</v>
      </c>
      <c r="H16" s="283">
        <f t="shared" si="3"/>
        <v>239.80189687935069</v>
      </c>
      <c r="I16" s="29"/>
      <c r="J16" s="29"/>
      <c r="K16" s="29"/>
      <c r="L16" s="29"/>
      <c r="M16" s="282"/>
      <c r="N16" s="282">
        <f>'Other national data'!G329</f>
        <v>6459.5538672984803</v>
      </c>
      <c r="O16" s="29">
        <f>'Other national data'!H329</f>
        <v>1311.5845415834481</v>
      </c>
      <c r="P16" s="28">
        <f>'Other national data'!I329</f>
        <v>0</v>
      </c>
      <c r="Q16" s="29">
        <f>N16</f>
        <v>6459.5538672984803</v>
      </c>
      <c r="R16" s="29">
        <f>O16</f>
        <v>1311.5845415834481</v>
      </c>
      <c r="S16" s="29">
        <f>P16</f>
        <v>0</v>
      </c>
      <c r="T16" s="29">
        <f>SUM(Q16:S16)</f>
        <v>7771.1384088819286</v>
      </c>
      <c r="U16" s="272">
        <f t="shared" ref="U16:U21" si="4">T16/Pop_NT*1000</f>
        <v>31.954876656134182</v>
      </c>
      <c r="V16" s="80"/>
    </row>
    <row r="17" spans="1:22" ht="12.75" customHeight="1" outlineLevel="1" x14ac:dyDescent="0.2">
      <c r="A17" s="459"/>
      <c r="B17" s="467" t="str">
        <f>B16</f>
        <v>Organics</v>
      </c>
      <c r="C17" s="643" t="s">
        <v>63</v>
      </c>
      <c r="D17" s="29">
        <f>NT!G53</f>
        <v>25044.483669985166</v>
      </c>
      <c r="E17" s="29">
        <f>NT!H53</f>
        <v>2006.8341335954315</v>
      </c>
      <c r="F17" s="29">
        <f>NT!I53</f>
        <v>3035.6949903012319</v>
      </c>
      <c r="G17" s="29">
        <f t="shared" si="2"/>
        <v>30087.01279388183</v>
      </c>
      <c r="H17" s="283">
        <f t="shared" si="3"/>
        <v>123.71762439350893</v>
      </c>
      <c r="I17" s="29"/>
      <c r="J17" s="29"/>
      <c r="K17" s="29"/>
      <c r="L17" s="29"/>
      <c r="M17" s="282"/>
      <c r="N17" s="282">
        <f>'Other national data'!G330</f>
        <v>853.24379446062039</v>
      </c>
      <c r="O17" s="29">
        <f>'Other national data'!H330</f>
        <v>68.371094951109114</v>
      </c>
      <c r="P17" s="28">
        <f>'Other national data'!I330</f>
        <v>103.42349023765094</v>
      </c>
      <c r="Q17" s="29">
        <f t="shared" ref="Q17:S19" si="5">N17</f>
        <v>853.24379446062039</v>
      </c>
      <c r="R17" s="29">
        <f t="shared" si="5"/>
        <v>68.371094951109114</v>
      </c>
      <c r="S17" s="29">
        <f t="shared" si="5"/>
        <v>103.42349023765094</v>
      </c>
      <c r="T17" s="29">
        <f>SUM(Q17:S17)</f>
        <v>1025.0383796493804</v>
      </c>
      <c r="U17" s="272">
        <f t="shared" si="4"/>
        <v>4.2149519499051378</v>
      </c>
      <c r="V17" s="248"/>
    </row>
    <row r="18" spans="1:22" ht="12.75" customHeight="1" outlineLevel="1" x14ac:dyDescent="0.2">
      <c r="A18" s="459"/>
      <c r="B18" s="467" t="str">
        <f>B17</f>
        <v>Organics</v>
      </c>
      <c r="C18" s="643" t="s">
        <v>67</v>
      </c>
      <c r="D18" s="29">
        <f>NT!G54</f>
        <v>1522.4647793182246</v>
      </c>
      <c r="E18" s="29">
        <f>NT!H54</f>
        <v>6290.4341017752167</v>
      </c>
      <c r="F18" s="29">
        <f>NT!I54</f>
        <v>9134.7886759093471</v>
      </c>
      <c r="G18" s="29">
        <f t="shared" si="2"/>
        <v>16947.687557002788</v>
      </c>
      <c r="H18" s="283">
        <f t="shared" si="3"/>
        <v>69.688794227593903</v>
      </c>
      <c r="I18" s="29"/>
      <c r="J18" s="29"/>
      <c r="K18" s="29"/>
      <c r="L18" s="29"/>
      <c r="M18" s="282"/>
      <c r="N18" s="282">
        <f>'Other national data'!G331</f>
        <v>47.094460951216938</v>
      </c>
      <c r="O18" s="29">
        <f>'Other national data'!H331</f>
        <v>194.58223743272256</v>
      </c>
      <c r="P18" s="28">
        <f>'Other national data'!I331</f>
        <v>282.56676570730161</v>
      </c>
      <c r="Q18" s="29">
        <f t="shared" si="5"/>
        <v>47.094460951216938</v>
      </c>
      <c r="R18" s="29">
        <f t="shared" si="5"/>
        <v>194.58223743272256</v>
      </c>
      <c r="S18" s="29">
        <f t="shared" si="5"/>
        <v>282.56676570730161</v>
      </c>
      <c r="T18" s="29">
        <f>SUM(Q18:S18)</f>
        <v>524.24346409124109</v>
      </c>
      <c r="U18" s="272">
        <f t="shared" si="4"/>
        <v>2.1556861236280995</v>
      </c>
      <c r="V18" s="74"/>
    </row>
    <row r="19" spans="1:22" ht="12.75" customHeight="1" outlineLevel="1" x14ac:dyDescent="0.2">
      <c r="A19" s="459"/>
      <c r="B19" s="467" t="str">
        <f>B18</f>
        <v>Organics</v>
      </c>
      <c r="C19" s="643" t="s">
        <v>65</v>
      </c>
      <c r="D19" s="29">
        <f>NT!G55</f>
        <v>6032.3537650998533</v>
      </c>
      <c r="E19" s="29">
        <f>NT!H55</f>
        <v>0</v>
      </c>
      <c r="F19" s="29">
        <f>NT!I55</f>
        <v>0</v>
      </c>
      <c r="G19" s="29">
        <f t="shared" si="2"/>
        <v>6032.3537650998533</v>
      </c>
      <c r="H19" s="283">
        <f t="shared" si="3"/>
        <v>24.805004153524816</v>
      </c>
      <c r="I19" s="29"/>
      <c r="J19" s="29"/>
      <c r="K19" s="29"/>
      <c r="L19" s="29"/>
      <c r="M19" s="282"/>
      <c r="N19" s="282">
        <f>'Other national data'!G332</f>
        <v>245.88319597791261</v>
      </c>
      <c r="O19" s="29">
        <f>'Other national data'!H332</f>
        <v>0</v>
      </c>
      <c r="P19" s="28">
        <f>'Other national data'!I332</f>
        <v>0</v>
      </c>
      <c r="Q19" s="29">
        <f t="shared" si="5"/>
        <v>245.88319597791261</v>
      </c>
      <c r="R19" s="29">
        <f t="shared" si="5"/>
        <v>0</v>
      </c>
      <c r="S19" s="29">
        <f t="shared" si="5"/>
        <v>0</v>
      </c>
      <c r="T19" s="29">
        <f>SUM(Q19:S19)</f>
        <v>245.88319597791261</v>
      </c>
      <c r="U19" s="272">
        <f t="shared" si="4"/>
        <v>1.0110702944513268</v>
      </c>
      <c r="V19" s="74"/>
    </row>
    <row r="20" spans="1:22" ht="12.75" customHeight="1" outlineLevel="1" x14ac:dyDescent="0.2">
      <c r="A20" s="459"/>
      <c r="B20" s="467" t="str">
        <f>B19</f>
        <v>Organics</v>
      </c>
      <c r="C20" s="643" t="s">
        <v>903</v>
      </c>
      <c r="D20" s="29">
        <v>0</v>
      </c>
      <c r="E20" s="29">
        <v>0</v>
      </c>
      <c r="F20" s="29">
        <v>0</v>
      </c>
      <c r="G20" s="29">
        <f>SUM(D20:F20)</f>
        <v>0</v>
      </c>
      <c r="H20" s="283">
        <f t="shared" si="3"/>
        <v>0</v>
      </c>
      <c r="I20" s="29">
        <v>0</v>
      </c>
      <c r="J20" s="29">
        <v>0</v>
      </c>
      <c r="K20" s="29">
        <v>0</v>
      </c>
      <c r="L20" s="29">
        <f>SUM(I20:K20)</f>
        <v>0</v>
      </c>
      <c r="M20" s="282">
        <f>L20/Pop_NT*1000</f>
        <v>0</v>
      </c>
      <c r="N20" s="282">
        <v>0</v>
      </c>
      <c r="O20" s="29">
        <v>0</v>
      </c>
      <c r="P20" s="28">
        <v>0</v>
      </c>
      <c r="Q20" s="27">
        <v>0</v>
      </c>
      <c r="R20" s="27">
        <v>0</v>
      </c>
      <c r="S20" s="27">
        <v>0</v>
      </c>
      <c r="T20" s="29">
        <f>SUM(Q20:S20)</f>
        <v>0</v>
      </c>
      <c r="U20" s="272">
        <f t="shared" si="4"/>
        <v>0</v>
      </c>
      <c r="V20" s="74"/>
    </row>
    <row r="21" spans="1:22" s="247" customFormat="1" x14ac:dyDescent="0.2">
      <c r="A21" s="459"/>
      <c r="B21" s="465" t="str">
        <f>B20</f>
        <v>Organics</v>
      </c>
      <c r="C21" s="644" t="s">
        <v>115</v>
      </c>
      <c r="D21" s="237">
        <f>SUM(D16:D20)</f>
        <v>81074.321756535195</v>
      </c>
      <c r="E21" s="237">
        <f>SUM(E16:E20)</f>
        <v>18139.911797224857</v>
      </c>
      <c r="F21" s="237">
        <f>SUM(F16:F20)</f>
        <v>12170.483666210579</v>
      </c>
      <c r="G21" s="237">
        <f t="shared" si="2"/>
        <v>111384.71721997063</v>
      </c>
      <c r="H21" s="275">
        <f t="shared" si="3"/>
        <v>458.01331965397821</v>
      </c>
      <c r="I21" s="237">
        <f>NT!G91</f>
        <v>35542</v>
      </c>
      <c r="J21" s="237">
        <f>NT!H91</f>
        <v>0</v>
      </c>
      <c r="K21" s="237">
        <f>NT!I91</f>
        <v>0</v>
      </c>
      <c r="L21" s="237">
        <f t="shared" si="1"/>
        <v>35542</v>
      </c>
      <c r="M21" s="281">
        <f>L21/Pop_NT*1000</f>
        <v>146.14850056128722</v>
      </c>
      <c r="N21" s="281">
        <f t="shared" ref="N21:S21" si="6">SUM(N16:N20)</f>
        <v>7605.775318688231</v>
      </c>
      <c r="O21" s="237">
        <f t="shared" si="6"/>
        <v>1574.5378739672799</v>
      </c>
      <c r="P21" s="238">
        <f t="shared" si="6"/>
        <v>385.99025594495254</v>
      </c>
      <c r="Q21" s="281">
        <f t="shared" si="6"/>
        <v>7605.775318688231</v>
      </c>
      <c r="R21" s="237">
        <f t="shared" si="6"/>
        <v>1574.5378739672799</v>
      </c>
      <c r="S21" s="237">
        <f t="shared" si="6"/>
        <v>385.99025594495254</v>
      </c>
      <c r="T21" s="237">
        <f>SUM(N21:P21)</f>
        <v>9566.3034486004635</v>
      </c>
      <c r="U21" s="273">
        <f t="shared" si="4"/>
        <v>39.336585024118754</v>
      </c>
      <c r="V21" s="246"/>
    </row>
    <row r="22" spans="1:22" ht="12.75" customHeight="1" outlineLevel="1" x14ac:dyDescent="0.2">
      <c r="A22" s="459"/>
      <c r="B22" s="464" t="s">
        <v>20</v>
      </c>
      <c r="C22" s="645" t="s">
        <v>74</v>
      </c>
      <c r="D22" s="960"/>
      <c r="E22" s="961"/>
      <c r="F22" s="961"/>
      <c r="G22" s="961"/>
      <c r="H22" s="962"/>
      <c r="I22" s="976">
        <f>NT!G92</f>
        <v>2103.25</v>
      </c>
      <c r="J22" s="963">
        <f>NT!H92</f>
        <v>0</v>
      </c>
      <c r="K22" s="963">
        <f>NT!I92</f>
        <v>0</v>
      </c>
      <c r="L22" s="963">
        <f t="shared" si="1"/>
        <v>2103.25</v>
      </c>
      <c r="M22" s="976">
        <f>L22/Pop_NT*1000</f>
        <v>8.64855196121567</v>
      </c>
      <c r="N22" s="960"/>
      <c r="O22" s="961"/>
      <c r="P22" s="969"/>
      <c r="Q22" s="961"/>
      <c r="R22" s="961"/>
      <c r="S22" s="961"/>
      <c r="T22" s="961"/>
      <c r="U22" s="970"/>
      <c r="V22" s="74"/>
    </row>
    <row r="23" spans="1:22" ht="12.75" customHeight="1" outlineLevel="1" x14ac:dyDescent="0.2">
      <c r="A23" s="459"/>
      <c r="B23" s="468" t="str">
        <f>B22</f>
        <v>Paper &amp; cardboard</v>
      </c>
      <c r="C23" s="645" t="s">
        <v>89</v>
      </c>
      <c r="D23" s="279"/>
      <c r="E23" s="27"/>
      <c r="F23" s="27"/>
      <c r="G23" s="27"/>
      <c r="H23" s="280"/>
      <c r="I23" s="282">
        <f>NT!G93</f>
        <v>113</v>
      </c>
      <c r="J23" s="29">
        <f>NT!H93</f>
        <v>0</v>
      </c>
      <c r="K23" s="29">
        <f>NT!I93</f>
        <v>0</v>
      </c>
      <c r="L23" s="29">
        <f t="shared" si="1"/>
        <v>113</v>
      </c>
      <c r="M23" s="282">
        <f>L23/Pop_NT*1000</f>
        <v>0.46465535319974832</v>
      </c>
      <c r="N23" s="279"/>
      <c r="O23" s="27"/>
      <c r="P23" s="297"/>
      <c r="Q23" s="27"/>
      <c r="R23" s="27"/>
      <c r="S23" s="27"/>
      <c r="T23" s="27"/>
      <c r="U23" s="271"/>
      <c r="V23" s="74"/>
    </row>
    <row r="24" spans="1:22" ht="12.75" customHeight="1" outlineLevel="1" x14ac:dyDescent="0.2">
      <c r="A24" s="459"/>
      <c r="B24" s="468" t="str">
        <f>B23</f>
        <v>Paper &amp; cardboard</v>
      </c>
      <c r="C24" s="645" t="s">
        <v>76</v>
      </c>
      <c r="D24" s="279"/>
      <c r="E24" s="27"/>
      <c r="F24" s="27"/>
      <c r="G24" s="27"/>
      <c r="H24" s="280"/>
      <c r="I24" s="29"/>
      <c r="J24" s="29"/>
      <c r="K24" s="29"/>
      <c r="L24" s="29"/>
      <c r="M24" s="282"/>
      <c r="N24" s="279"/>
      <c r="O24" s="27"/>
      <c r="P24" s="297"/>
      <c r="Q24" s="27"/>
      <c r="R24" s="27"/>
      <c r="S24" s="27"/>
      <c r="T24" s="27"/>
      <c r="U24" s="271"/>
      <c r="V24" s="74"/>
    </row>
    <row r="25" spans="1:22" ht="12.75" customHeight="1" outlineLevel="1" x14ac:dyDescent="0.2">
      <c r="A25" s="459"/>
      <c r="B25" s="468" t="str">
        <f>B24</f>
        <v>Paper &amp; cardboard</v>
      </c>
      <c r="C25" s="645" t="s">
        <v>79</v>
      </c>
      <c r="D25" s="279"/>
      <c r="E25" s="27"/>
      <c r="F25" s="27"/>
      <c r="G25" s="27"/>
      <c r="H25" s="280"/>
      <c r="I25" s="29"/>
      <c r="J25" s="29"/>
      <c r="K25" s="29"/>
      <c r="L25" s="29"/>
      <c r="M25" s="282"/>
      <c r="N25" s="279"/>
      <c r="O25" s="27"/>
      <c r="P25" s="297"/>
      <c r="Q25" s="27"/>
      <c r="R25" s="27"/>
      <c r="S25" s="27"/>
      <c r="T25" s="27"/>
      <c r="U25" s="271"/>
      <c r="V25" s="74"/>
    </row>
    <row r="26" spans="1:22" s="247" customFormat="1" x14ac:dyDescent="0.2">
      <c r="A26" s="459"/>
      <c r="B26" s="464" t="str">
        <f>B25</f>
        <v>Paper &amp; cardboard</v>
      </c>
      <c r="C26" s="646" t="s">
        <v>115</v>
      </c>
      <c r="D26" s="965">
        <f>NT!G56</f>
        <v>18074.241102941789</v>
      </c>
      <c r="E26" s="966">
        <f>NT!H56</f>
        <v>7123.1447006317803</v>
      </c>
      <c r="F26" s="966">
        <f>NT!I56</f>
        <v>4170.9787160634887</v>
      </c>
      <c r="G26" s="966">
        <f>SUM(D26:F26)</f>
        <v>29368.364519637056</v>
      </c>
      <c r="H26" s="967">
        <f>G26/Pop_NT*1000</f>
        <v>120.76254680328242</v>
      </c>
      <c r="I26" s="966">
        <f>NT!G98</f>
        <v>5460.42</v>
      </c>
      <c r="J26" s="966">
        <f>SUM(J22:J25)</f>
        <v>0</v>
      </c>
      <c r="K26" s="966">
        <f>SUM(K22:K25)</f>
        <v>0</v>
      </c>
      <c r="L26" s="966">
        <f t="shared" si="1"/>
        <v>5460.42</v>
      </c>
      <c r="M26" s="965">
        <f>L26/Pop_NT*1000</f>
        <v>22.453215785123628</v>
      </c>
      <c r="N26" s="965">
        <f>'Other national data'!G333</f>
        <v>2330.0290205609535</v>
      </c>
      <c r="O26" s="966">
        <f>'Other national data'!H333</f>
        <v>918.27555998606442</v>
      </c>
      <c r="P26" s="971">
        <f>'Other national data'!I333</f>
        <v>537.69900474483529</v>
      </c>
      <c r="Q26" s="966">
        <f>N26</f>
        <v>2330.0290205609535</v>
      </c>
      <c r="R26" s="966">
        <f>O26</f>
        <v>918.27555998606442</v>
      </c>
      <c r="S26" s="966">
        <f>P26</f>
        <v>537.69900474483529</v>
      </c>
      <c r="T26" s="966">
        <f>SUM(N26:P26)</f>
        <v>3786.0035852918531</v>
      </c>
      <c r="U26" s="968">
        <f>T26/Pop_NT*1000</f>
        <v>15.568025072029199</v>
      </c>
      <c r="V26" s="246"/>
    </row>
    <row r="27" spans="1:22" ht="12.75" customHeight="1" outlineLevel="1" x14ac:dyDescent="0.2">
      <c r="A27" s="459"/>
      <c r="B27" s="465" t="s">
        <v>32</v>
      </c>
      <c r="C27" s="643" t="s">
        <v>90</v>
      </c>
      <c r="D27" s="27"/>
      <c r="E27" s="27"/>
      <c r="F27" s="27"/>
      <c r="G27" s="27"/>
      <c r="H27" s="280"/>
      <c r="I27" s="29">
        <f>NT!G94</f>
        <v>12113</v>
      </c>
      <c r="J27" s="29">
        <f>NT!H94</f>
        <v>0</v>
      </c>
      <c r="K27" s="29">
        <f>NT!I94</f>
        <v>0</v>
      </c>
      <c r="L27" s="29">
        <f>SUM(I27:K27)</f>
        <v>12113</v>
      </c>
      <c r="M27" s="282">
        <f>L27/Pop_NT*1000</f>
        <v>49.808586666447354</v>
      </c>
      <c r="N27" s="906"/>
      <c r="O27" s="907"/>
      <c r="P27" s="908"/>
      <c r="Q27" s="27"/>
      <c r="R27" s="27"/>
      <c r="S27" s="27"/>
      <c r="T27" s="27"/>
      <c r="U27" s="271"/>
      <c r="V27" s="74"/>
    </row>
    <row r="28" spans="1:22" ht="12.75" customHeight="1" outlineLevel="1" x14ac:dyDescent="0.2">
      <c r="A28" s="459"/>
      <c r="B28" s="467" t="str">
        <f t="shared" ref="B28:B36" si="7">B27</f>
        <v>Plastics</v>
      </c>
      <c r="C28" s="643" t="s">
        <v>91</v>
      </c>
      <c r="D28" s="27"/>
      <c r="E28" s="27"/>
      <c r="F28" s="27"/>
      <c r="G28" s="27"/>
      <c r="H28" s="280"/>
      <c r="I28" s="29">
        <f>NT!G95</f>
        <v>261</v>
      </c>
      <c r="J28" s="29">
        <f>NT!H95</f>
        <v>0</v>
      </c>
      <c r="K28" s="29">
        <f>NT!I95</f>
        <v>0</v>
      </c>
      <c r="L28" s="29">
        <f>SUM(I28:K28)</f>
        <v>261</v>
      </c>
      <c r="M28" s="282">
        <f>L28/Pop_NT*1000</f>
        <v>1.0732305060631355</v>
      </c>
      <c r="N28" s="906"/>
      <c r="O28" s="907"/>
      <c r="P28" s="908"/>
      <c r="Q28" s="27"/>
      <c r="R28" s="27"/>
      <c r="S28" s="27"/>
      <c r="T28" s="27"/>
      <c r="U28" s="271"/>
      <c r="V28" s="74"/>
    </row>
    <row r="29" spans="1:22" ht="12.75" customHeight="1" outlineLevel="1" x14ac:dyDescent="0.2">
      <c r="A29" s="459"/>
      <c r="B29" s="467" t="str">
        <f t="shared" si="7"/>
        <v>Plastics</v>
      </c>
      <c r="C29" s="643" t="s">
        <v>92</v>
      </c>
      <c r="D29" s="27"/>
      <c r="E29" s="27"/>
      <c r="F29" s="27"/>
      <c r="G29" s="27"/>
      <c r="H29" s="280"/>
      <c r="I29" s="2799">
        <f>NT!G96</f>
        <v>74</v>
      </c>
      <c r="J29" s="2800">
        <f>NT!H96</f>
        <v>0</v>
      </c>
      <c r="K29" s="2800">
        <f>NT!I96</f>
        <v>0</v>
      </c>
      <c r="L29" s="2797">
        <f>SUM(I29:K35)</f>
        <v>74</v>
      </c>
      <c r="M29" s="2798">
        <f>L29/Pop_NT*1000</f>
        <v>0.30428757643169357</v>
      </c>
      <c r="N29" s="906"/>
      <c r="O29" s="907"/>
      <c r="P29" s="908"/>
      <c r="Q29" s="27"/>
      <c r="R29" s="27"/>
      <c r="S29" s="27"/>
      <c r="T29" s="27"/>
      <c r="U29" s="271"/>
      <c r="V29" s="74"/>
    </row>
    <row r="30" spans="1:22" s="76" customFormat="1" ht="12.75" customHeight="1" outlineLevel="1" x14ac:dyDescent="0.2">
      <c r="A30" s="459"/>
      <c r="B30" s="467" t="str">
        <f t="shared" si="7"/>
        <v>Plastics</v>
      </c>
      <c r="C30" s="647" t="s">
        <v>118</v>
      </c>
      <c r="D30" s="30"/>
      <c r="E30" s="30"/>
      <c r="F30" s="30"/>
      <c r="G30" s="30"/>
      <c r="H30" s="285"/>
      <c r="I30" s="2799"/>
      <c r="J30" s="2800"/>
      <c r="K30" s="2800"/>
      <c r="L30" s="2797"/>
      <c r="M30" s="2798"/>
      <c r="N30" s="906"/>
      <c r="O30" s="907"/>
      <c r="P30" s="908"/>
      <c r="Q30" s="30"/>
      <c r="R30" s="30"/>
      <c r="S30" s="30"/>
      <c r="T30" s="30"/>
      <c r="U30" s="274"/>
    </row>
    <row r="31" spans="1:22" ht="12.75" customHeight="1" outlineLevel="1" x14ac:dyDescent="0.2">
      <c r="A31" s="459"/>
      <c r="B31" s="467" t="str">
        <f t="shared" si="7"/>
        <v>Plastics</v>
      </c>
      <c r="C31" s="643" t="s">
        <v>93</v>
      </c>
      <c r="D31" s="27"/>
      <c r="E31" s="27"/>
      <c r="F31" s="27"/>
      <c r="G31" s="27"/>
      <c r="H31" s="280"/>
      <c r="I31" s="2799"/>
      <c r="J31" s="2800"/>
      <c r="K31" s="2800"/>
      <c r="L31" s="2797"/>
      <c r="M31" s="2798"/>
      <c r="N31" s="906"/>
      <c r="O31" s="907"/>
      <c r="P31" s="908"/>
      <c r="Q31" s="27"/>
      <c r="R31" s="27"/>
      <c r="S31" s="27"/>
      <c r="T31" s="27"/>
      <c r="U31" s="271"/>
      <c r="V31" s="74"/>
    </row>
    <row r="32" spans="1:22" ht="12.75" customHeight="1" outlineLevel="1" x14ac:dyDescent="0.2">
      <c r="A32" s="459"/>
      <c r="B32" s="467" t="str">
        <f t="shared" si="7"/>
        <v>Plastics</v>
      </c>
      <c r="C32" s="643" t="s">
        <v>94</v>
      </c>
      <c r="D32" s="27"/>
      <c r="E32" s="27"/>
      <c r="F32" s="27"/>
      <c r="G32" s="27"/>
      <c r="H32" s="280"/>
      <c r="I32" s="2799"/>
      <c r="J32" s="2800"/>
      <c r="K32" s="2800"/>
      <c r="L32" s="2797"/>
      <c r="M32" s="2798"/>
      <c r="N32" s="906"/>
      <c r="O32" s="907"/>
      <c r="P32" s="908"/>
      <c r="Q32" s="27"/>
      <c r="R32" s="27"/>
      <c r="S32" s="27"/>
      <c r="T32" s="27"/>
      <c r="U32" s="271"/>
      <c r="V32" s="74"/>
    </row>
    <row r="33" spans="1:22" ht="12.75" customHeight="1" outlineLevel="1" x14ac:dyDescent="0.2">
      <c r="A33" s="459"/>
      <c r="B33" s="467" t="str">
        <f t="shared" si="7"/>
        <v>Plastics</v>
      </c>
      <c r="C33" s="643" t="s">
        <v>95</v>
      </c>
      <c r="D33" s="27"/>
      <c r="E33" s="27"/>
      <c r="F33" s="27"/>
      <c r="G33" s="27"/>
      <c r="H33" s="280"/>
      <c r="I33" s="2799"/>
      <c r="J33" s="2800"/>
      <c r="K33" s="2800"/>
      <c r="L33" s="2797"/>
      <c r="M33" s="2798"/>
      <c r="N33" s="906"/>
      <c r="O33" s="907"/>
      <c r="P33" s="908"/>
      <c r="Q33" s="27"/>
      <c r="R33" s="27"/>
      <c r="S33" s="27"/>
      <c r="T33" s="27"/>
      <c r="U33" s="271"/>
      <c r="V33" s="74"/>
    </row>
    <row r="34" spans="1:22" ht="12.75" customHeight="1" outlineLevel="1" x14ac:dyDescent="0.2">
      <c r="A34" s="459"/>
      <c r="B34" s="467" t="str">
        <f t="shared" si="7"/>
        <v>Plastics</v>
      </c>
      <c r="C34" s="643" t="s">
        <v>96</v>
      </c>
      <c r="D34" s="27"/>
      <c r="E34" s="27"/>
      <c r="F34" s="27"/>
      <c r="G34" s="27"/>
      <c r="H34" s="280"/>
      <c r="I34" s="2799"/>
      <c r="J34" s="2800"/>
      <c r="K34" s="2800"/>
      <c r="L34" s="2797"/>
      <c r="M34" s="2798"/>
      <c r="N34" s="906"/>
      <c r="O34" s="907"/>
      <c r="P34" s="908"/>
      <c r="Q34" s="27"/>
      <c r="R34" s="27"/>
      <c r="S34" s="27"/>
      <c r="T34" s="27"/>
      <c r="U34" s="271"/>
      <c r="V34" s="74"/>
    </row>
    <row r="35" spans="1:22" s="76" customFormat="1" ht="12.75" customHeight="1" outlineLevel="1" x14ac:dyDescent="0.2">
      <c r="A35" s="459"/>
      <c r="B35" s="467" t="str">
        <f t="shared" si="7"/>
        <v>Plastics</v>
      </c>
      <c r="C35" s="647" t="s">
        <v>119</v>
      </c>
      <c r="D35" s="30"/>
      <c r="E35" s="30"/>
      <c r="F35" s="30"/>
      <c r="G35" s="30"/>
      <c r="H35" s="285">
        <f>G35/Pop_NT*1000</f>
        <v>0</v>
      </c>
      <c r="I35" s="2799"/>
      <c r="J35" s="2800"/>
      <c r="K35" s="2800"/>
      <c r="L35" s="2797"/>
      <c r="M35" s="2798"/>
      <c r="N35" s="906"/>
      <c r="O35" s="907"/>
      <c r="P35" s="908"/>
      <c r="Q35" s="30"/>
      <c r="R35" s="30"/>
      <c r="S35" s="30"/>
      <c r="T35" s="30"/>
      <c r="U35" s="274"/>
    </row>
    <row r="36" spans="1:22" s="247" customFormat="1" x14ac:dyDescent="0.2">
      <c r="A36" s="459"/>
      <c r="B36" s="465" t="str">
        <f t="shared" si="7"/>
        <v>Plastics</v>
      </c>
      <c r="C36" s="644" t="s">
        <v>115</v>
      </c>
      <c r="D36" s="237">
        <f>NT!G57</f>
        <v>26167.021302809728</v>
      </c>
      <c r="E36" s="237">
        <f>NT!H57</f>
        <v>9103.6082793770711</v>
      </c>
      <c r="F36" s="237">
        <f>NT!I57</f>
        <v>5088.4509467793496</v>
      </c>
      <c r="G36" s="237">
        <f>SUM(D36:F36)</f>
        <v>40359.080528966144</v>
      </c>
      <c r="H36" s="275">
        <f>G36/Pop_NT*1000</f>
        <v>165.95630812392787</v>
      </c>
      <c r="I36" s="237">
        <f>SUM(I27:I35)</f>
        <v>12448</v>
      </c>
      <c r="J36" s="237">
        <f>SUM(J27:J35)</f>
        <v>0</v>
      </c>
      <c r="K36" s="237">
        <f>SUM(K27:K35)</f>
        <v>0</v>
      </c>
      <c r="L36" s="237">
        <f>SUM(I36:K36)</f>
        <v>12448</v>
      </c>
      <c r="M36" s="281">
        <f>L36/Pop_NT*1000</f>
        <v>51.186104748942192</v>
      </c>
      <c r="N36" s="906"/>
      <c r="O36" s="907"/>
      <c r="P36" s="908"/>
      <c r="Q36" s="237"/>
      <c r="R36" s="237"/>
      <c r="S36" s="237"/>
      <c r="T36" s="237"/>
      <c r="U36" s="275"/>
    </row>
    <row r="37" spans="1:22" s="76" customFormat="1" x14ac:dyDescent="0.2">
      <c r="A37" s="459"/>
      <c r="B37" s="306" t="s">
        <v>30</v>
      </c>
      <c r="C37" s="648" t="s">
        <v>30</v>
      </c>
      <c r="D37" s="972">
        <f>NT!G58</f>
        <v>8838.1226801903267</v>
      </c>
      <c r="E37" s="973">
        <f>NT!H58</f>
        <v>1140.2497585119729</v>
      </c>
      <c r="F37" s="973">
        <f>NT!I58</f>
        <v>4.5150710348081713</v>
      </c>
      <c r="G37" s="973">
        <f>SUM(D37:F37)</f>
        <v>9982.8875097371074</v>
      </c>
      <c r="H37" s="974">
        <f>G37/Pop_NT*1000</f>
        <v>41.049576299028779</v>
      </c>
      <c r="I37" s="973">
        <f>NT!G97</f>
        <v>3100.971</v>
      </c>
      <c r="J37" s="973">
        <f>NT!H97</f>
        <v>0</v>
      </c>
      <c r="K37" s="973">
        <f>NT!I97</f>
        <v>0</v>
      </c>
      <c r="L37" s="973">
        <f>SUM(I37:K37)</f>
        <v>3100.971</v>
      </c>
      <c r="M37" s="975">
        <f>L37/Pop_NT*1000</f>
        <v>12.751175002364397</v>
      </c>
      <c r="N37" s="909"/>
      <c r="O37" s="910"/>
      <c r="P37" s="911"/>
      <c r="Q37" s="913"/>
      <c r="R37" s="913"/>
      <c r="S37" s="913"/>
      <c r="T37" s="913"/>
      <c r="U37" s="929"/>
    </row>
    <row r="38" spans="1:22" ht="12.75" customHeight="1" outlineLevel="1" x14ac:dyDescent="0.2">
      <c r="A38" s="459"/>
      <c r="B38" s="465" t="s">
        <v>27</v>
      </c>
      <c r="C38" s="643" t="s">
        <v>83</v>
      </c>
      <c r="D38" s="976"/>
      <c r="E38" s="963"/>
      <c r="F38" s="963"/>
      <c r="G38" s="963"/>
      <c r="H38" s="978"/>
      <c r="I38" s="963"/>
      <c r="J38" s="963"/>
      <c r="K38" s="963"/>
      <c r="L38" s="963"/>
      <c r="M38" s="964"/>
      <c r="N38" s="282"/>
      <c r="O38" s="29"/>
      <c r="P38" s="28"/>
      <c r="Q38" s="29"/>
      <c r="R38" s="29"/>
      <c r="S38" s="29"/>
      <c r="T38" s="29"/>
      <c r="U38" s="272"/>
      <c r="V38" s="74"/>
    </row>
    <row r="39" spans="1:22" ht="12.75" customHeight="1" outlineLevel="1" x14ac:dyDescent="0.2">
      <c r="A39" s="459"/>
      <c r="B39" s="467" t="str">
        <f>B38</f>
        <v>Other</v>
      </c>
      <c r="C39" s="643" t="s">
        <v>568</v>
      </c>
      <c r="D39" s="279"/>
      <c r="E39" s="27"/>
      <c r="F39" s="27"/>
      <c r="G39" s="27"/>
      <c r="H39" s="280"/>
      <c r="I39" s="29"/>
      <c r="J39" s="29"/>
      <c r="K39" s="29"/>
      <c r="L39" s="29"/>
      <c r="M39" s="272"/>
      <c r="N39" s="279"/>
      <c r="O39" s="29"/>
      <c r="P39" s="297"/>
      <c r="Q39" s="27"/>
      <c r="R39" s="29"/>
      <c r="S39" s="27"/>
      <c r="T39" s="29"/>
      <c r="U39" s="272"/>
      <c r="V39" s="74"/>
    </row>
    <row r="40" spans="1:22" s="247" customFormat="1" x14ac:dyDescent="0.2">
      <c r="A40" s="459"/>
      <c r="B40" s="465" t="str">
        <f>B39</f>
        <v>Other</v>
      </c>
      <c r="C40" s="644" t="s">
        <v>115</v>
      </c>
      <c r="D40" s="965">
        <f>NT!G59</f>
        <v>3576.6697024947748</v>
      </c>
      <c r="E40" s="966">
        <f>NT!H59</f>
        <v>3546.691713015714</v>
      </c>
      <c r="F40" s="966">
        <f>NT!I59</f>
        <v>0</v>
      </c>
      <c r="G40" s="966">
        <f>SUM(D40:F40)</f>
        <v>7123.3614155104888</v>
      </c>
      <c r="H40" s="967">
        <f>G40/Pop_NT*1000</f>
        <v>29.291221367198986</v>
      </c>
      <c r="I40" s="966">
        <f>NT!G98</f>
        <v>5460.42</v>
      </c>
      <c r="J40" s="966">
        <f>NT!H98</f>
        <v>330.13</v>
      </c>
      <c r="K40" s="966">
        <f>NT!I98</f>
        <v>0</v>
      </c>
      <c r="L40" s="966">
        <f>SUM(I40:K40)</f>
        <v>5790.55</v>
      </c>
      <c r="M40" s="968">
        <f>L40/Pop_NT*1000</f>
        <v>23.810708455493831</v>
      </c>
      <c r="N40" s="281">
        <f>'Other national data'!G334</f>
        <v>347.22839817882908</v>
      </c>
      <c r="O40" s="237">
        <f>'Other national data'!H334</f>
        <v>344.31809050905025</v>
      </c>
      <c r="P40" s="238">
        <f>'Other national data'!I334</f>
        <v>0</v>
      </c>
      <c r="Q40" s="237">
        <f>N40+SUM(Q38:Q39)</f>
        <v>347.22839817882908</v>
      </c>
      <c r="R40" s="237">
        <f>O40+SUM(R38:R39)</f>
        <v>344.31809050905025</v>
      </c>
      <c r="S40" s="237">
        <f>P40+SUM(S38:S39)</f>
        <v>0</v>
      </c>
      <c r="T40" s="237">
        <f>SUM(Q40:S40)</f>
        <v>691.54648868787933</v>
      </c>
      <c r="U40" s="273">
        <f>T40/Pop_NT*1000</f>
        <v>2.8436352031443568</v>
      </c>
      <c r="V40" s="246"/>
    </row>
    <row r="41" spans="1:22" outlineLevel="1" x14ac:dyDescent="0.2">
      <c r="A41" s="459"/>
      <c r="B41" s="454" t="s">
        <v>35</v>
      </c>
      <c r="C41" s="1079" t="s">
        <v>867</v>
      </c>
      <c r="D41" s="1073"/>
      <c r="E41" s="963">
        <f>NT!$G108*'Other national data'!I447</f>
        <v>0</v>
      </c>
      <c r="F41" s="963">
        <f>NT!$G108*'Other national data'!J447</f>
        <v>0</v>
      </c>
      <c r="G41" s="963">
        <f>SUM(D41:F41)</f>
        <v>0</v>
      </c>
      <c r="H41" s="964">
        <f t="shared" ref="H41:H61" si="8">G41/Pop_NT*1000</f>
        <v>0</v>
      </c>
      <c r="I41" s="1073"/>
      <c r="J41" s="963">
        <f>NT!$H108*'Other national data'!I447</f>
        <v>0</v>
      </c>
      <c r="K41" s="963">
        <f>NT!$H108*'Other national data'!J447</f>
        <v>0</v>
      </c>
      <c r="L41" s="963">
        <f>SUM(I41:K41)</f>
        <v>0</v>
      </c>
      <c r="M41" s="964">
        <f t="shared" ref="M41:M61" si="9">L41/Pop_NT*1000</f>
        <v>0</v>
      </c>
      <c r="N41" s="910"/>
      <c r="O41" s="910"/>
      <c r="P41" s="911"/>
      <c r="Q41" s="927"/>
      <c r="R41" s="913"/>
      <c r="S41" s="913"/>
      <c r="T41" s="928"/>
      <c r="U41" s="926"/>
      <c r="V41" s="74"/>
    </row>
    <row r="42" spans="1:22" outlineLevel="1" x14ac:dyDescent="0.2">
      <c r="A42" s="459"/>
      <c r="B42" s="468" t="str">
        <f>B41</f>
        <v>Hazardous</v>
      </c>
      <c r="C42" s="1080" t="s">
        <v>152</v>
      </c>
      <c r="D42" s="910"/>
      <c r="E42" s="29">
        <f>NT!$G109*'Other national data'!I448</f>
        <v>3.3560641790130991E-2</v>
      </c>
      <c r="F42" s="29">
        <f>NT!$G109*'Other national data'!J448</f>
        <v>0</v>
      </c>
      <c r="G42" s="29">
        <f>SUM(D42:F42)</f>
        <v>3.3560641790130991E-2</v>
      </c>
      <c r="H42" s="272">
        <f t="shared" si="8"/>
        <v>1.3800116694339426E-4</v>
      </c>
      <c r="I42" s="910"/>
      <c r="J42" s="29">
        <f>NT!$H109*'Other national data'!I448</f>
        <v>0.1274393582098674</v>
      </c>
      <c r="K42" s="29">
        <f>NT!$H109*'Other national data'!J448</f>
        <v>0</v>
      </c>
      <c r="L42" s="29">
        <f>SUM(I42:K42)</f>
        <v>0.1274393582098674</v>
      </c>
      <c r="M42" s="272">
        <f t="shared" si="9"/>
        <v>5.2402991150933792E-4</v>
      </c>
      <c r="N42" s="910"/>
      <c r="O42" s="910"/>
      <c r="P42" s="911"/>
      <c r="Q42" s="927"/>
      <c r="R42" s="913"/>
      <c r="S42" s="913"/>
      <c r="T42" s="928"/>
      <c r="U42" s="926"/>
      <c r="V42" s="74"/>
    </row>
    <row r="43" spans="1:22" outlineLevel="1" x14ac:dyDescent="0.2">
      <c r="A43" s="459"/>
      <c r="B43" s="468" t="str">
        <f t="shared" ref="B43:B60" si="10">B42</f>
        <v>Hazardous</v>
      </c>
      <c r="C43" s="1080" t="s">
        <v>156</v>
      </c>
      <c r="D43" s="910"/>
      <c r="E43" s="29">
        <f>NT!$G110*'Other national data'!I449</f>
        <v>28.840638272824158</v>
      </c>
      <c r="F43" s="29">
        <f>NT!$G110*'Other national data'!J449</f>
        <v>0</v>
      </c>
      <c r="G43" s="29">
        <f t="shared" ref="G43:G55" si="11">SUM(D43:F43)</f>
        <v>28.840638272824158</v>
      </c>
      <c r="H43" s="272">
        <f t="shared" si="8"/>
        <v>0.11859253949703796</v>
      </c>
      <c r="I43" s="910"/>
      <c r="J43" s="29">
        <f>NT!$H110*'Other national data'!I449</f>
        <v>91.359361727174644</v>
      </c>
      <c r="K43" s="29">
        <f>NT!$H110*'Other national data'!J449</f>
        <v>0</v>
      </c>
      <c r="L43" s="29">
        <f t="shared" ref="L43:L55" si="12">SUM(I43:K43)</f>
        <v>91.359361727174644</v>
      </c>
      <c r="M43" s="272">
        <f t="shared" si="9"/>
        <v>0.37566917249065407</v>
      </c>
      <c r="N43" s="910"/>
      <c r="O43" s="910"/>
      <c r="P43" s="911"/>
      <c r="Q43" s="927"/>
      <c r="R43" s="913"/>
      <c r="S43" s="913"/>
      <c r="T43" s="928"/>
      <c r="U43" s="926"/>
      <c r="V43" s="74"/>
    </row>
    <row r="44" spans="1:22" outlineLevel="1" x14ac:dyDescent="0.2">
      <c r="A44" s="459"/>
      <c r="B44" s="468" t="str">
        <f t="shared" si="10"/>
        <v>Hazardous</v>
      </c>
      <c r="C44" s="1080" t="s">
        <v>160</v>
      </c>
      <c r="D44" s="910"/>
      <c r="E44" s="29">
        <f>NT!$G111*'Other national data'!I450</f>
        <v>78.946039488951754</v>
      </c>
      <c r="F44" s="29">
        <f>NT!$G111*'Other national data'!J450</f>
        <v>0</v>
      </c>
      <c r="G44" s="29">
        <f t="shared" si="11"/>
        <v>78.946039488951754</v>
      </c>
      <c r="H44" s="272">
        <f t="shared" si="8"/>
        <v>0.32462566249964742</v>
      </c>
      <c r="I44" s="910"/>
      <c r="J44" s="29">
        <f>NT!$H111*'Other national data'!I450</f>
        <v>204.1602305110454</v>
      </c>
      <c r="K44" s="29">
        <f>NT!$H111*'Other national data'!J450</f>
        <v>0</v>
      </c>
      <c r="L44" s="29">
        <f t="shared" si="12"/>
        <v>204.1602305110454</v>
      </c>
      <c r="M44" s="272">
        <f t="shared" si="9"/>
        <v>0.83950569926948526</v>
      </c>
      <c r="N44" s="910"/>
      <c r="O44" s="910"/>
      <c r="P44" s="911"/>
      <c r="Q44" s="927"/>
      <c r="R44" s="913"/>
      <c r="S44" s="913"/>
      <c r="T44" s="928"/>
      <c r="U44" s="925"/>
      <c r="V44" s="74"/>
    </row>
    <row r="45" spans="1:22" outlineLevel="1" x14ac:dyDescent="0.2">
      <c r="A45" s="459"/>
      <c r="B45" s="468" t="str">
        <f t="shared" si="10"/>
        <v>Hazardous</v>
      </c>
      <c r="C45" s="1080" t="s">
        <v>210</v>
      </c>
      <c r="D45" s="910"/>
      <c r="E45" s="29">
        <f>NT!$G112*'Other national data'!I451</f>
        <v>0</v>
      </c>
      <c r="F45" s="29">
        <f>NT!$G112*'Other national data'!J451</f>
        <v>0</v>
      </c>
      <c r="G45" s="29">
        <f t="shared" si="11"/>
        <v>0</v>
      </c>
      <c r="H45" s="272">
        <f t="shared" si="8"/>
        <v>0</v>
      </c>
      <c r="I45" s="910"/>
      <c r="J45" s="29">
        <f>NT!$H112*'Other national data'!I451</f>
        <v>0</v>
      </c>
      <c r="K45" s="29">
        <f>NT!$H112*'Other national data'!J451</f>
        <v>0</v>
      </c>
      <c r="L45" s="29">
        <f t="shared" si="12"/>
        <v>0</v>
      </c>
      <c r="M45" s="272">
        <f t="shared" si="9"/>
        <v>0</v>
      </c>
      <c r="N45" s="910"/>
      <c r="O45" s="910"/>
      <c r="P45" s="911"/>
      <c r="Q45" s="927"/>
      <c r="R45" s="29">
        <f>NT!$I112*'Other national data'!I451</f>
        <v>0</v>
      </c>
      <c r="S45" s="29">
        <f>NT!$I112*'Other national data'!J451</f>
        <v>0</v>
      </c>
      <c r="T45" s="29">
        <f>SUM(Q45:S45)</f>
        <v>0</v>
      </c>
      <c r="U45" s="272">
        <f>T45/Pop_NT*1000</f>
        <v>0</v>
      </c>
      <c r="V45" s="74"/>
    </row>
    <row r="46" spans="1:22" outlineLevel="1" x14ac:dyDescent="0.2">
      <c r="A46" s="459"/>
      <c r="B46" s="468" t="str">
        <f t="shared" si="10"/>
        <v>Hazardous</v>
      </c>
      <c r="C46" s="1080" t="s">
        <v>214</v>
      </c>
      <c r="D46" s="910"/>
      <c r="E46" s="29">
        <f>NT!$G113*'Other national data'!I452</f>
        <v>14.385695265122148</v>
      </c>
      <c r="F46" s="29">
        <f>NT!$G113*'Other national data'!J452</f>
        <v>0</v>
      </c>
      <c r="G46" s="29">
        <f t="shared" si="11"/>
        <v>14.385695265122148</v>
      </c>
      <c r="H46" s="272">
        <f t="shared" si="8"/>
        <v>5.9153896587958221E-2</v>
      </c>
      <c r="I46" s="910"/>
      <c r="J46" s="29">
        <f>NT!$H113*'Other national data'!I452</f>
        <v>30.505304734877399</v>
      </c>
      <c r="K46" s="29">
        <f>NT!$H113*'Other national data'!J452</f>
        <v>0</v>
      </c>
      <c r="L46" s="29">
        <f t="shared" si="12"/>
        <v>30.505304734877399</v>
      </c>
      <c r="M46" s="272">
        <f t="shared" si="9"/>
        <v>0.12543763846062314</v>
      </c>
      <c r="N46" s="910"/>
      <c r="O46" s="910"/>
      <c r="P46" s="911"/>
      <c r="Q46" s="927"/>
      <c r="R46" s="29">
        <f>NT!$I113*'Other national data'!I452</f>
        <v>4.4891E-13</v>
      </c>
      <c r="S46" s="29">
        <f>NT!$I113*'Other national data'!J452</f>
        <v>0</v>
      </c>
      <c r="T46" s="29">
        <f>SUM(Q46:S46)</f>
        <v>4.4891E-13</v>
      </c>
      <c r="U46" s="272">
        <f>T46/Pop_NT*1000</f>
        <v>1.8459153504858321E-15</v>
      </c>
      <c r="V46" s="74"/>
    </row>
    <row r="47" spans="1:22" outlineLevel="1" x14ac:dyDescent="0.2">
      <c r="A47" s="459"/>
      <c r="B47" s="468" t="str">
        <f t="shared" si="10"/>
        <v>Hazardous</v>
      </c>
      <c r="C47" s="1080" t="s">
        <v>220</v>
      </c>
      <c r="D47" s="910"/>
      <c r="E47" s="29">
        <f>NT!$G114*'Other national data'!I453</f>
        <v>0</v>
      </c>
      <c r="F47" s="29">
        <f>NT!$G114*'Other national data'!J453</f>
        <v>0</v>
      </c>
      <c r="G47" s="29">
        <f t="shared" si="11"/>
        <v>0</v>
      </c>
      <c r="H47" s="272">
        <f t="shared" si="8"/>
        <v>0</v>
      </c>
      <c r="I47" s="910"/>
      <c r="J47" s="29">
        <f>NT!$H114*'Other national data'!I453</f>
        <v>0</v>
      </c>
      <c r="K47" s="29">
        <f>NT!$H114*'Other national data'!J453</f>
        <v>0</v>
      </c>
      <c r="L47" s="29">
        <f t="shared" si="12"/>
        <v>0</v>
      </c>
      <c r="M47" s="272">
        <f t="shared" si="9"/>
        <v>0</v>
      </c>
      <c r="N47" s="910"/>
      <c r="O47" s="910"/>
      <c r="P47" s="911"/>
      <c r="Q47" s="927"/>
      <c r="R47" s="29">
        <f>NT!$I114*'Other national data'!I453</f>
        <v>0</v>
      </c>
      <c r="S47" s="29">
        <f>NT!$I114*'Other national data'!J453</f>
        <v>0</v>
      </c>
      <c r="T47" s="29">
        <f>SUM(Q47:S47)</f>
        <v>0</v>
      </c>
      <c r="U47" s="272">
        <f>T47/Pop_NT*1000</f>
        <v>0</v>
      </c>
      <c r="V47" s="74"/>
    </row>
    <row r="48" spans="1:22" outlineLevel="1" x14ac:dyDescent="0.2">
      <c r="A48" s="459"/>
      <c r="B48" s="468" t="str">
        <f t="shared" si="10"/>
        <v>Hazardous</v>
      </c>
      <c r="C48" s="1080" t="s">
        <v>230</v>
      </c>
      <c r="D48" s="910"/>
      <c r="E48" s="29">
        <f>NT!$G115*'Other national data'!I454</f>
        <v>2.044814058420882E-2</v>
      </c>
      <c r="F48" s="29">
        <f>NT!$G115*'Other national data'!J454</f>
        <v>0</v>
      </c>
      <c r="G48" s="29">
        <f t="shared" si="11"/>
        <v>2.044814058420882E-2</v>
      </c>
      <c r="H48" s="272">
        <f t="shared" si="8"/>
        <v>8.4082637039235909E-5</v>
      </c>
      <c r="I48" s="910"/>
      <c r="J48" s="29">
        <f>NT!$H115*'Other national data'!I454</f>
        <v>0.28455185941578814</v>
      </c>
      <c r="K48" s="29">
        <f>NT!$H115*'Other national data'!J454</f>
        <v>0</v>
      </c>
      <c r="L48" s="29">
        <f t="shared" si="12"/>
        <v>0.28455185941578814</v>
      </c>
      <c r="M48" s="272">
        <f t="shared" si="9"/>
        <v>1.1700756171724618E-3</v>
      </c>
      <c r="N48" s="910"/>
      <c r="O48" s="910"/>
      <c r="P48" s="911"/>
      <c r="Q48" s="927"/>
      <c r="R48" s="913"/>
      <c r="S48" s="913"/>
      <c r="T48" s="928"/>
      <c r="U48" s="926"/>
      <c r="V48" s="74"/>
    </row>
    <row r="49" spans="1:47" outlineLevel="1" x14ac:dyDescent="0.2">
      <c r="A49" s="459"/>
      <c r="B49" s="468" t="str">
        <f t="shared" si="10"/>
        <v>Hazardous</v>
      </c>
      <c r="C49" s="1080" t="s">
        <v>238</v>
      </c>
      <c r="D49" s="910"/>
      <c r="E49" s="29">
        <f>NT!$G116*'Other national data'!I455</f>
        <v>480.80583742398022</v>
      </c>
      <c r="F49" s="29">
        <f>NT!$G116*'Other national data'!J455</f>
        <v>0</v>
      </c>
      <c r="G49" s="29">
        <f t="shared" si="11"/>
        <v>480.80583742398022</v>
      </c>
      <c r="H49" s="272">
        <f t="shared" si="8"/>
        <v>1.9770708514047814</v>
      </c>
      <c r="I49" s="910"/>
      <c r="J49" s="29">
        <f>NT!$H116*'Other national data'!I455</f>
        <v>3997.7813625759745</v>
      </c>
      <c r="K49" s="29">
        <f>NT!$H116*'Other national data'!J455</f>
        <v>0</v>
      </c>
      <c r="L49" s="29">
        <f t="shared" si="12"/>
        <v>3997.7813625759745</v>
      </c>
      <c r="M49" s="272">
        <f t="shared" si="9"/>
        <v>16.438854080027529</v>
      </c>
      <c r="N49" s="910"/>
      <c r="O49" s="910"/>
      <c r="P49" s="911"/>
      <c r="Q49" s="927"/>
      <c r="R49" s="29">
        <f>NT!$I116*'Other national data'!I455</f>
        <v>4.4785871999999996E-11</v>
      </c>
      <c r="S49" s="29">
        <f>NT!$I116*'Other national data'!J455</f>
        <v>0</v>
      </c>
      <c r="T49" s="29">
        <f>SUM(Q49:S49)</f>
        <v>4.4785871999999996E-11</v>
      </c>
      <c r="U49" s="272">
        <f>T49/Pop_NT*1000</f>
        <v>1.8415924931432494E-13</v>
      </c>
      <c r="V49" s="74"/>
    </row>
    <row r="50" spans="1:47" outlineLevel="1" x14ac:dyDescent="0.2">
      <c r="A50" s="459"/>
      <c r="B50" s="468" t="str">
        <f t="shared" si="10"/>
        <v>Hazardous</v>
      </c>
      <c r="C50" s="1080" t="s">
        <v>246</v>
      </c>
      <c r="D50" s="910"/>
      <c r="E50" s="29">
        <f>NT!$G117*'Other national data'!I456</f>
        <v>434.84687375850439</v>
      </c>
      <c r="F50" s="29">
        <f>NT!$G117*'Other national data'!J456</f>
        <v>0</v>
      </c>
      <c r="G50" s="29">
        <f t="shared" si="11"/>
        <v>434.84687375850439</v>
      </c>
      <c r="H50" s="272">
        <f t="shared" si="8"/>
        <v>1.7880878558766746</v>
      </c>
      <c r="I50" s="910"/>
      <c r="J50" s="29">
        <f>NT!$H117*'Other national data'!I456</f>
        <v>8173.2898129713712</v>
      </c>
      <c r="K50" s="29">
        <f>NT!$H117*'Other national data'!J456</f>
        <v>0</v>
      </c>
      <c r="L50" s="29">
        <f t="shared" si="12"/>
        <v>8173.2898129713712</v>
      </c>
      <c r="M50" s="272">
        <f t="shared" si="9"/>
        <v>33.608520927877144</v>
      </c>
      <c r="N50" s="910"/>
      <c r="O50" s="910"/>
      <c r="P50" s="911"/>
      <c r="Q50" s="927"/>
      <c r="R50" s="29">
        <f>NT!$I117*'Other national data'!I456</f>
        <v>8.6081366867299624E-11</v>
      </c>
      <c r="S50" s="29">
        <f>NT!$I117*'Other national data'!J456</f>
        <v>0</v>
      </c>
      <c r="T50" s="29">
        <f>SUM(Q50:S50)</f>
        <v>8.6081366867299624E-11</v>
      </c>
      <c r="U50" s="272">
        <f>T50/Pop_NT*1000</f>
        <v>3.5396608783754176E-13</v>
      </c>
      <c r="V50" s="74"/>
    </row>
    <row r="51" spans="1:47" outlineLevel="1" x14ac:dyDescent="0.2">
      <c r="A51" s="459"/>
      <c r="B51" s="468" t="str">
        <f t="shared" si="10"/>
        <v>Hazardous</v>
      </c>
      <c r="C51" s="1080" t="s">
        <v>256</v>
      </c>
      <c r="D51" s="910"/>
      <c r="E51" s="29">
        <f>NT!$G118*'Other national data'!I457</f>
        <v>1.916411531804538</v>
      </c>
      <c r="F51" s="29">
        <f>NT!$G118*'Other national data'!J457</f>
        <v>0</v>
      </c>
      <c r="G51" s="29">
        <f t="shared" si="11"/>
        <v>1.916411531804538</v>
      </c>
      <c r="H51" s="272">
        <f t="shared" si="8"/>
        <v>7.8802732494398977E-3</v>
      </c>
      <c r="I51" s="910"/>
      <c r="J51" s="29">
        <f>NT!$H118*'Other national data'!I457</f>
        <v>0.72358846819543576</v>
      </c>
      <c r="K51" s="29">
        <f>NT!$H118*'Other national data'!J457</f>
        <v>0</v>
      </c>
      <c r="L51" s="29">
        <f t="shared" si="12"/>
        <v>0.72358846819543576</v>
      </c>
      <c r="M51" s="272">
        <f t="shared" si="9"/>
        <v>2.9753916394744694E-3</v>
      </c>
      <c r="N51" s="910"/>
      <c r="O51" s="910"/>
      <c r="P51" s="911"/>
      <c r="Q51" s="927"/>
      <c r="R51" s="29">
        <f>NT!$I118*'Other national data'!I457</f>
        <v>2.64E-14</v>
      </c>
      <c r="S51" s="29">
        <f>NT!$I118*'Other national data'!J457</f>
        <v>0</v>
      </c>
      <c r="T51" s="29">
        <f>SUM(Q51:S51)</f>
        <v>2.64E-14</v>
      </c>
      <c r="U51" s="272">
        <f>T51/Pop_NT*1000</f>
        <v>1.0855664888914474E-16</v>
      </c>
      <c r="V51" s="74"/>
    </row>
    <row r="52" spans="1:47" outlineLevel="1" x14ac:dyDescent="0.2">
      <c r="A52" s="459"/>
      <c r="B52" s="468" t="str">
        <f t="shared" si="10"/>
        <v>Hazardous</v>
      </c>
      <c r="C52" s="1081" t="s">
        <v>343</v>
      </c>
      <c r="D52" s="910"/>
      <c r="E52" s="29">
        <f>NT!$G119*'Other national data'!I458</f>
        <v>3273.2747699540414</v>
      </c>
      <c r="F52" s="29">
        <f>NT!$G119*'Other national data'!J458</f>
        <v>8416.9922655961054</v>
      </c>
      <c r="G52" s="29">
        <f t="shared" si="11"/>
        <v>11690.267035550147</v>
      </c>
      <c r="H52" s="272">
        <f t="shared" si="8"/>
        <v>48.070311136309101</v>
      </c>
      <c r="I52" s="910"/>
      <c r="J52" s="29">
        <f>NT!$H119*'Other national data'!I458</f>
        <v>50.630154790441807</v>
      </c>
      <c r="K52" s="29">
        <f>NT!$H119*'Other national data'!J458</f>
        <v>130.19182660399321</v>
      </c>
      <c r="L52" s="29">
        <f t="shared" si="12"/>
        <v>180.821981394435</v>
      </c>
      <c r="M52" s="272">
        <f t="shared" si="9"/>
        <v>0.74353895248769475</v>
      </c>
      <c r="N52" s="910"/>
      <c r="O52" s="910"/>
      <c r="P52" s="911"/>
      <c r="Q52" s="927"/>
      <c r="R52" s="29">
        <f>NT!$I119*'Other national data'!I458</f>
        <v>3.3239049247445167E-11</v>
      </c>
      <c r="S52" s="29">
        <f>NT!$I119*'Other national data'!J458</f>
        <v>8.5471840922001857E-11</v>
      </c>
      <c r="T52" s="29">
        <f>SUM(Q52:S52)</f>
        <v>1.1871089016944702E-10</v>
      </c>
      <c r="U52" s="272">
        <f>T52/Pop_NT*1000</f>
        <v>4.8813850088797296E-13</v>
      </c>
      <c r="V52" s="74"/>
    </row>
    <row r="53" spans="1:47" outlineLevel="1" x14ac:dyDescent="0.2">
      <c r="A53" s="459"/>
      <c r="B53" s="468" t="str">
        <f t="shared" si="10"/>
        <v>Hazardous</v>
      </c>
      <c r="C53" s="1081" t="s">
        <v>97</v>
      </c>
      <c r="D53" s="910"/>
      <c r="E53" s="29">
        <f>NT!$G120*'Other national data'!I459</f>
        <v>459.9862</v>
      </c>
      <c r="F53" s="29">
        <f>NT!$G120*'Other national data'!J459</f>
        <v>539.98380000000009</v>
      </c>
      <c r="G53" s="29">
        <f t="shared" si="11"/>
        <v>999.97</v>
      </c>
      <c r="H53" s="272">
        <f t="shared" si="8"/>
        <v>4.1118709162756844</v>
      </c>
      <c r="I53" s="910"/>
      <c r="J53" s="29">
        <f>NT!$H120*'Other national data'!I459</f>
        <v>-4.5998620000000001E-12</v>
      </c>
      <c r="K53" s="29">
        <f>NT!$H120*'Other national data'!J459</f>
        <v>-5.3998380000000006E-12</v>
      </c>
      <c r="L53" s="29">
        <f t="shared" si="12"/>
        <v>-9.9997000000000007E-12</v>
      </c>
      <c r="M53" s="272">
        <f t="shared" si="9"/>
        <v>-4.1118709162756846E-14</v>
      </c>
      <c r="N53" s="910"/>
      <c r="O53" s="910"/>
      <c r="P53" s="911"/>
      <c r="Q53" s="927"/>
      <c r="R53" s="913"/>
      <c r="S53" s="913"/>
      <c r="T53" s="928"/>
      <c r="U53" s="926"/>
      <c r="V53" s="74"/>
    </row>
    <row r="54" spans="1:47" outlineLevel="1" x14ac:dyDescent="0.2">
      <c r="A54" s="459"/>
      <c r="B54" s="468" t="str">
        <f t="shared" si="10"/>
        <v>Hazardous</v>
      </c>
      <c r="C54" s="1081" t="s">
        <v>345</v>
      </c>
      <c r="D54" s="910"/>
      <c r="E54" s="29">
        <f>NT!$G121*'Other national data'!I460</f>
        <v>1042.5961818869123</v>
      </c>
      <c r="F54" s="29">
        <f>NT!$G121*'Other national data'!J460</f>
        <v>0</v>
      </c>
      <c r="G54" s="29">
        <f t="shared" si="11"/>
        <v>1042.5961818869123</v>
      </c>
      <c r="H54" s="272">
        <f t="shared" si="8"/>
        <v>4.2871495322068345</v>
      </c>
      <c r="I54" s="910"/>
      <c r="J54" s="29">
        <f>NT!$H121*'Other national data'!I460</f>
        <v>8919.9895561435842</v>
      </c>
      <c r="K54" s="29">
        <f>NT!$H121*'Other national data'!J460</f>
        <v>0</v>
      </c>
      <c r="L54" s="29">
        <f t="shared" si="12"/>
        <v>8919.9895561435842</v>
      </c>
      <c r="M54" s="272">
        <f t="shared" si="9"/>
        <v>36.678945997769588</v>
      </c>
      <c r="N54" s="910"/>
      <c r="O54" s="910"/>
      <c r="P54" s="911"/>
      <c r="Q54" s="927"/>
      <c r="R54" s="29">
        <f>NT!$I121*'Other national data'!I460</f>
        <v>0</v>
      </c>
      <c r="S54" s="29">
        <f>NT!$I121*'Other national data'!J460</f>
        <v>0</v>
      </c>
      <c r="T54" s="29">
        <f t="shared" ref="T54:T59" si="13">SUM(Q54:S54)</f>
        <v>0</v>
      </c>
      <c r="U54" s="272">
        <f t="shared" ref="U54:U59" si="14">T54/Pop_NT*1000</f>
        <v>0</v>
      </c>
      <c r="V54" s="74"/>
    </row>
    <row r="55" spans="1:47" outlineLevel="1" x14ac:dyDescent="0.2">
      <c r="A55" s="459"/>
      <c r="B55" s="468" t="str">
        <f t="shared" si="10"/>
        <v>Hazardous</v>
      </c>
      <c r="C55" s="1080" t="s">
        <v>297</v>
      </c>
      <c r="D55" s="910"/>
      <c r="E55" s="29">
        <f>NT!$G122*'Other national data'!I461</f>
        <v>58.806087610825841</v>
      </c>
      <c r="F55" s="29">
        <f>NT!$G122*'Other national data'!J461</f>
        <v>0</v>
      </c>
      <c r="G55" s="29">
        <f t="shared" si="11"/>
        <v>58.806087610825841</v>
      </c>
      <c r="H55" s="272">
        <f t="shared" si="8"/>
        <v>0.2418102956557843</v>
      </c>
      <c r="I55" s="910"/>
      <c r="J55" s="29">
        <f>NT!$H122*'Other national data'!I461</f>
        <v>17.388812389173388</v>
      </c>
      <c r="K55" s="29">
        <f>NT!$H122*'Other national data'!J461</f>
        <v>0</v>
      </c>
      <c r="L55" s="29">
        <f t="shared" si="12"/>
        <v>17.388812389173388</v>
      </c>
      <c r="M55" s="272">
        <f t="shared" si="9"/>
        <v>7.1502697012526734E-2</v>
      </c>
      <c r="N55" s="910"/>
      <c r="O55" s="910"/>
      <c r="P55" s="911"/>
      <c r="Q55" s="927"/>
      <c r="R55" s="29">
        <f>NT!$I122*'Other national data'!I461</f>
        <v>7.6194899999999993E-13</v>
      </c>
      <c r="S55" s="29">
        <f>NT!$I122*'Other national data'!J461</f>
        <v>0</v>
      </c>
      <c r="T55" s="29">
        <f t="shared" si="13"/>
        <v>7.6194899999999993E-13</v>
      </c>
      <c r="U55" s="272">
        <f t="shared" si="14"/>
        <v>3.1331299266831417E-15</v>
      </c>
      <c r="V55" s="74"/>
    </row>
    <row r="56" spans="1:47" outlineLevel="1" x14ac:dyDescent="0.2">
      <c r="A56" s="459"/>
      <c r="B56" s="468" t="str">
        <f t="shared" si="10"/>
        <v>Hazardous</v>
      </c>
      <c r="C56" s="1274" t="s">
        <v>39</v>
      </c>
      <c r="D56" s="910"/>
      <c r="E56" s="29">
        <f>NT!$G123*'Other national data'!I462</f>
        <v>1791.5348302529972</v>
      </c>
      <c r="F56" s="29">
        <f>NT!$G123*'Other national data'!J462</f>
        <v>0</v>
      </c>
      <c r="G56" s="29">
        <f t="shared" ref="G56:G60" si="15">SUM(D56:F56)</f>
        <v>1791.5348302529972</v>
      </c>
      <c r="H56" s="272">
        <f>G56/Pop_NT*1000</f>
        <v>7.3667809674412172</v>
      </c>
      <c r="I56" s="910"/>
      <c r="J56" s="29">
        <f>NT!$H123*'Other national data'!I462</f>
        <v>3198.9829576237489</v>
      </c>
      <c r="K56" s="29">
        <f>NT!$H123*'Other national data'!J462</f>
        <v>0</v>
      </c>
      <c r="L56" s="29">
        <f t="shared" ref="L56:L60" si="16">SUM(I56:K56)</f>
        <v>3198.9829576237489</v>
      </c>
      <c r="M56" s="272">
        <f>L56/Pop_NT*1000</f>
        <v>13.154199611102996</v>
      </c>
      <c r="N56" s="910"/>
      <c r="O56" s="910"/>
      <c r="P56" s="911"/>
      <c r="Q56" s="927"/>
      <c r="R56" s="29">
        <f>NT!$I123*'Other national data'!I462</f>
        <v>4.9905177878767951E-11</v>
      </c>
      <c r="S56" s="29">
        <f>NT!$I123*'Other national data'!J462</f>
        <v>0</v>
      </c>
      <c r="T56" s="29">
        <f t="shared" si="13"/>
        <v>4.9905177878767951E-11</v>
      </c>
      <c r="U56" s="272">
        <f t="shared" si="14"/>
        <v>2.0520980578544416E-13</v>
      </c>
      <c r="V56" s="74"/>
    </row>
    <row r="57" spans="1:47" outlineLevel="1" x14ac:dyDescent="0.2">
      <c r="A57" s="459"/>
      <c r="B57" s="468" t="str">
        <f t="shared" si="10"/>
        <v>Hazardous</v>
      </c>
      <c r="C57" s="1274" t="s">
        <v>904</v>
      </c>
      <c r="D57" s="910"/>
      <c r="E57" s="29">
        <f>NT!$G124*'Other national data'!I463</f>
        <v>5.0423501445077932</v>
      </c>
      <c r="F57" s="29">
        <f>NT!$G124*'Other national data'!J463</f>
        <v>0</v>
      </c>
      <c r="G57" s="29">
        <f t="shared" si="15"/>
        <v>5.0423501445077932</v>
      </c>
      <c r="H57" s="272">
        <f>G57/Pop_NT*1000</f>
        <v>2.073411493232806E-2</v>
      </c>
      <c r="I57" s="910"/>
      <c r="J57" s="29">
        <f>NT!$H124*'Other national data'!I463</f>
        <v>21.197649855491726</v>
      </c>
      <c r="K57" s="29">
        <f>NT!$H124*'Other national data'!J463</f>
        <v>0</v>
      </c>
      <c r="L57" s="29">
        <f t="shared" si="16"/>
        <v>21.197649855491726</v>
      </c>
      <c r="M57" s="272">
        <f>L57/Pop_NT*1000</f>
        <v>8.7164614872638074E-2</v>
      </c>
      <c r="N57" s="910"/>
      <c r="O57" s="910"/>
      <c r="P57" s="911"/>
      <c r="Q57" s="927"/>
      <c r="R57" s="29">
        <f>NT!$I124*'Other national data'!I463</f>
        <v>2.623999999999978E-13</v>
      </c>
      <c r="S57" s="29">
        <f>NT!$I124*'Other national data'!J463</f>
        <v>0</v>
      </c>
      <c r="T57" s="29">
        <f t="shared" si="13"/>
        <v>2.623999999999978E-13</v>
      </c>
      <c r="U57" s="272">
        <f t="shared" si="14"/>
        <v>1.0789872980496721E-15</v>
      </c>
      <c r="V57" s="74"/>
    </row>
    <row r="58" spans="1:47" outlineLevel="1" x14ac:dyDescent="0.2">
      <c r="A58" s="459"/>
      <c r="B58" s="468" t="str">
        <f t="shared" si="10"/>
        <v>Hazardous</v>
      </c>
      <c r="C58" s="649" t="s">
        <v>567</v>
      </c>
      <c r="D58" s="1074"/>
      <c r="E58" s="30">
        <f>SUMIF(Hazstate,"Solid",E$41:E$57)</f>
        <v>6710.1864593382361</v>
      </c>
      <c r="F58" s="30">
        <f>SUMIF(Hazstate,"Solid",F$41:F$57)</f>
        <v>8956.9760655961054</v>
      </c>
      <c r="G58" s="30">
        <f t="shared" si="15"/>
        <v>15667.162524934341</v>
      </c>
      <c r="H58" s="285">
        <f t="shared" si="8"/>
        <v>64.423282625320596</v>
      </c>
      <c r="I58" s="1076"/>
      <c r="J58" s="30">
        <f>SUMIF(Hazstate,"Solid",J$41:J$57)</f>
        <v>12412.349361313483</v>
      </c>
      <c r="K58" s="30">
        <f>SUMIF(Hazstate,"Solid",K$41:K$57)</f>
        <v>130.19182660398781</v>
      </c>
      <c r="L58" s="30">
        <f t="shared" si="16"/>
        <v>12542.541187917472</v>
      </c>
      <c r="M58" s="285">
        <f t="shared" si="9"/>
        <v>51.574857572514908</v>
      </c>
      <c r="N58" s="930"/>
      <c r="O58" s="930"/>
      <c r="P58" s="931"/>
      <c r="Q58" s="927"/>
      <c r="R58" s="30">
        <f>SUMIF(Hazstate,"Solid",R$41:R$57)</f>
        <v>8.4168576126213115E-11</v>
      </c>
      <c r="S58" s="30">
        <f>SUMIF(Hazstate,"Solid",S$41:S$57)</f>
        <v>8.5471840922001857E-11</v>
      </c>
      <c r="T58" s="30">
        <f t="shared" si="13"/>
        <v>1.6964041704821498E-10</v>
      </c>
      <c r="U58" s="924">
        <f t="shared" si="14"/>
        <v>6.9756042389814994E-13</v>
      </c>
      <c r="V58" s="74"/>
    </row>
    <row r="59" spans="1:47" outlineLevel="1" x14ac:dyDescent="0.2">
      <c r="A59" s="459"/>
      <c r="B59" s="468" t="str">
        <f t="shared" si="10"/>
        <v>Hazardous</v>
      </c>
      <c r="C59" s="649" t="s">
        <v>459</v>
      </c>
      <c r="D59" s="1074"/>
      <c r="E59" s="30">
        <f>SUMIF(Hazstate,"Liquid",E$41:E$57)</f>
        <v>960.84946503460981</v>
      </c>
      <c r="F59" s="30">
        <f>SUMIF(Hazstate,"Liquid",F$41:F$57)</f>
        <v>0</v>
      </c>
      <c r="G59" s="30">
        <f t="shared" si="15"/>
        <v>960.84946503460981</v>
      </c>
      <c r="H59" s="285">
        <f t="shared" si="8"/>
        <v>3.951007500419875</v>
      </c>
      <c r="I59" s="1076"/>
      <c r="J59" s="30">
        <f>SUMIF(Hazstate,"Liquid",J$41:J$57)</f>
        <v>12294.07142169522</v>
      </c>
      <c r="K59" s="30">
        <f>SUMIF(Hazstate,"Liquid",K$41:K$57)</f>
        <v>0</v>
      </c>
      <c r="L59" s="30">
        <f t="shared" si="16"/>
        <v>12294.07142169522</v>
      </c>
      <c r="M59" s="285">
        <f t="shared" si="9"/>
        <v>50.553151316024113</v>
      </c>
      <c r="N59" s="930"/>
      <c r="O59" s="930"/>
      <c r="P59" s="931"/>
      <c r="Q59" s="927"/>
      <c r="R59" s="30">
        <f>SUMIF(Hazstate,"Liquid",R$41:R$57)</f>
        <v>1.313425488672996E-10</v>
      </c>
      <c r="S59" s="30">
        <f>SUMIF(Hazstate,"Liquid",S$41:S$57)</f>
        <v>0</v>
      </c>
      <c r="T59" s="30">
        <f t="shared" si="13"/>
        <v>1.313425488672996E-10</v>
      </c>
      <c r="U59" s="924">
        <f t="shared" si="14"/>
        <v>5.4007980915124163E-13</v>
      </c>
      <c r="V59" s="74"/>
    </row>
    <row r="60" spans="1:47" s="76" customFormat="1" outlineLevel="1" x14ac:dyDescent="0.2">
      <c r="A60" s="459"/>
      <c r="B60" s="468" t="str">
        <f t="shared" si="10"/>
        <v>Hazardous</v>
      </c>
      <c r="C60" s="827" t="s">
        <v>2</v>
      </c>
      <c r="D60" s="932"/>
      <c r="E60" s="237">
        <f>'Other national data'!I148</f>
        <v>0</v>
      </c>
      <c r="F60" s="932"/>
      <c r="G60" s="237">
        <f t="shared" si="15"/>
        <v>0</v>
      </c>
      <c r="H60" s="275">
        <f t="shared" si="8"/>
        <v>0</v>
      </c>
      <c r="I60" s="913"/>
      <c r="J60" s="237">
        <f>'Other national data'!I149</f>
        <v>0</v>
      </c>
      <c r="K60" s="913"/>
      <c r="L60" s="237">
        <f t="shared" si="16"/>
        <v>0</v>
      </c>
      <c r="M60" s="273">
        <f t="shared" si="9"/>
        <v>0</v>
      </c>
      <c r="N60" s="932"/>
      <c r="O60" s="932"/>
      <c r="P60" s="933"/>
      <c r="Q60" s="927"/>
      <c r="R60" s="913"/>
      <c r="S60" s="913"/>
      <c r="T60" s="928"/>
      <c r="U60" s="929"/>
      <c r="Y60" s="74"/>
      <c r="Z60" s="74"/>
      <c r="AA60" s="74"/>
      <c r="AB60" s="74"/>
      <c r="AC60" s="74"/>
      <c r="AD60" s="74"/>
      <c r="AI60" s="74"/>
      <c r="AJ60" s="74"/>
      <c r="AK60" s="74"/>
      <c r="AL60" s="74"/>
      <c r="AM60" s="74"/>
      <c r="AN60" s="74"/>
      <c r="AO60" s="74"/>
      <c r="AP60" s="74"/>
      <c r="AQ60" s="74"/>
      <c r="AR60" s="74"/>
      <c r="AS60" s="74"/>
      <c r="AT60" s="74"/>
      <c r="AU60" s="74"/>
    </row>
    <row r="61" spans="1:47" s="247" customFormat="1" x14ac:dyDescent="0.2">
      <c r="A61" s="459"/>
      <c r="B61" s="498" t="str">
        <f>B59</f>
        <v>Hazardous</v>
      </c>
      <c r="C61" s="650" t="s">
        <v>115</v>
      </c>
      <c r="D61" s="1075"/>
      <c r="E61" s="966">
        <f>SUM(E58:E60)</f>
        <v>7671.0359243728462</v>
      </c>
      <c r="F61" s="966">
        <f>SUM(F58:F60)</f>
        <v>8956.9760655961054</v>
      </c>
      <c r="G61" s="966">
        <f>SUM(D61:F61)</f>
        <v>16628.011989968953</v>
      </c>
      <c r="H61" s="967">
        <f t="shared" si="8"/>
        <v>68.374290125740472</v>
      </c>
      <c r="I61" s="1077"/>
      <c r="J61" s="966">
        <f>SUM(J58:J60)</f>
        <v>24706.420783008703</v>
      </c>
      <c r="K61" s="966">
        <f>SUM(K58:K60)</f>
        <v>130.19182660398781</v>
      </c>
      <c r="L61" s="966">
        <f>SUM(I61:K61)</f>
        <v>24836.61260961269</v>
      </c>
      <c r="M61" s="968">
        <f t="shared" si="9"/>
        <v>102.12800888853901</v>
      </c>
      <c r="N61" s="934"/>
      <c r="O61" s="934"/>
      <c r="P61" s="935"/>
      <c r="Q61" s="927"/>
      <c r="R61" s="966">
        <f>SUM(R59,R58)</f>
        <v>2.1551112499351272E-10</v>
      </c>
      <c r="S61" s="966">
        <f>SUM(S59,S58)</f>
        <v>8.5471840922001857E-11</v>
      </c>
      <c r="T61" s="966">
        <f>SUM(Q61:S61)</f>
        <v>3.0098296591551456E-10</v>
      </c>
      <c r="U61" s="968">
        <f>T61/Pop_NT*1000</f>
        <v>1.2376402330493914E-12</v>
      </c>
      <c r="V61" s="957" t="s">
        <v>847</v>
      </c>
      <c r="X61" s="957" t="str">
        <f>IF(ROUND(SUM(G58:G59,L58:L59,T58:T59),0)=ROUND(SUM(NT!G108:I124),0),"OK","Error")</f>
        <v>OK</v>
      </c>
      <c r="Y61" s="74"/>
      <c r="AI61" s="249"/>
      <c r="AJ61" s="249"/>
      <c r="AK61" s="249"/>
      <c r="AL61" s="249"/>
      <c r="AM61" s="249"/>
      <c r="AN61" s="249"/>
      <c r="AO61" s="249"/>
      <c r="AP61" s="249"/>
      <c r="AQ61" s="249"/>
      <c r="AR61" s="249"/>
      <c r="AS61" s="249"/>
      <c r="AT61" s="249"/>
      <c r="AU61" s="249"/>
    </row>
    <row r="62" spans="1:47" ht="14.25" customHeight="1" x14ac:dyDescent="0.2">
      <c r="C62" s="951" t="s">
        <v>98</v>
      </c>
      <c r="D62" s="286"/>
      <c r="E62" s="286"/>
      <c r="F62" s="286"/>
      <c r="G62" s="286"/>
      <c r="H62" s="287"/>
      <c r="I62" s="29"/>
      <c r="J62" s="29"/>
      <c r="K62" s="29"/>
      <c r="L62" s="29"/>
      <c r="M62" s="291"/>
      <c r="N62" s="934"/>
      <c r="O62" s="934"/>
      <c r="P62" s="935"/>
      <c r="Q62" s="905"/>
      <c r="R62" s="27"/>
      <c r="S62" s="27"/>
      <c r="T62" s="27"/>
      <c r="U62" s="287"/>
      <c r="Y62" s="75"/>
    </row>
    <row r="63" spans="1:47" x14ac:dyDescent="0.2">
      <c r="C63" s="303" t="s">
        <v>1350</v>
      </c>
      <c r="D63" s="288">
        <f>SUM(D61,D40,D37,D36,D26,D21,D15,D11,D62)</f>
        <v>146672.89128951615</v>
      </c>
      <c r="E63" s="987">
        <f>SUM(E61,E40,E37,E36,E26,E21,E15,E11,E62)</f>
        <v>55935.833152869018</v>
      </c>
      <c r="F63" s="289">
        <f>SUM(F61,F40,F37,F36,F26,F21,F15,F11,F62)</f>
        <v>164989.21083185048</v>
      </c>
      <c r="G63" s="294">
        <f t="shared" ref="G63" si="17">SUM(G61,G40,G37,G36,G26,G21,G15,G11,G62)</f>
        <v>367597.93527423561</v>
      </c>
      <c r="H63" s="290">
        <f>G63/Pop_NT*1000</f>
        <v>1511.5606057552936</v>
      </c>
      <c r="I63" s="288">
        <f>SUM(I61,I40,I37,I36,I26,I21,I15,I11,I62)</f>
        <v>103709.641</v>
      </c>
      <c r="J63" s="987">
        <f t="shared" ref="J63:L63" si="18">SUM(J61,J40,J37,J36,J26,J21,J15,J11,J62)</f>
        <v>25036.550783008704</v>
      </c>
      <c r="K63" s="289">
        <f t="shared" si="18"/>
        <v>130.19182660398781</v>
      </c>
      <c r="L63" s="294">
        <f t="shared" si="18"/>
        <v>128876.38360961269</v>
      </c>
      <c r="M63" s="959">
        <f>L63/Pop_NT*1000</f>
        <v>529.93895172770658</v>
      </c>
      <c r="N63" s="288">
        <f>SUM(N40,N26,N21)</f>
        <v>10283.032737428013</v>
      </c>
      <c r="O63" s="289">
        <f>SUM(O40,O26,O21)</f>
        <v>2837.1315244623947</v>
      </c>
      <c r="P63" s="298">
        <f>SUM(P40,P26,P21)</f>
        <v>923.68926068978783</v>
      </c>
      <c r="Q63" s="288">
        <f>SUM(Q62,Q61,Q40,Q36,Q26,Q21)</f>
        <v>10283.032737428013</v>
      </c>
      <c r="R63" s="289">
        <f t="shared" ref="R63:T63" si="19">SUM(R62,R61,R40,R36,R26,R21)</f>
        <v>2837.1315244626103</v>
      </c>
      <c r="S63" s="289">
        <f t="shared" si="19"/>
        <v>923.68926068987332</v>
      </c>
      <c r="T63" s="294">
        <f t="shared" si="19"/>
        <v>14043.853522580497</v>
      </c>
      <c r="U63" s="959">
        <f>T63/Pop_NT*1000</f>
        <v>57.748245299293544</v>
      </c>
      <c r="V63" s="74"/>
      <c r="Y63" s="75"/>
    </row>
    <row r="64" spans="1:47" x14ac:dyDescent="0.2">
      <c r="C64" s="2414" t="s">
        <v>1314</v>
      </c>
      <c r="E64" s="2413">
        <f>E63-E60</f>
        <v>55935.833152869018</v>
      </c>
      <c r="G64" s="272">
        <f>G63-G60</f>
        <v>367597.93527423561</v>
      </c>
      <c r="H64" s="283">
        <f>G64/Pop_NT*1000</f>
        <v>1511.5606057552936</v>
      </c>
      <c r="J64" s="2413">
        <f>J63-J60</f>
        <v>25036.550783008704</v>
      </c>
      <c r="L64" s="272">
        <f>L63-L60</f>
        <v>128876.38360961269</v>
      </c>
      <c r="M64" s="272">
        <f>L64/Pop_NT*1000</f>
        <v>529.93895172770658</v>
      </c>
      <c r="T64" s="272">
        <f>T63-T60</f>
        <v>14043.853522580497</v>
      </c>
      <c r="U64" s="283">
        <f>U63+U49</f>
        <v>57.748245299293728</v>
      </c>
      <c r="V64" s="74"/>
    </row>
    <row r="65" spans="1:44" x14ac:dyDescent="0.2">
      <c r="C65" s="304" t="s">
        <v>1351</v>
      </c>
      <c r="E65" s="955" t="s">
        <v>397</v>
      </c>
      <c r="F65" s="956" t="str">
        <f>IF(ROUND(SUM(D63:F63),0)=ROUND(G63,0),"Ok","Error")</f>
        <v>Ok</v>
      </c>
      <c r="G65" s="2415">
        <f>G64-SUM(G58:G59)</f>
        <v>350969.92328426667</v>
      </c>
      <c r="H65" s="292">
        <f>G65/Pop_NT*1000</f>
        <v>1443.1863156295533</v>
      </c>
      <c r="J65" s="955" t="s">
        <v>397</v>
      </c>
      <c r="K65" s="956" t="str">
        <f>IF(ROUND(SUM(I63:K63),0)=ROUND(L63,0),"Ok","Error")</f>
        <v>Ok</v>
      </c>
      <c r="L65" s="2415">
        <f>L64-SUM(L58:L59)</f>
        <v>104039.77100000001</v>
      </c>
      <c r="M65" s="291">
        <f>L65/Pop_NT*1000</f>
        <v>427.81094283916758</v>
      </c>
      <c r="R65" s="955" t="s">
        <v>397</v>
      </c>
      <c r="S65" s="956" t="str">
        <f>IF(ROUND(SUM(Q63:S63),0)=ROUND(T63,0),"Ok","Error")</f>
        <v>Ok</v>
      </c>
      <c r="T65" s="2415">
        <f>T64-SUM(T58:T59)</f>
        <v>14043.853522580197</v>
      </c>
      <c r="U65" s="292">
        <f>T65/Pop_NT*1000</f>
        <v>57.748245299292314</v>
      </c>
    </row>
    <row r="66" spans="1:44" x14ac:dyDescent="0.2">
      <c r="C66" s="138"/>
      <c r="F66" s="250"/>
      <c r="G66" s="251"/>
    </row>
    <row r="67" spans="1:44" ht="15" customHeight="1" x14ac:dyDescent="0.2">
      <c r="C67" s="2444" t="s">
        <v>410</v>
      </c>
      <c r="D67" s="2440" t="s">
        <v>16</v>
      </c>
      <c r="E67" s="2441" t="s">
        <v>1353</v>
      </c>
      <c r="F67" s="2441" t="s">
        <v>1354</v>
      </c>
      <c r="G67" s="2441" t="s">
        <v>18</v>
      </c>
      <c r="H67" s="2547" t="s">
        <v>88</v>
      </c>
      <c r="I67" s="2442" t="s">
        <v>1368</v>
      </c>
      <c r="J67" s="2443" t="s">
        <v>1374</v>
      </c>
      <c r="K67" s="2788" t="s">
        <v>1423</v>
      </c>
      <c r="L67" s="2775"/>
      <c r="M67" s="2776"/>
    </row>
    <row r="68" spans="1:44" ht="15" customHeight="1" x14ac:dyDescent="0.2">
      <c r="C68" s="936"/>
      <c r="D68" s="930"/>
      <c r="E68" s="2280" t="s">
        <v>455</v>
      </c>
      <c r="F68" s="2280" t="s">
        <v>454</v>
      </c>
      <c r="G68" s="2280"/>
      <c r="H68" s="2279" t="s">
        <v>88</v>
      </c>
      <c r="I68" s="2280" t="s">
        <v>454</v>
      </c>
      <c r="J68" s="2341" t="s">
        <v>1349</v>
      </c>
      <c r="K68" s="943" t="s">
        <v>88</v>
      </c>
      <c r="L68" s="2280"/>
      <c r="M68" s="2341" t="s">
        <v>1349</v>
      </c>
    </row>
    <row r="69" spans="1:44" x14ac:dyDescent="0.2">
      <c r="C69" s="937"/>
      <c r="D69" s="944" t="s">
        <v>16</v>
      </c>
      <c r="E69" s="945" t="s">
        <v>17</v>
      </c>
      <c r="F69" s="945" t="s">
        <v>17</v>
      </c>
      <c r="G69" s="945" t="s">
        <v>18</v>
      </c>
      <c r="H69" s="944" t="s">
        <v>112</v>
      </c>
      <c r="I69" s="945" t="s">
        <v>112</v>
      </c>
      <c r="J69" s="946" t="s">
        <v>112</v>
      </c>
      <c r="K69" s="944" t="s">
        <v>112</v>
      </c>
      <c r="L69" s="945" t="s">
        <v>112</v>
      </c>
      <c r="M69" s="946" t="s">
        <v>112</v>
      </c>
    </row>
    <row r="70" spans="1:44" s="76" customFormat="1" x14ac:dyDescent="0.2">
      <c r="A70" s="74"/>
      <c r="B70" s="74"/>
      <c r="C70" s="252" t="s">
        <v>113</v>
      </c>
      <c r="D70" s="253">
        <f>D63/1000</f>
        <v>146.67289128951614</v>
      </c>
      <c r="E70" s="253">
        <f>E63/1000</f>
        <v>55.935833152869016</v>
      </c>
      <c r="F70" s="253">
        <f>E64/1000</f>
        <v>55.935833152869016</v>
      </c>
      <c r="G70" s="253">
        <f>F63/1000</f>
        <v>164.98921083185047</v>
      </c>
      <c r="H70" s="255">
        <f>G63/1000</f>
        <v>367.59793527423562</v>
      </c>
      <c r="I70" s="253">
        <f>G64/1000</f>
        <v>367.59793527423562</v>
      </c>
      <c r="J70" s="254">
        <f>G65/1000</f>
        <v>350.96992328426666</v>
      </c>
      <c r="K70" s="255">
        <f>H63</f>
        <v>1511.5606057552936</v>
      </c>
      <c r="L70" s="253">
        <f>H64</f>
        <v>1511.5606057552936</v>
      </c>
      <c r="M70" s="254">
        <f>H65</f>
        <v>1443.1863156295533</v>
      </c>
      <c r="N70" s="2149"/>
      <c r="O70" s="2149">
        <f>H70/1000</f>
        <v>0.36759793527423562</v>
      </c>
      <c r="P70" s="2149">
        <f t="shared" ref="O70:Q72" si="20">I70/1000</f>
        <v>0.36759793527423562</v>
      </c>
      <c r="Q70" s="2149">
        <f t="shared" si="20"/>
        <v>0.35096992328426668</v>
      </c>
      <c r="R70" s="74"/>
      <c r="S70" s="74"/>
      <c r="T70" s="74"/>
      <c r="U70" s="74"/>
      <c r="V70" s="75"/>
      <c r="W70" s="74"/>
      <c r="X70" s="74"/>
      <c r="Y70" s="74"/>
      <c r="Z70" s="74"/>
      <c r="AA70" s="74"/>
      <c r="AB70" s="74"/>
      <c r="AC70" s="74"/>
      <c r="AD70" s="74"/>
      <c r="AE70" s="74"/>
      <c r="AF70" s="74"/>
      <c r="AG70" s="74"/>
      <c r="AH70" s="74"/>
      <c r="AI70" s="74"/>
      <c r="AJ70" s="74"/>
      <c r="AK70" s="74"/>
      <c r="AL70" s="74"/>
      <c r="AM70" s="74"/>
      <c r="AN70" s="74"/>
      <c r="AO70" s="74"/>
      <c r="AP70" s="74"/>
      <c r="AQ70" s="74"/>
      <c r="AR70" s="74"/>
    </row>
    <row r="71" spans="1:44" x14ac:dyDescent="0.2">
      <c r="C71" s="256" t="s">
        <v>114</v>
      </c>
      <c r="D71" s="253">
        <f>I63/1000</f>
        <v>103.709641</v>
      </c>
      <c r="E71" s="253">
        <f>J63/1000</f>
        <v>25.036550783008703</v>
      </c>
      <c r="F71" s="253">
        <f>J64/1000</f>
        <v>25.036550783008703</v>
      </c>
      <c r="G71" s="253">
        <f>K63/1000</f>
        <v>0.13019182660398781</v>
      </c>
      <c r="H71" s="255">
        <f>L63/1000</f>
        <v>128.8763836096127</v>
      </c>
      <c r="I71" s="253">
        <f>L64/1000</f>
        <v>128.8763836096127</v>
      </c>
      <c r="J71" s="254">
        <f>L65/1000</f>
        <v>104.039771</v>
      </c>
      <c r="K71" s="255">
        <f>M63</f>
        <v>529.93895172770658</v>
      </c>
      <c r="L71" s="253">
        <f>M64</f>
        <v>529.93895172770658</v>
      </c>
      <c r="M71" s="254">
        <f>M65</f>
        <v>427.81094283916758</v>
      </c>
      <c r="N71" s="2149"/>
      <c r="O71" s="2149">
        <f t="shared" si="20"/>
        <v>0.1288763836096127</v>
      </c>
      <c r="P71" s="2149">
        <f t="shared" si="20"/>
        <v>0.1288763836096127</v>
      </c>
      <c r="Q71" s="2149">
        <f t="shared" si="20"/>
        <v>0.104039771</v>
      </c>
    </row>
    <row r="72" spans="1:44" x14ac:dyDescent="0.2">
      <c r="C72" s="256" t="s">
        <v>38</v>
      </c>
      <c r="D72" s="253">
        <f>Q63/1000</f>
        <v>10.283032737428012</v>
      </c>
      <c r="E72" s="253">
        <f>R63/1000</f>
        <v>2.8371315244626101</v>
      </c>
      <c r="F72" s="253">
        <f>E72</f>
        <v>2.8371315244626101</v>
      </c>
      <c r="G72" s="253">
        <f>S63/1000</f>
        <v>0.92368926068987334</v>
      </c>
      <c r="H72" s="255">
        <f>T63/1000</f>
        <v>14.043853522580497</v>
      </c>
      <c r="I72" s="253">
        <f>T64/1000</f>
        <v>14.043853522580497</v>
      </c>
      <c r="J72" s="254">
        <f>T65/1000</f>
        <v>14.043853522580196</v>
      </c>
      <c r="K72" s="255">
        <f>U63</f>
        <v>57.748245299293544</v>
      </c>
      <c r="L72" s="253">
        <f>U64</f>
        <v>57.748245299293728</v>
      </c>
      <c r="M72" s="254">
        <f>U65</f>
        <v>57.748245299292314</v>
      </c>
      <c r="N72" s="2149"/>
      <c r="O72" s="2149">
        <f t="shared" si="20"/>
        <v>1.4043853522580496E-2</v>
      </c>
      <c r="P72" s="2149">
        <f t="shared" si="20"/>
        <v>1.4043853522580496E-2</v>
      </c>
      <c r="Q72" s="2149">
        <f t="shared" si="20"/>
        <v>1.4043853522580196E-2</v>
      </c>
    </row>
    <row r="73" spans="1:44" x14ac:dyDescent="0.2">
      <c r="C73" s="252" t="s">
        <v>116</v>
      </c>
      <c r="D73" s="257">
        <f t="shared" ref="D73:J73" si="21">SUM(D71:D72)/D74</f>
        <v>0.43731389577923335</v>
      </c>
      <c r="E73" s="257">
        <f t="shared" si="21"/>
        <v>0.3325837424828148</v>
      </c>
      <c r="F73" s="257">
        <f t="shared" si="21"/>
        <v>0.3325837424828148</v>
      </c>
      <c r="G73" s="257">
        <f t="shared" si="21"/>
        <v>6.3470336230973994E-3</v>
      </c>
      <c r="H73" s="259">
        <f t="shared" si="21"/>
        <v>0.27995132172966586</v>
      </c>
      <c r="I73" s="257">
        <f t="shared" si="21"/>
        <v>0.27995132172966586</v>
      </c>
      <c r="J73" s="258">
        <f t="shared" si="21"/>
        <v>0.25174870774286573</v>
      </c>
      <c r="K73" s="259">
        <f>SUM(K71:K72)/K74</f>
        <v>0.27995132172966591</v>
      </c>
      <c r="L73" s="257">
        <f>SUM(L71:L72)/L74</f>
        <v>0.27995132172966597</v>
      </c>
      <c r="M73" s="258">
        <f>SUM(M71:M72)/M74</f>
        <v>0.25174870774286573</v>
      </c>
      <c r="N73" s="2150"/>
      <c r="O73" s="2150">
        <f>H73*1000</f>
        <v>279.95132172966584</v>
      </c>
      <c r="P73" s="2150">
        <f>I73*1000</f>
        <v>279.95132172966584</v>
      </c>
      <c r="Q73" s="2150">
        <f>J73*1000</f>
        <v>251.74870774286572</v>
      </c>
    </row>
    <row r="74" spans="1:44" x14ac:dyDescent="0.2">
      <c r="C74" s="260" t="s">
        <v>117</v>
      </c>
      <c r="D74" s="261">
        <f t="shared" ref="D74:J74" si="22">SUM(D70:D72)</f>
        <v>260.66556502694414</v>
      </c>
      <c r="E74" s="261">
        <f>SUM(E70:E72)</f>
        <v>83.809515460340322</v>
      </c>
      <c r="F74" s="261">
        <f t="shared" si="22"/>
        <v>83.809515460340322</v>
      </c>
      <c r="G74" s="261">
        <f t="shared" si="22"/>
        <v>166.04309191914433</v>
      </c>
      <c r="H74" s="263">
        <f t="shared" si="22"/>
        <v>510.51817240642885</v>
      </c>
      <c r="I74" s="2412">
        <f t="shared" si="22"/>
        <v>510.51817240642885</v>
      </c>
      <c r="J74" s="262">
        <f t="shared" si="22"/>
        <v>469.05354780684684</v>
      </c>
      <c r="K74" s="263">
        <f>SUM(K70:K72)</f>
        <v>2099.2478027822935</v>
      </c>
      <c r="L74" s="2412">
        <f>SUM(L70:L72)</f>
        <v>2099.247802782294</v>
      </c>
      <c r="M74" s="262">
        <f>SUM(M70:M72)</f>
        <v>1928.7455037680134</v>
      </c>
      <c r="N74" s="2149"/>
      <c r="O74" s="2149">
        <f>H74/1000</f>
        <v>0.51051817240642883</v>
      </c>
      <c r="P74" s="2149">
        <f>I74/1000</f>
        <v>0.51051817240642883</v>
      </c>
      <c r="Q74" s="2149">
        <f>J74/1000</f>
        <v>0.46905354780684683</v>
      </c>
    </row>
    <row r="75" spans="1:44" s="76" customFormat="1" x14ac:dyDescent="0.2">
      <c r="A75" s="74"/>
      <c r="B75" s="74"/>
      <c r="C75" s="2076" t="s">
        <v>1308</v>
      </c>
      <c r="D75" s="2439">
        <f>D74/Pop_NT*1000000</f>
        <v>1071.8553113682008</v>
      </c>
      <c r="E75" s="2439">
        <f>E74/Pop_NT*1000000</f>
        <v>344.62424785596642</v>
      </c>
      <c r="F75" s="2439">
        <f>F74/Pop_NT*1000000</f>
        <v>344.62424785596642</v>
      </c>
      <c r="G75" s="2439">
        <f>G74/Pop_NT*1000000</f>
        <v>682.76824355812641</v>
      </c>
      <c r="H75" s="74"/>
      <c r="I75" s="74"/>
      <c r="J75" s="74"/>
      <c r="K75" s="74"/>
      <c r="L75" s="74"/>
      <c r="M75" s="74"/>
      <c r="N75" s="2076" t="s">
        <v>1146</v>
      </c>
      <c r="O75" s="2076" t="s">
        <v>1147</v>
      </c>
      <c r="P75" s="2076" t="s">
        <v>1148</v>
      </c>
      <c r="Q75" s="2076" t="s">
        <v>1149</v>
      </c>
      <c r="R75" s="2076" t="s">
        <v>1312</v>
      </c>
      <c r="S75" s="74"/>
      <c r="T75" s="74"/>
      <c r="U75" s="74"/>
      <c r="V75" s="75"/>
      <c r="W75" s="74"/>
      <c r="X75" s="74"/>
      <c r="Y75" s="74"/>
      <c r="Z75" s="74"/>
      <c r="AA75" s="74"/>
      <c r="AB75" s="74"/>
      <c r="AC75" s="74"/>
      <c r="AD75" s="74"/>
      <c r="AE75" s="74"/>
      <c r="AF75" s="74"/>
      <c r="AG75" s="74"/>
      <c r="AH75" s="74"/>
      <c r="AI75" s="74"/>
      <c r="AJ75" s="74"/>
      <c r="AK75" s="74"/>
      <c r="AL75" s="74"/>
      <c r="AM75" s="74"/>
      <c r="AN75" s="74"/>
      <c r="AO75" s="74"/>
      <c r="AP75" s="74"/>
      <c r="AQ75" s="74"/>
      <c r="AR75" s="74"/>
    </row>
    <row r="76" spans="1:44" x14ac:dyDescent="0.2">
      <c r="C76" s="76"/>
      <c r="D76" s="76"/>
      <c r="E76" s="76"/>
      <c r="F76" s="76"/>
      <c r="G76" s="76"/>
      <c r="H76" s="76"/>
      <c r="I76" s="76"/>
      <c r="J76" s="76"/>
      <c r="N76" s="2076" t="s">
        <v>1080</v>
      </c>
      <c r="O76" s="2076" t="s">
        <v>1309</v>
      </c>
      <c r="P76" s="2076" t="s">
        <v>1080</v>
      </c>
      <c r="Q76" s="2076" t="s">
        <v>1309</v>
      </c>
    </row>
    <row r="77" spans="1:44" x14ac:dyDescent="0.2">
      <c r="C77" s="941"/>
      <c r="D77" s="2775" t="s">
        <v>410</v>
      </c>
      <c r="E77" s="2775"/>
      <c r="F77" s="2775"/>
      <c r="G77" s="2776"/>
      <c r="H77" s="942"/>
      <c r="I77" s="2788" t="s">
        <v>1311</v>
      </c>
      <c r="J77" s="2775"/>
      <c r="K77" s="2775"/>
      <c r="L77" s="2776"/>
    </row>
    <row r="78" spans="1:44" ht="25.5" x14ac:dyDescent="0.2">
      <c r="C78" s="940"/>
      <c r="D78" s="947" t="s">
        <v>113</v>
      </c>
      <c r="E78" s="947" t="s">
        <v>114</v>
      </c>
      <c r="F78" s="947" t="s">
        <v>38</v>
      </c>
      <c r="G78" s="948" t="s">
        <v>117</v>
      </c>
      <c r="H78" s="949" t="s">
        <v>116</v>
      </c>
      <c r="I78" s="2148" t="s">
        <v>113</v>
      </c>
      <c r="J78" s="947" t="s">
        <v>114</v>
      </c>
      <c r="K78" s="947" t="s">
        <v>38</v>
      </c>
      <c r="L78" s="948" t="s">
        <v>117</v>
      </c>
    </row>
    <row r="79" spans="1:44" s="77" customFormat="1" x14ac:dyDescent="0.2">
      <c r="A79" s="74"/>
      <c r="B79" s="2130" t="s">
        <v>1121</v>
      </c>
      <c r="C79" s="264" t="s">
        <v>25</v>
      </c>
      <c r="D79" s="253">
        <f>G11/1000</f>
        <v>138.50785696977445</v>
      </c>
      <c r="E79" s="253">
        <f>L11/1000</f>
        <v>3.282</v>
      </c>
      <c r="F79" s="253">
        <f>T11/1000</f>
        <v>0</v>
      </c>
      <c r="G79" s="254">
        <f t="shared" ref="G79:G87" si="23">SUM(D79:F79)</f>
        <v>141.78985696977446</v>
      </c>
      <c r="H79" s="938">
        <f t="shared" ref="H79:H86" si="24">SUM(E79:F79)/G79</f>
        <v>2.31469307476601E-2</v>
      </c>
      <c r="I79" s="255">
        <f>H11</f>
        <v>569.54351505513955</v>
      </c>
      <c r="J79" s="253">
        <f>M11</f>
        <v>13.495565214173222</v>
      </c>
      <c r="K79" s="253">
        <f>U11</f>
        <v>0</v>
      </c>
      <c r="L79" s="254">
        <f>SUM(I79:K79)</f>
        <v>583.03908026931276</v>
      </c>
      <c r="M79" s="74"/>
      <c r="N79" s="74"/>
      <c r="O79" s="74"/>
      <c r="P79" s="74"/>
      <c r="Q79" s="74"/>
      <c r="R79" s="74"/>
      <c r="S79" s="74"/>
      <c r="T79" s="74"/>
      <c r="U79" s="74"/>
      <c r="V79" s="75"/>
      <c r="W79" s="74"/>
      <c r="X79" s="74"/>
      <c r="Y79" s="74"/>
      <c r="Z79" s="74"/>
      <c r="AA79" s="74"/>
      <c r="AB79" s="74"/>
      <c r="AC79" s="74"/>
      <c r="AD79" s="74"/>
      <c r="AE79" s="74"/>
      <c r="AF79" s="74"/>
      <c r="AG79" s="74"/>
      <c r="AH79" s="74"/>
      <c r="AI79" s="74"/>
      <c r="AJ79" s="74"/>
      <c r="AK79" s="74"/>
      <c r="AL79" s="74"/>
      <c r="AM79" s="74"/>
      <c r="AN79" s="74"/>
      <c r="AO79" s="74"/>
      <c r="AP79" s="74"/>
      <c r="AQ79" s="74"/>
      <c r="AR79" s="74"/>
    </row>
    <row r="80" spans="1:44" x14ac:dyDescent="0.2">
      <c r="B80" s="2130" t="s">
        <v>28</v>
      </c>
      <c r="C80" s="264" t="s">
        <v>28</v>
      </c>
      <c r="D80" s="253">
        <f>G15/1000</f>
        <v>14.243655120670786</v>
      </c>
      <c r="E80" s="253">
        <f>L15/1000</f>
        <v>38.41583</v>
      </c>
      <c r="F80" s="253">
        <f>T15/1000</f>
        <v>0</v>
      </c>
      <c r="G80" s="254">
        <f t="shared" si="23"/>
        <v>52.659485120670787</v>
      </c>
      <c r="H80" s="938">
        <f t="shared" si="24"/>
        <v>0.72951396907829569</v>
      </c>
      <c r="I80" s="255">
        <f>H15</f>
        <v>58.569828326997239</v>
      </c>
      <c r="J80" s="253">
        <f>M15</f>
        <v>157.96567307178307</v>
      </c>
      <c r="K80" s="253">
        <f>U15</f>
        <v>0</v>
      </c>
      <c r="L80" s="254">
        <f t="shared" ref="L80:L87" si="25">SUM(I80:K80)</f>
        <v>216.5355013987803</v>
      </c>
    </row>
    <row r="81" spans="1:50" x14ac:dyDescent="0.2">
      <c r="B81" s="2130" t="s">
        <v>22</v>
      </c>
      <c r="C81" s="264" t="s">
        <v>22</v>
      </c>
      <c r="D81" s="253">
        <f>G21/1000</f>
        <v>111.38471721997063</v>
      </c>
      <c r="E81" s="253">
        <f>L21/1000</f>
        <v>35.542000000000002</v>
      </c>
      <c r="F81" s="253">
        <f>T21/1000</f>
        <v>9.566303448600463</v>
      </c>
      <c r="G81" s="254">
        <f t="shared" si="23"/>
        <v>156.49302066857106</v>
      </c>
      <c r="H81" s="938">
        <f t="shared" si="24"/>
        <v>0.28824482558959064</v>
      </c>
      <c r="I81" s="255">
        <f>H21</f>
        <v>458.01331965397821</v>
      </c>
      <c r="J81" s="253">
        <f>M21</f>
        <v>146.14850056128722</v>
      </c>
      <c r="K81" s="253">
        <f>U21</f>
        <v>39.336585024118754</v>
      </c>
      <c r="L81" s="254">
        <f t="shared" si="25"/>
        <v>643.49840523938417</v>
      </c>
    </row>
    <row r="82" spans="1:50" x14ac:dyDescent="0.2">
      <c r="B82" s="2130" t="s">
        <v>1120</v>
      </c>
      <c r="C82" s="264" t="s">
        <v>20</v>
      </c>
      <c r="D82" s="253">
        <f>G26/1000</f>
        <v>29.368364519637055</v>
      </c>
      <c r="E82" s="253">
        <f>L26/1000</f>
        <v>5.4604200000000001</v>
      </c>
      <c r="F82" s="253">
        <f>T26/1000</f>
        <v>3.7860035852918532</v>
      </c>
      <c r="G82" s="254">
        <f t="shared" si="23"/>
        <v>38.614788104928905</v>
      </c>
      <c r="H82" s="938">
        <f t="shared" si="24"/>
        <v>0.23945291529675941</v>
      </c>
      <c r="I82" s="255">
        <f>H26</f>
        <v>120.76254680328242</v>
      </c>
      <c r="J82" s="253">
        <f>M26</f>
        <v>22.453215785123628</v>
      </c>
      <c r="K82" s="253">
        <f>U26</f>
        <v>15.568025072029199</v>
      </c>
      <c r="L82" s="254">
        <f t="shared" si="25"/>
        <v>158.78378766043525</v>
      </c>
    </row>
    <row r="83" spans="1:50" x14ac:dyDescent="0.2">
      <c r="B83" s="2130" t="s">
        <v>32</v>
      </c>
      <c r="C83" s="264" t="s">
        <v>32</v>
      </c>
      <c r="D83" s="253">
        <f>G36/1000</f>
        <v>40.359080528966146</v>
      </c>
      <c r="E83" s="253">
        <f>L36/1000</f>
        <v>12.448</v>
      </c>
      <c r="F83" s="253">
        <f>T36/1000</f>
        <v>0</v>
      </c>
      <c r="G83" s="254">
        <f t="shared" si="23"/>
        <v>52.807080528966146</v>
      </c>
      <c r="H83" s="938">
        <f t="shared" si="24"/>
        <v>0.23572596468710152</v>
      </c>
      <c r="I83" s="255">
        <f>H36</f>
        <v>165.95630812392787</v>
      </c>
      <c r="J83" s="253">
        <f>M36</f>
        <v>51.186104748942192</v>
      </c>
      <c r="K83" s="253">
        <f>U36</f>
        <v>0</v>
      </c>
      <c r="L83" s="254">
        <f t="shared" si="25"/>
        <v>217.14241287287007</v>
      </c>
      <c r="AE83" s="79"/>
      <c r="AF83" s="79"/>
      <c r="AG83" s="79"/>
      <c r="AH83" s="79"/>
      <c r="AI83" s="79"/>
      <c r="AJ83" s="79"/>
    </row>
    <row r="84" spans="1:50" s="77" customFormat="1" x14ac:dyDescent="0.2">
      <c r="A84" s="74"/>
      <c r="B84" s="2130" t="s">
        <v>30</v>
      </c>
      <c r="C84" s="264" t="s">
        <v>30</v>
      </c>
      <c r="D84" s="253">
        <f>G37/1000</f>
        <v>9.9828875097371075</v>
      </c>
      <c r="E84" s="253">
        <f>L37/1000</f>
        <v>3.1009709999999999</v>
      </c>
      <c r="F84" s="253">
        <f>T37/1000</f>
        <v>0</v>
      </c>
      <c r="G84" s="254">
        <f t="shared" si="23"/>
        <v>13.083858509737107</v>
      </c>
      <c r="H84" s="938">
        <f t="shared" si="24"/>
        <v>0.23700737803700903</v>
      </c>
      <c r="I84" s="255">
        <f>H37</f>
        <v>41.049576299028779</v>
      </c>
      <c r="J84" s="253">
        <f>M37</f>
        <v>12.751175002364397</v>
      </c>
      <c r="K84" s="253">
        <f>U37</f>
        <v>0</v>
      </c>
      <c r="L84" s="254">
        <f t="shared" si="25"/>
        <v>53.800751301393177</v>
      </c>
      <c r="M84" s="74"/>
      <c r="N84" s="74"/>
      <c r="O84" s="74"/>
      <c r="P84" s="74"/>
      <c r="Q84" s="74"/>
      <c r="R84" s="74"/>
      <c r="S84" s="74"/>
      <c r="AB84" s="74"/>
      <c r="AC84" s="74"/>
      <c r="AD84" s="74"/>
      <c r="AE84" s="80"/>
      <c r="AF84" s="80"/>
      <c r="AG84" s="80"/>
      <c r="AH84" s="81"/>
      <c r="AI84" s="81"/>
      <c r="AJ84" s="82"/>
      <c r="AK84" s="74"/>
      <c r="AL84" s="74"/>
      <c r="AM84" s="74"/>
      <c r="AN84" s="74"/>
      <c r="AO84" s="74"/>
      <c r="AP84" s="74"/>
      <c r="AQ84" s="74"/>
      <c r="AR84" s="74"/>
      <c r="AS84" s="74"/>
      <c r="AT84" s="74"/>
      <c r="AU84" s="74"/>
      <c r="AV84" s="74"/>
      <c r="AW84" s="74"/>
      <c r="AX84" s="74"/>
    </row>
    <row r="85" spans="1:50" s="76" customFormat="1" x14ac:dyDescent="0.2">
      <c r="A85" s="74"/>
      <c r="B85" s="2130" t="s">
        <v>27</v>
      </c>
      <c r="C85" s="264" t="s">
        <v>27</v>
      </c>
      <c r="D85" s="253">
        <f>G40/1000</f>
        <v>7.1233614155104892</v>
      </c>
      <c r="E85" s="253">
        <f>L40/1000</f>
        <v>5.7905500000000005</v>
      </c>
      <c r="F85" s="253">
        <f>T40/1000</f>
        <v>0.69154648868787938</v>
      </c>
      <c r="G85" s="254">
        <f t="shared" si="23"/>
        <v>13.605457904198371</v>
      </c>
      <c r="H85" s="938">
        <f t="shared" si="24"/>
        <v>0.4764335411811193</v>
      </c>
      <c r="I85" s="255">
        <f>H40</f>
        <v>29.291221367198986</v>
      </c>
      <c r="J85" s="253">
        <f>M40</f>
        <v>23.810708455493831</v>
      </c>
      <c r="K85" s="253">
        <f>U40</f>
        <v>2.8436352031443568</v>
      </c>
      <c r="L85" s="254">
        <f t="shared" si="25"/>
        <v>55.945565025837176</v>
      </c>
      <c r="M85" s="74"/>
      <c r="N85" s="74"/>
      <c r="O85" s="74"/>
      <c r="P85" s="74"/>
      <c r="Q85" s="74"/>
      <c r="R85" s="74"/>
      <c r="S85" s="74"/>
      <c r="AB85" s="74"/>
      <c r="AC85" s="74"/>
      <c r="AD85" s="74"/>
      <c r="AE85" s="80"/>
      <c r="AF85" s="80"/>
      <c r="AG85" s="80"/>
      <c r="AH85" s="81"/>
      <c r="AI85" s="81"/>
      <c r="AJ85" s="82"/>
      <c r="AK85" s="74"/>
      <c r="AL85" s="74"/>
      <c r="AM85" s="74"/>
      <c r="AN85" s="74"/>
      <c r="AO85" s="74"/>
      <c r="AP85" s="74"/>
      <c r="AQ85" s="74"/>
      <c r="AR85" s="74"/>
      <c r="AS85" s="74"/>
      <c r="AT85" s="74"/>
      <c r="AU85" s="74"/>
      <c r="AV85" s="74"/>
      <c r="AW85" s="74"/>
      <c r="AX85" s="74"/>
    </row>
    <row r="86" spans="1:50" s="76" customFormat="1" x14ac:dyDescent="0.2">
      <c r="A86" s="74"/>
      <c r="B86" s="2130" t="s">
        <v>1370</v>
      </c>
      <c r="C86" s="264" t="s">
        <v>35</v>
      </c>
      <c r="D86" s="253">
        <f>SUM(H58:H59)/1000</f>
        <v>6.8374290125740478E-2</v>
      </c>
      <c r="E86" s="253">
        <f>SUM(L58:L59)/1000</f>
        <v>24.83661260961269</v>
      </c>
      <c r="F86" s="253">
        <f>SUM(T58:T59)/1000</f>
        <v>3.0098296591551462E-13</v>
      </c>
      <c r="G86" s="254">
        <f t="shared" si="23"/>
        <v>24.904986899738731</v>
      </c>
      <c r="H86" s="938">
        <f t="shared" si="24"/>
        <v>0.99725459441512676</v>
      </c>
      <c r="I86" s="255">
        <f>SUM(H58:H59)</f>
        <v>68.374290125740472</v>
      </c>
      <c r="J86" s="253">
        <f>SUM(M58:M59)</f>
        <v>102.12800888853903</v>
      </c>
      <c r="K86" s="253">
        <f>SUM(U58:U59)</f>
        <v>1.2376402330493916E-12</v>
      </c>
      <c r="L86" s="254">
        <f t="shared" si="25"/>
        <v>170.50229901428077</v>
      </c>
      <c r="M86" s="74"/>
      <c r="N86" s="74"/>
      <c r="O86" s="74"/>
      <c r="P86" s="74"/>
      <c r="Q86" s="74"/>
      <c r="R86" s="74"/>
      <c r="S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row>
    <row r="87" spans="1:50" x14ac:dyDescent="0.2">
      <c r="B87" s="2130" t="s">
        <v>2</v>
      </c>
      <c r="C87" s="265" t="s">
        <v>2</v>
      </c>
      <c r="D87" s="261">
        <f>G60/1000</f>
        <v>0</v>
      </c>
      <c r="E87" s="261">
        <f>L60/1000</f>
        <v>0</v>
      </c>
      <c r="F87" s="261">
        <f>T60/1000</f>
        <v>0</v>
      </c>
      <c r="G87" s="266">
        <f t="shared" si="23"/>
        <v>0</v>
      </c>
      <c r="H87" s="939" t="e">
        <f>SUM(E87:F87)/G87</f>
        <v>#DIV/0!</v>
      </c>
      <c r="I87" s="1677">
        <f>H60</f>
        <v>0</v>
      </c>
      <c r="J87" s="261">
        <f>M60</f>
        <v>0</v>
      </c>
      <c r="K87" s="261">
        <f>U60</f>
        <v>0</v>
      </c>
      <c r="L87" s="266">
        <f t="shared" si="25"/>
        <v>0</v>
      </c>
      <c r="AB87" s="76"/>
      <c r="AC87" s="76"/>
      <c r="AE87" s="76"/>
      <c r="AF87" s="76"/>
      <c r="AG87" s="76"/>
      <c r="AH87" s="76"/>
      <c r="AI87" s="76"/>
      <c r="AJ87" s="76"/>
      <c r="AK87" s="76"/>
      <c r="AL87" s="76"/>
      <c r="AM87" s="76"/>
      <c r="AN87" s="76"/>
      <c r="AO87" s="76"/>
      <c r="AP87" s="76"/>
      <c r="AQ87" s="76"/>
      <c r="AR87" s="76"/>
      <c r="AS87" s="76"/>
      <c r="AT87" s="76"/>
      <c r="AU87" s="76"/>
      <c r="AV87" s="76"/>
      <c r="AW87" s="76"/>
      <c r="AX87" s="76"/>
    </row>
    <row r="88" spans="1:50" x14ac:dyDescent="0.2">
      <c r="C88" s="2240" t="s">
        <v>1438</v>
      </c>
      <c r="D88" s="2331">
        <f>D16/1000</f>
        <v>48.475019542131967</v>
      </c>
      <c r="E88" s="2331">
        <f>I16/1000</f>
        <v>0</v>
      </c>
      <c r="F88" s="2331">
        <f>Q16/1000</f>
        <v>6.4595538672984807</v>
      </c>
      <c r="G88" s="2422">
        <f t="shared" ref="G88" si="26">SUM(D88:F88)</f>
        <v>54.934573409430449</v>
      </c>
      <c r="H88" s="2566">
        <f t="shared" ref="H88" si="27">SUM(E88:F88)/G88</f>
        <v>0.11758631161390959</v>
      </c>
      <c r="I88" s="2567"/>
      <c r="J88" s="2331"/>
      <c r="K88" s="2331"/>
      <c r="L88" s="1652"/>
    </row>
    <row r="89" spans="1:50" s="76" customFormat="1" x14ac:dyDescent="0.2">
      <c r="A89" s="74"/>
      <c r="B89" s="74"/>
      <c r="C89" s="1641" t="s">
        <v>1439</v>
      </c>
      <c r="D89" s="2314">
        <f>G16/1000</f>
        <v>58.317663103986177</v>
      </c>
      <c r="E89" s="2314">
        <f>L16/1000</f>
        <v>0</v>
      </c>
      <c r="F89" s="2314">
        <f>T16/1000</f>
        <v>7.7711384088819289</v>
      </c>
      <c r="G89" s="254">
        <f t="shared" ref="G89:G91" si="28">SUM(D89:F89)</f>
        <v>66.088801512868102</v>
      </c>
      <c r="H89" s="938">
        <f t="shared" ref="H89:H91" si="29">SUM(E89:F89)/G89</f>
        <v>0.1175863116139096</v>
      </c>
      <c r="I89" s="2568"/>
      <c r="J89" s="2314"/>
      <c r="K89" s="2314"/>
      <c r="L89" s="253"/>
      <c r="M89" s="74"/>
      <c r="N89" s="74"/>
      <c r="O89" s="74"/>
      <c r="P89" s="74"/>
      <c r="Q89" s="74"/>
      <c r="R89" s="74"/>
      <c r="S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row>
    <row r="90" spans="1:50" x14ac:dyDescent="0.2">
      <c r="C90" s="1641" t="s">
        <v>1437</v>
      </c>
      <c r="D90" s="2314">
        <f>(SUMIFS('Basel data'!$E$8:$E$604,'Basel data'!$C$8:$C$604,"K100",'Basel data'!$G$8:$G$604,"northern territory")+SUMIFS('Basel data'!$F$8:$F$604,'Basel data'!$C$8:$C$604,"K100",'Basel data'!$G$8:$G$604,"northern territory")+SUMIFS('Basel data'!$E$8:$E$604,'Basel data'!$C$8:$C$604,"K110",'Basel data'!$G$8:$G$604,"northern territory")+SUMIFS('Basel data'!$F$8:$F$604,'Basel data'!$C$8:$C$604,"K110",'Basel data'!$G$8:$G$604,"northern territory"))*(1-SUM('Other national data'!M432:N432))/1000</f>
        <v>0.43484687375850462</v>
      </c>
      <c r="E90" s="2314">
        <f>(SUMIFS('Basel data'!$E$8:$E$604,'Basel data'!$C$8:$C$604,"K100",'Basel data'!$G$8:$G$604,"northern territory")+SUMIFS('Basel data'!$F$8:$F$604,'Basel data'!$C$8:$C$604,"K100",'Basel data'!$G$8:$G$604,"northern territory")+SUMIFS('Basel data'!$E$8:$E$604,'Basel data'!$C$8:$C$604,"K110",'Basel data'!$G$8:$G$604,"northern territory")+SUMIFS('Basel data'!$F$8:$F$604,'Basel data'!$C$8:$C$604,"K110",'Basel data'!$G$8:$G$604,"northern territory"))*'Other national data'!M432/1000</f>
        <v>8.1732898129713707</v>
      </c>
      <c r="F90" s="2314">
        <f>(SUMIFS('Basel data'!$E$8:$E$604,'Basel data'!$C$8:$C$604,"K100",'Basel data'!$G$8:$G$604,"northern territory")+SUMIFS('Basel data'!$F$8:$F$604,'Basel data'!$C$8:$C$604,"K100",'Basel data'!$G$8:$G$604,"northern territory")+SUMIFS('Basel data'!$E$8:$E$604,'Basel data'!$C$8:$C$604,"K110",'Basel data'!$G$8:$G$604,"northern territory")+SUMIFS('Basel data'!$F$8:$F$604,'Basel data'!$C$8:$C$604,"K110",'Basel data'!$G$8:$G$604,"northern territory"))*'Other national data'!N432/1000</f>
        <v>8.6081366867299621E-14</v>
      </c>
      <c r="G90" s="254">
        <f t="shared" si="28"/>
        <v>8.60813668672996</v>
      </c>
      <c r="H90" s="938">
        <f t="shared" si="29"/>
        <v>0.94948420435413727</v>
      </c>
      <c r="I90" s="2568"/>
      <c r="J90" s="2314"/>
      <c r="K90" s="2314"/>
      <c r="L90" s="253"/>
    </row>
    <row r="91" spans="1:50" x14ac:dyDescent="0.2">
      <c r="C91" s="2049" t="s">
        <v>1436</v>
      </c>
      <c r="D91" s="2315">
        <f>SUM(D89:D90)</f>
        <v>58.75250997774468</v>
      </c>
      <c r="E91" s="2315">
        <f t="shared" ref="E91:F91" si="30">SUM(E89:E90)</f>
        <v>8.1732898129713707</v>
      </c>
      <c r="F91" s="2315">
        <f t="shared" si="30"/>
        <v>7.771138408882015</v>
      </c>
      <c r="G91" s="266">
        <f t="shared" si="28"/>
        <v>74.696938199598065</v>
      </c>
      <c r="H91" s="939">
        <f t="shared" si="29"/>
        <v>0.21345491001583222</v>
      </c>
      <c r="AB91" s="76"/>
      <c r="AC91" s="76"/>
      <c r="AE91" s="76"/>
      <c r="AF91" s="76"/>
      <c r="AG91" s="76"/>
      <c r="AH91" s="76"/>
      <c r="AI91" s="76"/>
      <c r="AJ91" s="76"/>
      <c r="AK91" s="76"/>
      <c r="AL91" s="76"/>
      <c r="AM91" s="76"/>
      <c r="AN91" s="76"/>
      <c r="AO91" s="76"/>
      <c r="AP91" s="76"/>
      <c r="AQ91" s="76"/>
      <c r="AR91" s="76"/>
      <c r="AS91" s="76"/>
      <c r="AT91" s="76"/>
      <c r="AU91" s="76"/>
      <c r="AV91" s="76"/>
      <c r="AW91" s="76"/>
      <c r="AX91" s="76"/>
    </row>
    <row r="93" spans="1:50" x14ac:dyDescent="0.2">
      <c r="C93" s="1629" t="s">
        <v>342</v>
      </c>
      <c r="D93" s="253">
        <f>SUM(G11,G15,G21,G26,G36,G37,G40,G52:G53,N63:P63)/1000</f>
        <v>377.70401384239699</v>
      </c>
    </row>
    <row r="94" spans="1:50" s="76" customFormat="1" x14ac:dyDescent="0.2">
      <c r="A94" s="74"/>
      <c r="B94" s="74"/>
      <c r="C94" s="74"/>
      <c r="D94" s="74"/>
      <c r="E94" s="74"/>
      <c r="F94" s="74"/>
      <c r="G94" s="74"/>
      <c r="H94" s="74"/>
      <c r="I94" s="74"/>
      <c r="J94" s="74"/>
      <c r="K94" s="74"/>
      <c r="L94" s="74"/>
      <c r="M94" s="74"/>
      <c r="N94" s="74"/>
      <c r="O94" s="74"/>
      <c r="P94" s="74"/>
      <c r="Q94" s="74"/>
      <c r="R94" s="74"/>
      <c r="S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row>
    <row r="95" spans="1:50" s="76" customFormat="1" x14ac:dyDescent="0.2">
      <c r="A95" s="74"/>
      <c r="B95" s="74"/>
      <c r="C95" s="74"/>
      <c r="D95" s="74"/>
      <c r="E95" s="74"/>
      <c r="F95" s="74"/>
      <c r="G95" s="74"/>
      <c r="H95" s="74"/>
      <c r="I95" s="74"/>
      <c r="J95" s="74"/>
      <c r="K95" s="74"/>
      <c r="L95" s="74"/>
      <c r="M95" s="74"/>
      <c r="N95" s="74"/>
      <c r="O95" s="74"/>
      <c r="P95" s="74"/>
      <c r="Q95" s="74"/>
      <c r="R95" s="74"/>
      <c r="S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row>
    <row r="97" spans="1:50" x14ac:dyDescent="0.2">
      <c r="AB97" s="76"/>
      <c r="AC97" s="76"/>
      <c r="AE97" s="76"/>
      <c r="AF97" s="76"/>
      <c r="AG97" s="76"/>
      <c r="AH97" s="76"/>
      <c r="AI97" s="76"/>
      <c r="AJ97" s="76"/>
      <c r="AK97" s="76"/>
      <c r="AL97" s="76"/>
      <c r="AM97" s="76"/>
      <c r="AN97" s="76"/>
      <c r="AO97" s="76"/>
      <c r="AP97" s="76"/>
      <c r="AQ97" s="76"/>
      <c r="AR97" s="76"/>
      <c r="AS97" s="76"/>
      <c r="AT97" s="76"/>
      <c r="AU97" s="76"/>
      <c r="AV97" s="76"/>
      <c r="AW97" s="76"/>
      <c r="AX97" s="76"/>
    </row>
    <row r="102" spans="1:50" ht="12.75" customHeight="1" x14ac:dyDescent="0.2">
      <c r="AB102" s="76"/>
      <c r="AC102" s="76"/>
      <c r="AE102" s="76"/>
      <c r="AF102" s="76"/>
      <c r="AG102" s="76"/>
      <c r="AH102" s="76"/>
      <c r="AI102" s="76"/>
      <c r="AJ102" s="76"/>
      <c r="AK102" s="76"/>
      <c r="AL102" s="76"/>
      <c r="AM102" s="76"/>
      <c r="AN102" s="76"/>
      <c r="AO102" s="76"/>
      <c r="AP102" s="76"/>
      <c r="AQ102" s="76"/>
      <c r="AR102" s="76"/>
      <c r="AS102" s="76"/>
      <c r="AT102" s="76"/>
      <c r="AU102" s="76"/>
      <c r="AV102" s="76"/>
      <c r="AW102" s="76"/>
      <c r="AX102" s="76"/>
    </row>
    <row r="103" spans="1:50" x14ac:dyDescent="0.2">
      <c r="V103" s="74"/>
    </row>
    <row r="104" spans="1:50" x14ac:dyDescent="0.2">
      <c r="V104" s="74"/>
    </row>
    <row r="105" spans="1:50" x14ac:dyDescent="0.2">
      <c r="V105" s="74"/>
    </row>
    <row r="106" spans="1:50" x14ac:dyDescent="0.2">
      <c r="T106" s="77"/>
      <c r="U106" s="77"/>
      <c r="V106" s="77"/>
      <c r="W106" s="77"/>
      <c r="X106" s="77"/>
      <c r="Y106" s="77"/>
      <c r="Z106" s="77"/>
      <c r="AA106" s="77"/>
      <c r="AB106" s="77"/>
      <c r="AC106" s="77"/>
      <c r="AE106" s="77"/>
      <c r="AF106" s="77"/>
      <c r="AG106" s="77"/>
      <c r="AH106" s="77"/>
      <c r="AI106" s="77"/>
      <c r="AJ106" s="77"/>
      <c r="AK106" s="77"/>
      <c r="AL106" s="77"/>
      <c r="AM106" s="77"/>
      <c r="AN106" s="77"/>
      <c r="AO106" s="77"/>
      <c r="AP106" s="77"/>
      <c r="AQ106" s="77"/>
      <c r="AR106" s="77"/>
      <c r="AS106" s="77"/>
      <c r="AT106" s="77"/>
      <c r="AU106" s="77"/>
      <c r="AV106" s="77"/>
      <c r="AW106" s="77"/>
      <c r="AX106" s="77"/>
    </row>
    <row r="107" spans="1:50" s="76" customFormat="1" x14ac:dyDescent="0.2">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row>
    <row r="108" spans="1:50" x14ac:dyDescent="0.2">
      <c r="V108" s="74"/>
    </row>
    <row r="109" spans="1:50" x14ac:dyDescent="0.2">
      <c r="V109" s="74"/>
    </row>
    <row r="110" spans="1:50" x14ac:dyDescent="0.2">
      <c r="V110" s="74"/>
    </row>
    <row r="111" spans="1:50" s="76" customFormat="1" x14ac:dyDescent="0.2">
      <c r="A111" s="74"/>
      <c r="B111" s="74"/>
      <c r="C111" s="74"/>
      <c r="D111" s="74"/>
      <c r="E111" s="74"/>
      <c r="F111" s="74"/>
      <c r="G111" s="74"/>
      <c r="H111" s="74"/>
      <c r="I111" s="74"/>
      <c r="J111" s="74"/>
      <c r="K111" s="74"/>
      <c r="L111" s="74"/>
      <c r="M111" s="74"/>
      <c r="N111" s="74"/>
      <c r="O111" s="74"/>
      <c r="P111" s="74"/>
      <c r="Q111" s="74"/>
      <c r="R111" s="74"/>
      <c r="S111" s="74"/>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row>
    <row r="112" spans="1:50" x14ac:dyDescent="0.2">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row>
    <row r="113" spans="1:50" x14ac:dyDescent="0.2">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row>
    <row r="114" spans="1:50" x14ac:dyDescent="0.2">
      <c r="V114" s="74"/>
    </row>
    <row r="115" spans="1:50" x14ac:dyDescent="0.2">
      <c r="V115" s="74"/>
    </row>
    <row r="116" spans="1:50" x14ac:dyDescent="0.2">
      <c r="T116" s="76"/>
      <c r="U116" s="76"/>
      <c r="V116" s="76"/>
      <c r="W116" s="76"/>
      <c r="X116" s="76"/>
      <c r="Y116" s="76"/>
      <c r="Z116" s="76"/>
      <c r="AA116" s="76"/>
      <c r="AB116" s="76"/>
      <c r="AC116" s="76"/>
      <c r="AD116" s="76"/>
      <c r="AE116" s="76"/>
      <c r="AS116" s="76"/>
      <c r="AT116" s="76"/>
      <c r="AU116" s="76"/>
      <c r="AV116" s="76"/>
      <c r="AW116" s="76"/>
      <c r="AX116" s="76"/>
    </row>
    <row r="117" spans="1:50" s="76" customFormat="1" x14ac:dyDescent="0.2">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row>
    <row r="118" spans="1:50" x14ac:dyDescent="0.2">
      <c r="V118" s="74"/>
    </row>
    <row r="119" spans="1:50" x14ac:dyDescent="0.2">
      <c r="V119" s="74"/>
    </row>
    <row r="120" spans="1:50" x14ac:dyDescent="0.2">
      <c r="V120" s="74"/>
    </row>
    <row r="122" spans="1:50" s="76" customFormat="1" x14ac:dyDescent="0.2">
      <c r="A122" s="74"/>
      <c r="B122" s="74"/>
      <c r="C122" s="74"/>
      <c r="D122" s="74"/>
      <c r="E122" s="74"/>
      <c r="F122" s="74"/>
      <c r="G122" s="74"/>
      <c r="H122" s="74"/>
      <c r="I122" s="74"/>
      <c r="J122" s="74"/>
      <c r="K122" s="74"/>
      <c r="L122" s="74"/>
      <c r="M122" s="74"/>
      <c r="N122" s="74"/>
      <c r="O122" s="74"/>
      <c r="P122" s="74"/>
      <c r="Q122" s="74"/>
      <c r="R122" s="74"/>
      <c r="S122" s="74"/>
      <c r="T122" s="74"/>
      <c r="U122" s="74"/>
      <c r="V122" s="75"/>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6" spans="1:50" s="77" customFormat="1" x14ac:dyDescent="0.2">
      <c r="A126" s="74"/>
      <c r="B126" s="74"/>
      <c r="C126" s="74"/>
      <c r="D126" s="74"/>
      <c r="E126" s="74"/>
      <c r="F126" s="74"/>
      <c r="G126" s="74"/>
      <c r="H126" s="74"/>
      <c r="I126" s="74"/>
      <c r="J126" s="74"/>
      <c r="K126" s="74"/>
      <c r="L126" s="74"/>
      <c r="M126" s="74"/>
      <c r="N126" s="74"/>
      <c r="O126" s="74"/>
      <c r="P126" s="74"/>
      <c r="Q126" s="74"/>
      <c r="R126" s="74"/>
      <c r="S126" s="74"/>
      <c r="T126" s="74"/>
      <c r="U126" s="74"/>
      <c r="V126" s="75"/>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31" spans="1:44" s="77" customFormat="1" x14ac:dyDescent="0.2">
      <c r="A131" s="74"/>
      <c r="B131" s="74"/>
      <c r="C131" s="74"/>
      <c r="D131" s="74"/>
      <c r="E131" s="74"/>
      <c r="F131" s="74"/>
      <c r="G131" s="74"/>
      <c r="H131" s="74"/>
      <c r="I131" s="74"/>
      <c r="J131" s="74"/>
      <c r="K131" s="74"/>
      <c r="L131" s="74"/>
      <c r="M131" s="74"/>
      <c r="N131" s="74"/>
      <c r="O131" s="74"/>
      <c r="P131" s="74"/>
      <c r="Q131" s="74"/>
      <c r="R131" s="74"/>
      <c r="S131" s="74"/>
      <c r="T131" s="74"/>
      <c r="U131" s="74"/>
      <c r="V131" s="75"/>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spans="1:44" s="76" customFormat="1" x14ac:dyDescent="0.2">
      <c r="A132" s="74"/>
      <c r="B132" s="74"/>
      <c r="C132" s="74"/>
      <c r="D132" s="74"/>
      <c r="E132" s="74"/>
      <c r="F132" s="74"/>
      <c r="G132" s="74"/>
      <c r="H132" s="74"/>
      <c r="I132" s="74"/>
      <c r="J132" s="74"/>
      <c r="K132" s="74"/>
      <c r="L132" s="74"/>
      <c r="M132" s="74"/>
      <c r="N132" s="74"/>
      <c r="O132" s="74"/>
      <c r="P132" s="74"/>
      <c r="Q132" s="74"/>
      <c r="R132" s="74"/>
      <c r="S132" s="74"/>
      <c r="T132" s="74"/>
      <c r="U132" s="74"/>
      <c r="V132" s="75"/>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spans="1:44" s="76" customFormat="1" x14ac:dyDescent="0.2">
      <c r="A133" s="74"/>
      <c r="B133" s="74"/>
      <c r="C133" s="74"/>
      <c r="D133" s="74"/>
      <c r="E133" s="74"/>
      <c r="F133" s="74"/>
      <c r="G133" s="74"/>
      <c r="H133" s="74"/>
      <c r="I133" s="74"/>
      <c r="J133" s="74"/>
      <c r="K133" s="74"/>
      <c r="L133" s="74"/>
      <c r="M133" s="74"/>
      <c r="N133" s="74"/>
      <c r="O133" s="74"/>
      <c r="P133" s="74"/>
      <c r="Q133" s="74"/>
      <c r="R133" s="74"/>
      <c r="S133" s="74"/>
      <c r="T133" s="74"/>
      <c r="U133" s="74"/>
      <c r="V133" s="75"/>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6" spans="1:44" s="76" customFormat="1" x14ac:dyDescent="0.2">
      <c r="A136" s="74"/>
      <c r="B136" s="74"/>
      <c r="C136" s="74"/>
      <c r="D136" s="74"/>
      <c r="E136" s="74"/>
      <c r="F136" s="74"/>
      <c r="G136" s="74"/>
      <c r="H136" s="74"/>
      <c r="I136" s="74"/>
      <c r="J136" s="74"/>
      <c r="K136" s="74"/>
      <c r="L136" s="74"/>
      <c r="M136" s="74"/>
      <c r="N136" s="74"/>
      <c r="O136" s="74"/>
      <c r="P136" s="74"/>
      <c r="Q136" s="74"/>
      <c r="R136" s="74"/>
      <c r="S136" s="74"/>
      <c r="T136" s="74"/>
      <c r="U136" s="74"/>
      <c r="V136" s="75"/>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spans="1:44" x14ac:dyDescent="0.2">
      <c r="AJ137" s="76"/>
      <c r="AK137" s="76"/>
      <c r="AL137" s="76"/>
      <c r="AM137" s="76"/>
      <c r="AN137" s="76"/>
      <c r="AO137" s="76"/>
      <c r="AP137" s="76"/>
      <c r="AQ137" s="76"/>
    </row>
    <row r="141" spans="1:44" s="76" customFormat="1" x14ac:dyDescent="0.2">
      <c r="A141" s="74"/>
      <c r="B141" s="74"/>
      <c r="C141" s="74"/>
      <c r="D141" s="74"/>
      <c r="E141" s="74"/>
      <c r="F141" s="74"/>
      <c r="G141" s="74"/>
      <c r="H141" s="74"/>
      <c r="I141" s="74"/>
      <c r="J141" s="74"/>
      <c r="K141" s="74"/>
      <c r="L141" s="74"/>
      <c r="M141" s="74"/>
      <c r="N141" s="74"/>
      <c r="O141" s="74"/>
      <c r="P141" s="74"/>
      <c r="Q141" s="74"/>
      <c r="R141" s="74"/>
      <c r="S141" s="74"/>
      <c r="T141" s="74"/>
      <c r="U141" s="74"/>
      <c r="V141" s="75"/>
      <c r="W141" s="74"/>
      <c r="X141" s="74"/>
      <c r="Y141" s="74"/>
      <c r="Z141" s="74"/>
      <c r="AA141" s="74"/>
      <c r="AB141" s="74"/>
      <c r="AC141" s="74"/>
      <c r="AD141" s="74"/>
      <c r="AE141" s="74"/>
      <c r="AJ141" s="74"/>
      <c r="AK141" s="74"/>
      <c r="AL141" s="74"/>
      <c r="AM141" s="74"/>
      <c r="AN141" s="74"/>
      <c r="AO141" s="74"/>
      <c r="AP141" s="74"/>
      <c r="AQ141" s="74"/>
    </row>
    <row r="142" spans="1:44" s="76" customFormat="1" x14ac:dyDescent="0.2">
      <c r="A142" s="74"/>
      <c r="B142" s="74"/>
      <c r="C142" s="74"/>
      <c r="D142" s="74"/>
      <c r="E142" s="74"/>
      <c r="F142" s="74"/>
      <c r="G142" s="74"/>
      <c r="H142" s="74"/>
      <c r="I142" s="74"/>
      <c r="J142" s="74"/>
      <c r="K142" s="74"/>
      <c r="L142" s="74"/>
      <c r="M142" s="74"/>
      <c r="N142" s="74"/>
      <c r="O142" s="74"/>
      <c r="P142" s="74"/>
      <c r="Q142" s="74"/>
      <c r="R142" s="74"/>
      <c r="S142" s="74"/>
      <c r="T142" s="74"/>
      <c r="U142" s="74"/>
      <c r="V142" s="75"/>
      <c r="W142" s="74"/>
      <c r="X142" s="74"/>
      <c r="Y142" s="74"/>
      <c r="Z142" s="74"/>
      <c r="AA142" s="74"/>
      <c r="AB142" s="74"/>
      <c r="AC142" s="74"/>
      <c r="AD142" s="74"/>
      <c r="AE142" s="74"/>
    </row>
    <row r="143" spans="1:44" x14ac:dyDescent="0.2">
      <c r="AJ143" s="76"/>
      <c r="AK143" s="76"/>
      <c r="AL143" s="76"/>
      <c r="AM143" s="76"/>
      <c r="AN143" s="76"/>
      <c r="AO143" s="76"/>
      <c r="AP143" s="76"/>
      <c r="AQ143" s="76"/>
    </row>
    <row r="149" spans="1:43" ht="12.75" customHeight="1" x14ac:dyDescent="0.2">
      <c r="AF149" s="78"/>
      <c r="AG149" s="78"/>
      <c r="AH149" s="78"/>
      <c r="AI149" s="78"/>
    </row>
    <row r="150" spans="1:43" x14ac:dyDescent="0.2">
      <c r="AF150" s="79"/>
      <c r="AG150" s="79"/>
      <c r="AH150" s="79"/>
      <c r="AI150" s="79"/>
      <c r="AJ150" s="78"/>
    </row>
    <row r="151" spans="1:43" x14ac:dyDescent="0.2">
      <c r="AF151" s="80"/>
      <c r="AG151" s="80"/>
      <c r="AH151" s="81"/>
      <c r="AI151" s="81"/>
      <c r="AJ151" s="79"/>
    </row>
    <row r="152" spans="1:43" x14ac:dyDescent="0.2">
      <c r="AF152" s="80"/>
      <c r="AG152" s="80"/>
      <c r="AH152" s="81"/>
      <c r="AI152" s="81"/>
      <c r="AJ152" s="82"/>
    </row>
    <row r="153" spans="1:43" x14ac:dyDescent="0.2">
      <c r="AJ153" s="82"/>
    </row>
    <row r="154" spans="1:43" s="76" customFormat="1" x14ac:dyDescent="0.2">
      <c r="A154" s="74"/>
      <c r="B154" s="74"/>
      <c r="C154" s="74"/>
      <c r="D154" s="74"/>
      <c r="E154" s="74"/>
      <c r="F154" s="74"/>
      <c r="G154" s="74"/>
      <c r="H154" s="74"/>
      <c r="I154" s="74"/>
      <c r="J154" s="74"/>
      <c r="K154" s="74"/>
      <c r="L154" s="74"/>
      <c r="M154" s="74"/>
      <c r="N154" s="74"/>
      <c r="O154" s="74"/>
      <c r="P154" s="74"/>
      <c r="Q154" s="74"/>
      <c r="R154" s="74"/>
      <c r="S154" s="74"/>
      <c r="T154" s="74"/>
      <c r="U154" s="74"/>
      <c r="V154" s="75"/>
      <c r="W154" s="74"/>
      <c r="X154" s="74"/>
      <c r="Y154" s="74"/>
      <c r="Z154" s="74"/>
      <c r="AA154" s="74"/>
      <c r="AB154" s="74"/>
      <c r="AC154" s="74"/>
      <c r="AD154" s="74"/>
      <c r="AE154" s="74"/>
      <c r="AJ154" s="74"/>
      <c r="AK154" s="74"/>
      <c r="AL154" s="74"/>
      <c r="AM154" s="74"/>
      <c r="AN154" s="74"/>
      <c r="AO154" s="74"/>
      <c r="AP154" s="74"/>
      <c r="AQ154" s="74"/>
    </row>
    <row r="155" spans="1:43" x14ac:dyDescent="0.2">
      <c r="AJ155" s="76"/>
      <c r="AK155" s="76"/>
      <c r="AL155" s="76"/>
      <c r="AM155" s="76"/>
      <c r="AN155" s="76"/>
      <c r="AO155" s="76"/>
      <c r="AP155" s="76"/>
      <c r="AQ155" s="76"/>
    </row>
    <row r="158" spans="1:43" s="76" customFormat="1" x14ac:dyDescent="0.2">
      <c r="A158" s="74"/>
      <c r="B158" s="74"/>
      <c r="C158" s="74"/>
      <c r="D158" s="74"/>
      <c r="E158" s="74"/>
      <c r="F158" s="74"/>
      <c r="G158" s="74"/>
      <c r="H158" s="74"/>
      <c r="I158" s="74"/>
      <c r="J158" s="74"/>
      <c r="K158" s="74"/>
      <c r="L158" s="74"/>
      <c r="M158" s="74"/>
      <c r="N158" s="74"/>
      <c r="O158" s="74"/>
      <c r="P158" s="74"/>
      <c r="Q158" s="74"/>
      <c r="R158" s="74"/>
      <c r="S158" s="74"/>
      <c r="T158" s="74"/>
      <c r="U158" s="74"/>
      <c r="V158" s="75"/>
      <c r="W158" s="74"/>
      <c r="X158" s="74"/>
      <c r="Y158" s="74"/>
      <c r="Z158" s="74"/>
      <c r="AA158" s="74"/>
      <c r="AB158" s="74"/>
      <c r="AC158" s="74"/>
      <c r="AD158" s="74"/>
      <c r="AE158" s="74"/>
      <c r="AJ158" s="74"/>
      <c r="AK158" s="74"/>
      <c r="AL158" s="74"/>
      <c r="AM158" s="74"/>
      <c r="AN158" s="74"/>
      <c r="AO158" s="74"/>
      <c r="AP158" s="74"/>
      <c r="AQ158" s="74"/>
    </row>
    <row r="159" spans="1:43" x14ac:dyDescent="0.2">
      <c r="AJ159" s="76"/>
      <c r="AK159" s="76"/>
      <c r="AL159" s="76"/>
      <c r="AM159" s="76"/>
      <c r="AN159" s="76"/>
      <c r="AO159" s="76"/>
      <c r="AP159" s="76"/>
      <c r="AQ159" s="76"/>
    </row>
    <row r="164" spans="1:43" s="76" customFormat="1" x14ac:dyDescent="0.2">
      <c r="A164" s="74"/>
      <c r="B164" s="74"/>
      <c r="C164" s="74"/>
      <c r="D164" s="74"/>
      <c r="E164" s="74"/>
      <c r="F164" s="74"/>
      <c r="G164" s="74"/>
      <c r="H164" s="74"/>
      <c r="I164" s="74"/>
      <c r="J164" s="74"/>
      <c r="K164" s="74"/>
      <c r="L164" s="74"/>
      <c r="M164" s="74"/>
      <c r="N164" s="74"/>
      <c r="O164" s="74"/>
      <c r="P164" s="74"/>
      <c r="Q164" s="74"/>
      <c r="R164" s="74"/>
      <c r="S164" s="74"/>
      <c r="T164" s="74"/>
      <c r="U164" s="74"/>
      <c r="V164" s="75"/>
      <c r="W164" s="74"/>
      <c r="X164" s="74"/>
      <c r="Y164" s="74"/>
      <c r="Z164" s="74"/>
      <c r="AA164" s="74"/>
      <c r="AB164" s="74"/>
      <c r="AC164" s="74"/>
      <c r="AD164" s="74"/>
      <c r="AE164" s="74"/>
      <c r="AJ164" s="74"/>
      <c r="AK164" s="74"/>
      <c r="AL164" s="74"/>
      <c r="AM164" s="74"/>
      <c r="AN164" s="74"/>
      <c r="AO164" s="74"/>
      <c r="AP164" s="74"/>
      <c r="AQ164" s="74"/>
    </row>
    <row r="165" spans="1:43" x14ac:dyDescent="0.2">
      <c r="AJ165" s="76"/>
      <c r="AK165" s="76"/>
      <c r="AL165" s="76"/>
      <c r="AM165" s="76"/>
      <c r="AN165" s="76"/>
      <c r="AO165" s="76"/>
      <c r="AP165" s="76"/>
      <c r="AQ165" s="76"/>
    </row>
    <row r="169" spans="1:43" s="76" customFormat="1" x14ac:dyDescent="0.2">
      <c r="A169" s="74"/>
      <c r="B169" s="74"/>
      <c r="C169" s="74"/>
      <c r="D169" s="74"/>
      <c r="E169" s="74"/>
      <c r="F169" s="74"/>
      <c r="G169" s="74"/>
      <c r="H169" s="74"/>
      <c r="I169" s="74"/>
      <c r="J169" s="74"/>
      <c r="K169" s="74"/>
      <c r="L169" s="74"/>
      <c r="M169" s="74"/>
      <c r="N169" s="74"/>
      <c r="O169" s="74"/>
      <c r="P169" s="74"/>
      <c r="Q169" s="74"/>
      <c r="R169" s="74"/>
      <c r="S169" s="74"/>
      <c r="T169" s="74"/>
      <c r="U169" s="74"/>
      <c r="V169" s="75"/>
      <c r="W169" s="74"/>
      <c r="X169" s="74"/>
      <c r="Y169" s="74"/>
      <c r="Z169" s="74"/>
      <c r="AA169" s="74"/>
      <c r="AB169" s="74"/>
      <c r="AC169" s="74"/>
      <c r="AD169" s="74"/>
      <c r="AE169" s="74"/>
      <c r="AJ169" s="74"/>
      <c r="AK169" s="74"/>
      <c r="AL169" s="74"/>
      <c r="AM169" s="74"/>
      <c r="AN169" s="74"/>
      <c r="AO169" s="74"/>
      <c r="AP169" s="74"/>
      <c r="AQ169" s="74"/>
    </row>
    <row r="170" spans="1:43" x14ac:dyDescent="0.2">
      <c r="AJ170" s="76"/>
      <c r="AK170" s="76"/>
      <c r="AL170" s="76"/>
      <c r="AM170" s="76"/>
      <c r="AN170" s="76"/>
      <c r="AO170" s="76"/>
      <c r="AP170" s="76"/>
      <c r="AQ170" s="76"/>
    </row>
    <row r="173" spans="1:43" s="77" customFormat="1" x14ac:dyDescent="0.2">
      <c r="A173" s="74"/>
      <c r="B173" s="74"/>
      <c r="C173" s="74"/>
      <c r="D173" s="74"/>
      <c r="E173" s="74"/>
      <c r="F173" s="74"/>
      <c r="G173" s="74"/>
      <c r="H173" s="74"/>
      <c r="I173" s="74"/>
      <c r="J173" s="74"/>
      <c r="K173" s="74"/>
      <c r="L173" s="74"/>
      <c r="M173" s="74"/>
      <c r="N173" s="74"/>
      <c r="O173" s="74"/>
      <c r="P173" s="74"/>
      <c r="Q173" s="74"/>
      <c r="R173" s="74"/>
      <c r="S173" s="74"/>
      <c r="T173" s="74"/>
      <c r="U173" s="74"/>
      <c r="V173" s="75"/>
      <c r="W173" s="74"/>
      <c r="X173" s="74"/>
      <c r="Y173" s="74"/>
      <c r="Z173" s="74"/>
      <c r="AA173" s="74"/>
      <c r="AB173" s="74"/>
      <c r="AC173" s="74"/>
      <c r="AD173" s="74"/>
      <c r="AE173" s="74"/>
      <c r="AJ173" s="74"/>
      <c r="AK173" s="74"/>
      <c r="AL173" s="74"/>
      <c r="AM173" s="74"/>
      <c r="AN173" s="74"/>
      <c r="AO173" s="74"/>
      <c r="AP173" s="74"/>
      <c r="AQ173" s="74"/>
    </row>
    <row r="174" spans="1:43" x14ac:dyDescent="0.2">
      <c r="AJ174" s="77"/>
      <c r="AK174" s="77"/>
      <c r="AL174" s="77"/>
      <c r="AM174" s="77"/>
      <c r="AN174" s="77"/>
      <c r="AO174" s="77"/>
      <c r="AP174" s="77"/>
      <c r="AQ174" s="77"/>
    </row>
    <row r="178" spans="1:43" s="77" customFormat="1" x14ac:dyDescent="0.2">
      <c r="A178" s="74"/>
      <c r="B178" s="74"/>
      <c r="C178" s="74"/>
      <c r="D178" s="74"/>
      <c r="E178" s="74"/>
      <c r="F178" s="74"/>
      <c r="G178" s="74"/>
      <c r="H178" s="74"/>
      <c r="I178" s="74"/>
      <c r="J178" s="74"/>
      <c r="K178" s="74"/>
      <c r="L178" s="74"/>
      <c r="M178" s="74"/>
      <c r="N178" s="74"/>
      <c r="O178" s="74"/>
      <c r="P178" s="74"/>
      <c r="Q178" s="74"/>
      <c r="R178" s="74"/>
      <c r="S178" s="74"/>
      <c r="T178" s="74"/>
      <c r="U178" s="74"/>
      <c r="V178" s="75"/>
      <c r="W178" s="74"/>
      <c r="X178" s="74"/>
      <c r="Y178" s="74"/>
      <c r="Z178" s="74"/>
      <c r="AA178" s="74"/>
      <c r="AB178" s="74"/>
      <c r="AC178" s="74"/>
      <c r="AD178" s="74"/>
      <c r="AE178" s="74"/>
      <c r="AJ178" s="74"/>
      <c r="AK178" s="74"/>
      <c r="AL178" s="74"/>
      <c r="AM178" s="74"/>
      <c r="AN178" s="74"/>
      <c r="AO178" s="74"/>
      <c r="AP178" s="74"/>
      <c r="AQ178" s="74"/>
    </row>
    <row r="179" spans="1:43" s="76" customFormat="1" x14ac:dyDescent="0.2">
      <c r="A179" s="74"/>
      <c r="B179" s="74"/>
      <c r="C179" s="74"/>
      <c r="D179" s="74"/>
      <c r="E179" s="74"/>
      <c r="F179" s="74"/>
      <c r="G179" s="74"/>
      <c r="H179" s="74"/>
      <c r="I179" s="74"/>
      <c r="J179" s="74"/>
      <c r="K179" s="74"/>
      <c r="L179" s="74"/>
      <c r="M179" s="74"/>
      <c r="N179" s="74"/>
      <c r="O179" s="74"/>
      <c r="P179" s="74"/>
      <c r="Q179" s="74"/>
      <c r="R179" s="74"/>
      <c r="S179" s="74"/>
      <c r="T179" s="74"/>
      <c r="U179" s="74"/>
      <c r="V179" s="75"/>
      <c r="W179" s="74"/>
      <c r="X179" s="74"/>
      <c r="Y179" s="74"/>
      <c r="Z179" s="74"/>
      <c r="AA179" s="74"/>
      <c r="AB179" s="74"/>
      <c r="AC179" s="74"/>
      <c r="AD179" s="74"/>
      <c r="AE179" s="74"/>
      <c r="AJ179" s="77"/>
      <c r="AK179" s="77"/>
      <c r="AL179" s="77"/>
      <c r="AM179" s="77"/>
      <c r="AN179" s="77"/>
      <c r="AO179" s="77"/>
      <c r="AP179" s="77"/>
      <c r="AQ179" s="77"/>
    </row>
    <row r="180" spans="1:43" s="76" customFormat="1" x14ac:dyDescent="0.2">
      <c r="A180" s="74"/>
      <c r="B180" s="74"/>
      <c r="C180" s="74"/>
      <c r="D180" s="74"/>
      <c r="E180" s="74"/>
      <c r="F180" s="74"/>
      <c r="G180" s="74"/>
      <c r="H180" s="74"/>
      <c r="I180" s="74"/>
      <c r="J180" s="74"/>
      <c r="K180" s="74"/>
      <c r="L180" s="74"/>
      <c r="M180" s="74"/>
      <c r="N180" s="74"/>
      <c r="O180" s="74"/>
      <c r="P180" s="74"/>
      <c r="Q180" s="74"/>
      <c r="R180" s="74"/>
      <c r="S180" s="74"/>
      <c r="T180" s="74"/>
      <c r="U180" s="74"/>
      <c r="V180" s="75"/>
      <c r="W180" s="74"/>
      <c r="X180" s="74"/>
      <c r="Y180" s="74"/>
      <c r="Z180" s="74"/>
      <c r="AA180" s="74"/>
      <c r="AB180" s="74"/>
      <c r="AC180" s="74"/>
      <c r="AD180" s="74"/>
      <c r="AE180" s="74"/>
    </row>
    <row r="181" spans="1:43" x14ac:dyDescent="0.2">
      <c r="AJ181" s="76"/>
      <c r="AK181" s="76"/>
      <c r="AL181" s="76"/>
      <c r="AM181" s="76"/>
      <c r="AN181" s="76"/>
      <c r="AO181" s="76"/>
      <c r="AP181" s="76"/>
      <c r="AQ181" s="76"/>
    </row>
    <row r="183" spans="1:43" s="76" customFormat="1" x14ac:dyDescent="0.2">
      <c r="A183" s="74"/>
      <c r="B183" s="74"/>
      <c r="C183" s="74"/>
      <c r="D183" s="74"/>
      <c r="E183" s="74"/>
      <c r="F183" s="74"/>
      <c r="G183" s="74"/>
      <c r="H183" s="74"/>
      <c r="I183" s="74"/>
      <c r="J183" s="74"/>
      <c r="K183" s="74"/>
      <c r="L183" s="74"/>
      <c r="M183" s="74"/>
      <c r="N183" s="74"/>
      <c r="O183" s="74"/>
      <c r="P183" s="74"/>
      <c r="Q183" s="74"/>
      <c r="R183" s="74"/>
      <c r="S183" s="74"/>
      <c r="T183" s="74"/>
      <c r="U183" s="74"/>
      <c r="V183" s="75"/>
      <c r="W183" s="74"/>
      <c r="X183" s="74"/>
      <c r="Y183" s="74"/>
      <c r="Z183" s="74"/>
      <c r="AA183" s="74"/>
      <c r="AB183" s="74"/>
      <c r="AC183" s="74"/>
      <c r="AD183" s="74"/>
      <c r="AE183" s="74"/>
      <c r="AJ183" s="74"/>
      <c r="AK183" s="74"/>
      <c r="AL183" s="74"/>
      <c r="AM183" s="74"/>
      <c r="AN183" s="74"/>
      <c r="AO183" s="74"/>
      <c r="AP183" s="74"/>
      <c r="AQ183" s="74"/>
    </row>
    <row r="184" spans="1:43" x14ac:dyDescent="0.2">
      <c r="AJ184" s="76"/>
      <c r="AK184" s="76"/>
      <c r="AL184" s="76"/>
      <c r="AM184" s="76"/>
      <c r="AN184" s="76"/>
      <c r="AO184" s="76"/>
      <c r="AP184" s="76"/>
      <c r="AQ184" s="76"/>
    </row>
    <row r="188" spans="1:43" s="76" customFormat="1" x14ac:dyDescent="0.2">
      <c r="A188" s="74"/>
      <c r="B188" s="74"/>
      <c r="C188" s="74"/>
      <c r="D188" s="74"/>
      <c r="E188" s="74"/>
      <c r="F188" s="74"/>
      <c r="G188" s="74"/>
      <c r="H188" s="74"/>
      <c r="I188" s="74"/>
      <c r="J188" s="74"/>
      <c r="K188" s="74"/>
      <c r="L188" s="74"/>
      <c r="M188" s="74"/>
      <c r="N188" s="74"/>
      <c r="O188" s="74"/>
      <c r="P188" s="74"/>
      <c r="Q188" s="74"/>
      <c r="R188" s="74"/>
      <c r="S188" s="74"/>
      <c r="T188" s="74"/>
      <c r="U188" s="74"/>
      <c r="V188" s="75"/>
      <c r="W188" s="74"/>
      <c r="X188" s="74"/>
      <c r="Y188" s="74"/>
      <c r="Z188" s="74"/>
      <c r="AA188" s="74"/>
      <c r="AB188" s="74"/>
      <c r="AC188" s="74"/>
      <c r="AD188" s="74"/>
      <c r="AE188" s="74"/>
      <c r="AJ188" s="74"/>
      <c r="AK188" s="74"/>
      <c r="AL188" s="74"/>
      <c r="AM188" s="74"/>
      <c r="AN188" s="74"/>
      <c r="AO188" s="74"/>
      <c r="AP188" s="74"/>
      <c r="AQ188" s="74"/>
    </row>
    <row r="189" spans="1:43" s="76" customFormat="1" x14ac:dyDescent="0.2">
      <c r="A189" s="74"/>
      <c r="B189" s="74"/>
      <c r="C189" s="74"/>
      <c r="D189" s="74"/>
      <c r="E189" s="74"/>
      <c r="F189" s="74"/>
      <c r="G189" s="74"/>
      <c r="H189" s="74"/>
      <c r="I189" s="74"/>
      <c r="J189" s="74"/>
      <c r="K189" s="74"/>
      <c r="L189" s="74"/>
      <c r="M189" s="74"/>
      <c r="N189" s="74"/>
      <c r="O189" s="74"/>
      <c r="P189" s="74"/>
      <c r="Q189" s="74"/>
      <c r="R189" s="74"/>
      <c r="S189" s="74"/>
      <c r="T189" s="74"/>
      <c r="U189" s="74"/>
      <c r="V189" s="75"/>
      <c r="W189" s="74"/>
      <c r="X189" s="74"/>
      <c r="Y189" s="74"/>
      <c r="Z189" s="74"/>
      <c r="AA189" s="74"/>
      <c r="AB189" s="74"/>
      <c r="AC189" s="74"/>
      <c r="AD189" s="74"/>
      <c r="AE189" s="74"/>
    </row>
    <row r="190" spans="1:43" x14ac:dyDescent="0.2">
      <c r="AJ190" s="76"/>
      <c r="AK190" s="76"/>
      <c r="AL190" s="76"/>
      <c r="AM190" s="76"/>
      <c r="AN190" s="76"/>
      <c r="AO190" s="76"/>
      <c r="AP190" s="76"/>
      <c r="AQ190" s="76"/>
    </row>
  </sheetData>
  <sheetProtection sheet="1" objects="1" scenarios="1"/>
  <mergeCells count="18">
    <mergeCell ref="N3:U3"/>
    <mergeCell ref="B4:B5"/>
    <mergeCell ref="C4:C5"/>
    <mergeCell ref="D4:G4"/>
    <mergeCell ref="H4:H5"/>
    <mergeCell ref="I4:L4"/>
    <mergeCell ref="M4:M5"/>
    <mergeCell ref="N4:P4"/>
    <mergeCell ref="Q4:T4"/>
    <mergeCell ref="U4:U5"/>
    <mergeCell ref="L29:L35"/>
    <mergeCell ref="M29:M35"/>
    <mergeCell ref="D77:G77"/>
    <mergeCell ref="I29:I35"/>
    <mergeCell ref="J29:J35"/>
    <mergeCell ref="K29:K35"/>
    <mergeCell ref="I77:L77"/>
    <mergeCell ref="K67:M67"/>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X190"/>
  <sheetViews>
    <sheetView zoomScale="85" zoomScaleNormal="85" workbookViewId="0">
      <pane xSplit="3" ySplit="5" topLeftCell="D6" activePane="bottomRight" state="frozen"/>
      <selection activeCell="C58" sqref="C58"/>
      <selection pane="topRight" activeCell="C58" sqref="C58"/>
      <selection pane="bottomLeft" activeCell="C58" sqref="C58"/>
      <selection pane="bottomRight" activeCell="D6" sqref="D6"/>
    </sheetView>
  </sheetViews>
  <sheetFormatPr defaultColWidth="9.140625" defaultRowHeight="12.75" outlineLevelRow="1" x14ac:dyDescent="0.2"/>
  <cols>
    <col min="1" max="1" width="4.28515625" style="74" customWidth="1"/>
    <col min="2" max="2" width="19.28515625" style="74" customWidth="1"/>
    <col min="3" max="3" width="35.5703125" style="74" customWidth="1"/>
    <col min="4" max="6" width="9.7109375" style="74" customWidth="1"/>
    <col min="7" max="7" width="10.85546875" style="74" customWidth="1"/>
    <col min="8" max="8" width="9.85546875" style="74" customWidth="1"/>
    <col min="9" max="9" width="10.5703125" style="74" customWidth="1"/>
    <col min="10" max="12" width="9.7109375" style="74" customWidth="1"/>
    <col min="13" max="13" width="7.85546875" style="74" customWidth="1"/>
    <col min="14" max="20" width="9.42578125" style="74" customWidth="1"/>
    <col min="21" max="21" width="9.140625" style="74"/>
    <col min="22" max="22" width="9.140625" style="75"/>
    <col min="23" max="24" width="9.140625" style="74"/>
    <col min="25" max="25" width="11" style="74" customWidth="1"/>
    <col min="26" max="26" width="10.42578125" style="74" customWidth="1"/>
    <col min="27" max="27" width="10" style="74" customWidth="1"/>
    <col min="28" max="16384" width="9.140625" style="74"/>
  </cols>
  <sheetData>
    <row r="1" spans="1:39" s="2404" customFormat="1" ht="21" x14ac:dyDescent="0.35">
      <c r="A1" s="2404" t="s">
        <v>915</v>
      </c>
      <c r="F1" s="2402" t="s">
        <v>958</v>
      </c>
      <c r="V1" s="2405"/>
    </row>
    <row r="2" spans="1:39" s="239" customFormat="1" x14ac:dyDescent="0.2">
      <c r="V2" s="240"/>
    </row>
    <row r="3" spans="1:39" s="241" customFormat="1" ht="18.75" x14ac:dyDescent="0.3">
      <c r="B3" s="268"/>
      <c r="C3" s="904" t="s">
        <v>845</v>
      </c>
      <c r="D3" s="277" t="s">
        <v>113</v>
      </c>
      <c r="E3" s="269"/>
      <c r="F3" s="269"/>
      <c r="G3" s="269"/>
      <c r="H3" s="278"/>
      <c r="I3" s="276" t="s">
        <v>114</v>
      </c>
      <c r="J3" s="270"/>
      <c r="K3" s="270"/>
      <c r="L3" s="270"/>
      <c r="M3" s="276"/>
      <c r="N3" s="2778" t="s">
        <v>38</v>
      </c>
      <c r="O3" s="2779"/>
      <c r="P3" s="2779"/>
      <c r="Q3" s="2779"/>
      <c r="R3" s="2779"/>
      <c r="S3" s="2779"/>
      <c r="T3" s="2779"/>
      <c r="U3" s="2780"/>
      <c r="Y3" s="242"/>
    </row>
    <row r="4" spans="1:39" ht="15" customHeight="1" x14ac:dyDescent="0.3">
      <c r="B4" s="2789" t="s">
        <v>843</v>
      </c>
      <c r="C4" s="2791" t="s">
        <v>844</v>
      </c>
      <c r="D4" s="2781" t="s">
        <v>453</v>
      </c>
      <c r="E4" s="2793"/>
      <c r="F4" s="2793"/>
      <c r="G4" s="2794"/>
      <c r="H4" s="2786" t="s">
        <v>110</v>
      </c>
      <c r="I4" s="2793" t="s">
        <v>111</v>
      </c>
      <c r="J4" s="2795"/>
      <c r="K4" s="2795"/>
      <c r="L4" s="2796"/>
      <c r="M4" s="2781" t="s">
        <v>110</v>
      </c>
      <c r="N4" s="2783" t="s">
        <v>456</v>
      </c>
      <c r="O4" s="2784"/>
      <c r="P4" s="2785"/>
      <c r="Q4" s="2784" t="s">
        <v>457</v>
      </c>
      <c r="R4" s="2784"/>
      <c r="S4" s="2784"/>
      <c r="T4" s="2785"/>
      <c r="U4" s="2786" t="s">
        <v>110</v>
      </c>
      <c r="V4" s="78"/>
      <c r="W4" s="241"/>
      <c r="X4" s="247"/>
      <c r="Y4" s="75"/>
    </row>
    <row r="5" spans="1:39" x14ac:dyDescent="0.2">
      <c r="B5" s="2790"/>
      <c r="C5" s="2792"/>
      <c r="D5" s="883" t="s">
        <v>16</v>
      </c>
      <c r="E5" s="300" t="s">
        <v>17</v>
      </c>
      <c r="F5" s="300" t="s">
        <v>18</v>
      </c>
      <c r="G5" s="300" t="s">
        <v>88</v>
      </c>
      <c r="H5" s="2787"/>
      <c r="I5" s="300" t="s">
        <v>16</v>
      </c>
      <c r="J5" s="300" t="s">
        <v>17</v>
      </c>
      <c r="K5" s="300" t="s">
        <v>18</v>
      </c>
      <c r="L5" s="300" t="s">
        <v>88</v>
      </c>
      <c r="M5" s="2782"/>
      <c r="N5" s="883" t="s">
        <v>16</v>
      </c>
      <c r="O5" s="300" t="s">
        <v>17</v>
      </c>
      <c r="P5" s="301" t="s">
        <v>18</v>
      </c>
      <c r="Q5" s="300" t="s">
        <v>16</v>
      </c>
      <c r="R5" s="300" t="s">
        <v>17</v>
      </c>
      <c r="S5" s="300" t="s">
        <v>18</v>
      </c>
      <c r="T5" s="300" t="s">
        <v>88</v>
      </c>
      <c r="U5" s="2787"/>
      <c r="V5" s="243"/>
      <c r="Y5" s="75"/>
    </row>
    <row r="6" spans="1:39" ht="12.75" customHeight="1" outlineLevel="1" x14ac:dyDescent="0.2">
      <c r="A6" s="459"/>
      <c r="B6" s="466" t="s">
        <v>25</v>
      </c>
      <c r="C6" s="642" t="s">
        <v>42</v>
      </c>
      <c r="D6" s="641"/>
      <c r="E6" s="27"/>
      <c r="F6" s="27"/>
      <c r="G6" s="27"/>
      <c r="H6" s="271"/>
      <c r="I6" s="29"/>
      <c r="J6" s="29"/>
      <c r="K6" s="29"/>
      <c r="L6" s="29"/>
      <c r="M6" s="959"/>
      <c r="N6" s="907"/>
      <c r="O6" s="907"/>
      <c r="P6" s="908"/>
      <c r="Q6" s="916"/>
      <c r="R6" s="917"/>
      <c r="S6" s="917"/>
      <c r="T6" s="918"/>
      <c r="U6" s="922"/>
      <c r="V6" s="78"/>
      <c r="AH6" s="245"/>
      <c r="AI6" s="78"/>
      <c r="AJ6" s="78"/>
      <c r="AK6" s="78"/>
      <c r="AL6" s="78"/>
      <c r="AM6" s="78"/>
    </row>
    <row r="7" spans="1:39" ht="12.75" customHeight="1" outlineLevel="1" x14ac:dyDescent="0.2">
      <c r="A7" s="459"/>
      <c r="B7" s="467" t="str">
        <f>B6</f>
        <v>Masonry materials</v>
      </c>
      <c r="C7" s="643" t="s">
        <v>44</v>
      </c>
      <c r="D7" s="27"/>
      <c r="E7" s="27"/>
      <c r="F7" s="27"/>
      <c r="G7" s="27"/>
      <c r="H7" s="271"/>
      <c r="I7" s="29"/>
      <c r="J7" s="29"/>
      <c r="K7" s="29"/>
      <c r="L7" s="29"/>
      <c r="M7" s="272"/>
      <c r="N7" s="907"/>
      <c r="O7" s="907"/>
      <c r="P7" s="908"/>
      <c r="Q7" s="465"/>
      <c r="R7" s="914"/>
      <c r="S7" s="914"/>
      <c r="T7" s="919"/>
      <c r="U7" s="922"/>
      <c r="V7" s="78"/>
    </row>
    <row r="8" spans="1:39" ht="12.75" customHeight="1" outlineLevel="1" x14ac:dyDescent="0.2">
      <c r="A8" s="459"/>
      <c r="B8" s="467" t="str">
        <f t="shared" ref="B8:B15" si="0">B7</f>
        <v>Masonry materials</v>
      </c>
      <c r="C8" s="643" t="s">
        <v>46</v>
      </c>
      <c r="D8" s="27"/>
      <c r="E8" s="27"/>
      <c r="F8" s="27"/>
      <c r="G8" s="27"/>
      <c r="H8" s="271"/>
      <c r="I8" s="29"/>
      <c r="J8" s="29"/>
      <c r="K8" s="29"/>
      <c r="L8" s="29"/>
      <c r="M8" s="272"/>
      <c r="N8" s="907"/>
      <c r="O8" s="907"/>
      <c r="P8" s="908"/>
      <c r="Q8" s="465"/>
      <c r="R8" s="914"/>
      <c r="S8" s="914"/>
      <c r="T8" s="919"/>
      <c r="U8" s="922"/>
      <c r="V8" s="80"/>
    </row>
    <row r="9" spans="1:39" ht="12.75" customHeight="1" outlineLevel="1" x14ac:dyDescent="0.2">
      <c r="A9" s="459"/>
      <c r="B9" s="467" t="str">
        <f t="shared" si="0"/>
        <v>Masonry materials</v>
      </c>
      <c r="C9" s="643" t="s">
        <v>47</v>
      </c>
      <c r="D9" s="27"/>
      <c r="E9" s="27"/>
      <c r="F9" s="27"/>
      <c r="G9" s="27"/>
      <c r="H9" s="271"/>
      <c r="I9" s="29"/>
      <c r="J9" s="29"/>
      <c r="K9" s="29"/>
      <c r="L9" s="29"/>
      <c r="M9" s="272"/>
      <c r="N9" s="907"/>
      <c r="O9" s="907"/>
      <c r="P9" s="908"/>
      <c r="Q9" s="465"/>
      <c r="R9" s="914"/>
      <c r="S9" s="914"/>
      <c r="T9" s="919"/>
      <c r="U9" s="922"/>
      <c r="V9" s="80"/>
    </row>
    <row r="10" spans="1:39" ht="12.75" customHeight="1" outlineLevel="1" x14ac:dyDescent="0.2">
      <c r="A10" s="459"/>
      <c r="B10" s="467" t="str">
        <f t="shared" si="0"/>
        <v>Masonry materials</v>
      </c>
      <c r="C10" s="643" t="s">
        <v>49</v>
      </c>
      <c r="D10" s="27"/>
      <c r="E10" s="27"/>
      <c r="F10" s="27"/>
      <c r="G10" s="27"/>
      <c r="H10" s="280"/>
      <c r="I10" s="29"/>
      <c r="J10" s="29"/>
      <c r="K10" s="29"/>
      <c r="L10" s="29"/>
      <c r="M10" s="272"/>
      <c r="N10" s="907"/>
      <c r="O10" s="907"/>
      <c r="P10" s="908"/>
      <c r="Q10" s="465"/>
      <c r="R10" s="914"/>
      <c r="S10" s="914"/>
      <c r="T10" s="919"/>
      <c r="U10" s="922"/>
      <c r="V10" s="80"/>
    </row>
    <row r="11" spans="1:39" s="501" customFormat="1" ht="15" x14ac:dyDescent="0.25">
      <c r="A11" s="499"/>
      <c r="B11" s="465" t="str">
        <f t="shared" si="0"/>
        <v>Masonry materials</v>
      </c>
      <c r="C11" s="644" t="s">
        <v>115</v>
      </c>
      <c r="D11" s="237">
        <f>Qld!G48</f>
        <v>37299.194579903451</v>
      </c>
      <c r="E11" s="237">
        <f>Qld!H48</f>
        <v>229232.67924384319</v>
      </c>
      <c r="F11" s="237">
        <f>Qld!I48</f>
        <v>1213080.9530603851</v>
      </c>
      <c r="G11" s="237">
        <f>SUM(D11:F11)</f>
        <v>1479612.8268841316</v>
      </c>
      <c r="H11" s="275">
        <f>G11/Pop_Qld*1000</f>
        <v>311.55928995674964</v>
      </c>
      <c r="I11" s="237" t="str">
        <f>IF(ISNUMBER(Qld!G70),Qld!G70,"")</f>
        <v/>
      </c>
      <c r="J11" s="237" t="str">
        <f>IF(ISNUMBER(Qld!H70),Qld!H70,"")</f>
        <v/>
      </c>
      <c r="K11" s="237" t="str">
        <f>IF(ISNUMBER(Qld!I70),Qld!I70,"")</f>
        <v/>
      </c>
      <c r="L11" s="237">
        <f>IF(ISNUMBER(I11),SUM(I11:K11),Qld!J70)</f>
        <v>1318341</v>
      </c>
      <c r="M11" s="273">
        <f>L11/Pop_Qld*1000</f>
        <v>277.6005847055531</v>
      </c>
      <c r="N11" s="907"/>
      <c r="O11" s="907"/>
      <c r="P11" s="908"/>
      <c r="Q11" s="920"/>
      <c r="R11" s="915"/>
      <c r="S11" s="915"/>
      <c r="T11" s="921"/>
      <c r="U11" s="923"/>
      <c r="V11" s="500"/>
    </row>
    <row r="12" spans="1:39" ht="12.75" customHeight="1" outlineLevel="1" x14ac:dyDescent="0.2">
      <c r="A12" s="459"/>
      <c r="B12" s="464" t="s">
        <v>28</v>
      </c>
      <c r="C12" s="645" t="s">
        <v>56</v>
      </c>
      <c r="D12" s="960"/>
      <c r="E12" s="961"/>
      <c r="F12" s="961"/>
      <c r="G12" s="961"/>
      <c r="H12" s="962"/>
      <c r="I12" s="963"/>
      <c r="J12" s="963"/>
      <c r="K12" s="963"/>
      <c r="L12" s="980"/>
      <c r="M12" s="964"/>
      <c r="N12" s="910"/>
      <c r="O12" s="910"/>
      <c r="P12" s="911"/>
      <c r="Q12" s="464"/>
      <c r="R12" s="912"/>
      <c r="S12" s="912"/>
      <c r="T12" s="925"/>
      <c r="U12" s="926"/>
      <c r="V12" s="80"/>
    </row>
    <row r="13" spans="1:39" ht="12.75" customHeight="1" outlineLevel="1" x14ac:dyDescent="0.2">
      <c r="A13" s="459"/>
      <c r="B13" s="468" t="str">
        <f t="shared" si="0"/>
        <v>Metals</v>
      </c>
      <c r="C13" s="645" t="s">
        <v>52</v>
      </c>
      <c r="D13" s="279"/>
      <c r="E13" s="27"/>
      <c r="F13" s="27"/>
      <c r="G13" s="27"/>
      <c r="H13" s="280"/>
      <c r="I13" s="29"/>
      <c r="J13" s="29"/>
      <c r="K13" s="29"/>
      <c r="L13" s="28"/>
      <c r="M13" s="272"/>
      <c r="N13" s="910"/>
      <c r="O13" s="910"/>
      <c r="P13" s="911"/>
      <c r="Q13" s="464"/>
      <c r="R13" s="912"/>
      <c r="S13" s="912"/>
      <c r="T13" s="925"/>
      <c r="U13" s="926"/>
      <c r="V13" s="80"/>
    </row>
    <row r="14" spans="1:39" ht="12.75" customHeight="1" outlineLevel="1" x14ac:dyDescent="0.2">
      <c r="A14" s="459"/>
      <c r="B14" s="468" t="str">
        <f t="shared" si="0"/>
        <v>Metals</v>
      </c>
      <c r="C14" s="645" t="s">
        <v>54</v>
      </c>
      <c r="D14" s="279"/>
      <c r="E14" s="27"/>
      <c r="F14" s="27"/>
      <c r="G14" s="27"/>
      <c r="H14" s="280"/>
      <c r="I14" s="29"/>
      <c r="J14" s="29"/>
      <c r="K14" s="29"/>
      <c r="L14" s="28"/>
      <c r="M14" s="272"/>
      <c r="N14" s="910"/>
      <c r="O14" s="910"/>
      <c r="P14" s="911"/>
      <c r="Q14" s="464"/>
      <c r="R14" s="912"/>
      <c r="S14" s="912"/>
      <c r="T14" s="925"/>
      <c r="U14" s="926"/>
      <c r="V14" s="80"/>
    </row>
    <row r="15" spans="1:39" s="247" customFormat="1" x14ac:dyDescent="0.2">
      <c r="A15" s="459"/>
      <c r="B15" s="464" t="str">
        <f t="shared" si="0"/>
        <v>Metals</v>
      </c>
      <c r="C15" s="646" t="s">
        <v>115</v>
      </c>
      <c r="D15" s="965">
        <f>Qld!G49</f>
        <v>62662.382110740662</v>
      </c>
      <c r="E15" s="966">
        <f>Qld!H49</f>
        <v>44442.745434342738</v>
      </c>
      <c r="F15" s="966">
        <f>Qld!I49</f>
        <v>67975.959431849013</v>
      </c>
      <c r="G15" s="966">
        <f t="shared" ref="G15:G21" si="1">SUM(D15:F15)</f>
        <v>175081.08697693242</v>
      </c>
      <c r="H15" s="967">
        <f t="shared" ref="H15:H21" si="2">G15/Pop_Qld*1000</f>
        <v>36.866495175133174</v>
      </c>
      <c r="I15" s="965" t="str">
        <f>IF(ISNUMBER(Qld!G71),Qld!G71,"")</f>
        <v/>
      </c>
      <c r="J15" s="966" t="str">
        <f>IF(ISNUMBER(Qld!H71),Qld!H71,"")</f>
        <v/>
      </c>
      <c r="K15" s="966" t="str">
        <f>IF(ISNUMBER(Qld!I71),Qld!I71,"")</f>
        <v/>
      </c>
      <c r="L15" s="971">
        <f>IF(ISNUMBER(I15),SUM(I15:K15),Qld!J71)</f>
        <v>806193</v>
      </c>
      <c r="M15" s="968">
        <f>L15/Pop_Qld*1000</f>
        <v>169.75854364350647</v>
      </c>
      <c r="N15" s="910"/>
      <c r="O15" s="910"/>
      <c r="P15" s="911"/>
      <c r="Q15" s="927"/>
      <c r="R15" s="913"/>
      <c r="S15" s="913"/>
      <c r="T15" s="928"/>
      <c r="U15" s="929"/>
      <c r="V15" s="246"/>
    </row>
    <row r="16" spans="1:39" ht="12.75" customHeight="1" outlineLevel="1" x14ac:dyDescent="0.2">
      <c r="A16" s="459"/>
      <c r="B16" s="465" t="s">
        <v>22</v>
      </c>
      <c r="C16" s="643" t="s">
        <v>61</v>
      </c>
      <c r="D16" s="29">
        <f>Qld!G50</f>
        <v>531094.11358460155</v>
      </c>
      <c r="E16" s="29">
        <f>Qld!H50</f>
        <v>286623.52592447889</v>
      </c>
      <c r="F16" s="29">
        <f>Qld!I50</f>
        <v>0</v>
      </c>
      <c r="G16" s="29">
        <f t="shared" si="1"/>
        <v>817717.63950908044</v>
      </c>
      <c r="H16" s="283">
        <f t="shared" si="2"/>
        <v>172.18526530826657</v>
      </c>
      <c r="I16" s="2562">
        <f>IF(ISNUMBER(Qld!G72),Qld!G72,"")</f>
        <v>15458.981594058905</v>
      </c>
      <c r="J16" s="2563">
        <f>IF(ISNUMBER(Qld!H72),Qld!H72,"")</f>
        <v>52733.018405941097</v>
      </c>
      <c r="K16" s="2560" t="str">
        <f>IF(ISNUMBER(Qld!I72),Qld!I72,"")</f>
        <v/>
      </c>
      <c r="L16" s="2561">
        <f>IF(ISNUMBER(I16),SUM(I16:K16),IF(ISNUMBER(Qld!J72),Qld!J72,""))</f>
        <v>68192</v>
      </c>
      <c r="M16" s="272"/>
      <c r="N16" s="282">
        <f>'Other national data'!K329</f>
        <v>82977.736415398394</v>
      </c>
      <c r="O16" s="29">
        <f>'Other national data'!L329</f>
        <v>44781.839557754574</v>
      </c>
      <c r="P16" s="28">
        <f>'Other national data'!M329</f>
        <v>0</v>
      </c>
      <c r="Q16" s="29">
        <f>N16</f>
        <v>82977.736415398394</v>
      </c>
      <c r="R16" s="29">
        <f>O16</f>
        <v>44781.839557754574</v>
      </c>
      <c r="S16" s="29">
        <f>P16</f>
        <v>0</v>
      </c>
      <c r="T16" s="29">
        <f t="shared" ref="T16:T21" si="3">SUM(Q16:S16)</f>
        <v>127759.57597315297</v>
      </c>
      <c r="U16" s="272">
        <f t="shared" ref="U16:U21" si="4">T16/Pop_Qld*1000</f>
        <v>26.902093609984668</v>
      </c>
      <c r="V16" s="80"/>
    </row>
    <row r="17" spans="1:22" ht="12.75" customHeight="1" outlineLevel="1" x14ac:dyDescent="0.2">
      <c r="A17" s="459"/>
      <c r="B17" s="467" t="str">
        <f>B16</f>
        <v>Organics</v>
      </c>
      <c r="C17" s="643" t="s">
        <v>63</v>
      </c>
      <c r="D17" s="29">
        <f>Qld!G51</f>
        <v>278516.1279184373</v>
      </c>
      <c r="E17" s="29">
        <f>Qld!H51</f>
        <v>59319.342221835068</v>
      </c>
      <c r="F17" s="29">
        <f>Qld!I51</f>
        <v>28744.410720689844</v>
      </c>
      <c r="G17" s="29">
        <f t="shared" si="1"/>
        <v>366579.88086096221</v>
      </c>
      <c r="H17" s="283">
        <f t="shared" si="2"/>
        <v>77.190036013668021</v>
      </c>
      <c r="I17" s="281" t="str">
        <f>IF(ISNUMBER(Qld!G73),Qld!G73,"")</f>
        <v/>
      </c>
      <c r="J17" s="237" t="str">
        <f>IF(ISNUMBER(Qld!H73),Qld!H73,"")</f>
        <v/>
      </c>
      <c r="K17" s="237" t="str">
        <f>IF(ISNUMBER(Qld!I73),Qld!I73,"")</f>
        <v/>
      </c>
      <c r="L17" s="29">
        <f>IF(ISNUMBER(I17),SUM(I17:K17),IF(ISNUMBER(Qld!J73),Qld!J73,""))</f>
        <v>619071</v>
      </c>
      <c r="M17" s="272"/>
      <c r="N17" s="282">
        <f>'Other national data'!K330</f>
        <v>10974.887081562727</v>
      </c>
      <c r="O17" s="29">
        <f>'Other national data'!L330</f>
        <v>2337.4699609060576</v>
      </c>
      <c r="P17" s="28">
        <f>'Other national data'!M330</f>
        <v>1132.6692793101581</v>
      </c>
      <c r="Q17" s="29">
        <f>N17+Qld!G93</f>
        <v>125405.78708156272</v>
      </c>
      <c r="R17" s="29">
        <f t="shared" ref="Q17:S19" si="5">O17</f>
        <v>2337.4699609060576</v>
      </c>
      <c r="S17" s="29">
        <f t="shared" si="5"/>
        <v>1132.6692793101581</v>
      </c>
      <c r="T17" s="29">
        <f t="shared" si="3"/>
        <v>128875.92632177894</v>
      </c>
      <c r="U17" s="272">
        <f t="shared" si="4"/>
        <v>27.137161403154128</v>
      </c>
      <c r="V17" s="248"/>
    </row>
    <row r="18" spans="1:22" ht="12.75" customHeight="1" outlineLevel="1" x14ac:dyDescent="0.2">
      <c r="A18" s="459"/>
      <c r="B18" s="467" t="str">
        <f>B17</f>
        <v>Organics</v>
      </c>
      <c r="C18" s="643" t="s">
        <v>67</v>
      </c>
      <c r="D18" s="29">
        <f>Qld!G52</f>
        <v>16940.772404986536</v>
      </c>
      <c r="E18" s="29">
        <f>Qld!H52</f>
        <v>186042.92185112703</v>
      </c>
      <c r="F18" s="29">
        <f>Qld!I52</f>
        <v>86544.897478341314</v>
      </c>
      <c r="G18" s="29">
        <f t="shared" si="1"/>
        <v>289528.59173445485</v>
      </c>
      <c r="H18" s="283">
        <f t="shared" si="2"/>
        <v>60.965490987885559</v>
      </c>
      <c r="I18" s="281" t="str">
        <f>IF(ISNUMBER(Qld!G74),Qld!G74,"")</f>
        <v/>
      </c>
      <c r="J18" s="237" t="str">
        <f>IF(ISNUMBER(Qld!H74),Qld!H74,"")</f>
        <v/>
      </c>
      <c r="K18" s="237" t="str">
        <f>IF(ISNUMBER(Qld!I74),Qld!I74,"")</f>
        <v/>
      </c>
      <c r="L18" s="29">
        <f>IF(ISNUMBER(I18),SUM(I18:K18),IF(ISNUMBER(Qld!J74),Qld!J74,""))</f>
        <v>180504</v>
      </c>
      <c r="M18" s="272"/>
      <c r="N18" s="282">
        <f>'Other national data'!K331</f>
        <v>604.13759501346419</v>
      </c>
      <c r="O18" s="29">
        <f>'Other national data'!L331</f>
        <v>6634.6162199389446</v>
      </c>
      <c r="P18" s="28">
        <f>'Other national data'!M331</f>
        <v>3086.3425216586807</v>
      </c>
      <c r="Q18" s="29">
        <f t="shared" si="5"/>
        <v>604.13759501346419</v>
      </c>
      <c r="R18" s="29">
        <f>O18+Qld!H94</f>
        <v>42918.416219938947</v>
      </c>
      <c r="S18" s="29">
        <f t="shared" si="5"/>
        <v>3086.3425216586807</v>
      </c>
      <c r="T18" s="29">
        <f t="shared" si="3"/>
        <v>46608.896336611091</v>
      </c>
      <c r="U18" s="272">
        <f t="shared" si="4"/>
        <v>9.8143476350380912</v>
      </c>
      <c r="V18" s="74"/>
    </row>
    <row r="19" spans="1:22" ht="12.75" customHeight="1" outlineLevel="1" x14ac:dyDescent="0.2">
      <c r="A19" s="459"/>
      <c r="B19" s="467" t="str">
        <f>B18</f>
        <v>Organics</v>
      </c>
      <c r="C19" s="643" t="s">
        <v>65</v>
      </c>
      <c r="D19" s="29">
        <f>Qld!G53</f>
        <v>67012.432848367316</v>
      </c>
      <c r="E19" s="29">
        <f>Qld!H53</f>
        <v>0</v>
      </c>
      <c r="F19" s="29">
        <f>Qld!I53</f>
        <v>0</v>
      </c>
      <c r="G19" s="29">
        <f t="shared" si="1"/>
        <v>67012.432848367316</v>
      </c>
      <c r="H19" s="283">
        <f t="shared" si="2"/>
        <v>14.110681941355372</v>
      </c>
      <c r="I19" s="281" t="str">
        <f>IF(ISNUMBER(Qld!G75),Qld!G75,"")</f>
        <v/>
      </c>
      <c r="J19" s="237" t="str">
        <f>IF(ISNUMBER(Qld!H75),Qld!H75,"")</f>
        <v/>
      </c>
      <c r="K19" s="237" t="str">
        <f>IF(ISNUMBER(Qld!I75),Qld!I75,"")</f>
        <v/>
      </c>
      <c r="L19" s="29">
        <f>IF(ISNUMBER(I19),SUM(I19:K19),IF(ISNUMBER(Qld!J75),Qld!J75,""))</f>
        <v>40400</v>
      </c>
      <c r="M19" s="272"/>
      <c r="N19" s="282">
        <f>'Other national data'!K332</f>
        <v>3167.2071516326901</v>
      </c>
      <c r="O19" s="29">
        <f>'Other national data'!L332</f>
        <v>0</v>
      </c>
      <c r="P19" s="28">
        <f>'Other national data'!M332</f>
        <v>0</v>
      </c>
      <c r="Q19" s="29">
        <f t="shared" si="5"/>
        <v>3167.2071516326901</v>
      </c>
      <c r="R19" s="29">
        <f t="shared" si="5"/>
        <v>0</v>
      </c>
      <c r="S19" s="29">
        <f t="shared" si="5"/>
        <v>0</v>
      </c>
      <c r="T19" s="29">
        <f t="shared" si="3"/>
        <v>3167.2071516326901</v>
      </c>
      <c r="U19" s="272">
        <f t="shared" si="4"/>
        <v>0.6669128527269077</v>
      </c>
      <c r="V19" s="74"/>
    </row>
    <row r="20" spans="1:22" ht="12.75" customHeight="1" outlineLevel="1" x14ac:dyDescent="0.2">
      <c r="A20" s="459"/>
      <c r="B20" s="467" t="str">
        <f>B19</f>
        <v>Organics</v>
      </c>
      <c r="C20" s="643" t="s">
        <v>903</v>
      </c>
      <c r="D20" s="29">
        <v>0</v>
      </c>
      <c r="E20" s="29">
        <v>0</v>
      </c>
      <c r="F20" s="29">
        <v>0</v>
      </c>
      <c r="G20" s="29">
        <f t="shared" si="1"/>
        <v>0</v>
      </c>
      <c r="H20" s="283">
        <f t="shared" si="2"/>
        <v>0</v>
      </c>
      <c r="I20" s="29">
        <v>0</v>
      </c>
      <c r="J20" s="29">
        <v>0</v>
      </c>
      <c r="K20" s="29">
        <v>0</v>
      </c>
      <c r="L20" s="29">
        <f>SUM(I20:K20)</f>
        <v>0</v>
      </c>
      <c r="M20" s="282">
        <f>L20/Pop_Qld*1000</f>
        <v>0</v>
      </c>
      <c r="N20" s="282">
        <v>0</v>
      </c>
      <c r="O20" s="29">
        <v>0</v>
      </c>
      <c r="P20" s="28">
        <v>0</v>
      </c>
      <c r="Q20" s="27">
        <v>0</v>
      </c>
      <c r="R20" s="27">
        <v>0</v>
      </c>
      <c r="S20" s="27">
        <v>0</v>
      </c>
      <c r="T20" s="29">
        <f t="shared" si="3"/>
        <v>0</v>
      </c>
      <c r="U20" s="272">
        <f t="shared" si="4"/>
        <v>0</v>
      </c>
      <c r="V20" s="74"/>
    </row>
    <row r="21" spans="1:22" s="247" customFormat="1" x14ac:dyDescent="0.2">
      <c r="A21" s="459"/>
      <c r="B21" s="465" t="str">
        <f>B20</f>
        <v>Organics</v>
      </c>
      <c r="C21" s="644" t="s">
        <v>115</v>
      </c>
      <c r="D21" s="237">
        <f>SUM(D16:D20)</f>
        <v>893563.44675639272</v>
      </c>
      <c r="E21" s="237">
        <f>SUM(E16:E20)</f>
        <v>531985.789997441</v>
      </c>
      <c r="F21" s="237">
        <f>SUM(F16:F20)</f>
        <v>115289.30819903116</v>
      </c>
      <c r="G21" s="237">
        <f t="shared" si="1"/>
        <v>1540838.5449528648</v>
      </c>
      <c r="H21" s="275">
        <f t="shared" si="2"/>
        <v>324.45147425117551</v>
      </c>
      <c r="I21" s="237"/>
      <c r="J21" s="237"/>
      <c r="K21" s="237"/>
      <c r="L21" s="237">
        <f>IF(ISNUMBER(L16),SUM(L16:L20),Qld!J76)</f>
        <v>908167</v>
      </c>
      <c r="M21" s="273">
        <f>L21/Pop_Qld*1000</f>
        <v>191.23101702085276</v>
      </c>
      <c r="N21" s="237">
        <f t="shared" ref="N21:S21" si="6">SUM(N16:N20)</f>
        <v>97723.968243607276</v>
      </c>
      <c r="O21" s="237">
        <f t="shared" si="6"/>
        <v>53753.925738599573</v>
      </c>
      <c r="P21" s="238">
        <f t="shared" si="6"/>
        <v>4219.0118009688385</v>
      </c>
      <c r="Q21" s="281">
        <f t="shared" si="6"/>
        <v>212154.86824360726</v>
      </c>
      <c r="R21" s="237">
        <f t="shared" si="6"/>
        <v>90037.725738599576</v>
      </c>
      <c r="S21" s="237">
        <f t="shared" si="6"/>
        <v>4219.0118009688385</v>
      </c>
      <c r="T21" s="237">
        <f t="shared" si="3"/>
        <v>306411.60578317568</v>
      </c>
      <c r="U21" s="273">
        <f t="shared" si="4"/>
        <v>64.520515500903798</v>
      </c>
      <c r="V21" s="246"/>
    </row>
    <row r="22" spans="1:22" ht="12.75" customHeight="1" outlineLevel="1" x14ac:dyDescent="0.2">
      <c r="A22" s="459"/>
      <c r="B22" s="464" t="s">
        <v>20</v>
      </c>
      <c r="C22" s="645" t="s">
        <v>74</v>
      </c>
      <c r="D22" s="960"/>
      <c r="E22" s="961"/>
      <c r="F22" s="961"/>
      <c r="G22" s="961"/>
      <c r="H22" s="962"/>
      <c r="I22" s="963"/>
      <c r="J22" s="963"/>
      <c r="K22" s="963"/>
      <c r="L22" s="980"/>
      <c r="M22" s="964"/>
      <c r="N22" s="961"/>
      <c r="O22" s="961"/>
      <c r="P22" s="969"/>
      <c r="Q22" s="961"/>
      <c r="R22" s="961"/>
      <c r="S22" s="961"/>
      <c r="T22" s="961"/>
      <c r="U22" s="970"/>
      <c r="V22" s="74"/>
    </row>
    <row r="23" spans="1:22" ht="12.75" customHeight="1" outlineLevel="1" x14ac:dyDescent="0.2">
      <c r="A23" s="459"/>
      <c r="B23" s="468" t="str">
        <f>B22</f>
        <v>Paper &amp; cardboard</v>
      </c>
      <c r="C23" s="645" t="s">
        <v>89</v>
      </c>
      <c r="D23" s="279"/>
      <c r="E23" s="27"/>
      <c r="F23" s="27"/>
      <c r="G23" s="27"/>
      <c r="H23" s="280"/>
      <c r="I23" s="29"/>
      <c r="J23" s="29"/>
      <c r="K23" s="29"/>
      <c r="L23" s="28"/>
      <c r="M23" s="272"/>
      <c r="N23" s="27"/>
      <c r="O23" s="27"/>
      <c r="P23" s="297"/>
      <c r="Q23" s="27"/>
      <c r="R23" s="27"/>
      <c r="S23" s="27"/>
      <c r="T23" s="27"/>
      <c r="U23" s="271"/>
      <c r="V23" s="74"/>
    </row>
    <row r="24" spans="1:22" ht="12.75" customHeight="1" outlineLevel="1" x14ac:dyDescent="0.2">
      <c r="A24" s="459"/>
      <c r="B24" s="468" t="str">
        <f>B23</f>
        <v>Paper &amp; cardboard</v>
      </c>
      <c r="C24" s="645" t="s">
        <v>76</v>
      </c>
      <c r="D24" s="279"/>
      <c r="E24" s="27"/>
      <c r="F24" s="27"/>
      <c r="G24" s="27"/>
      <c r="H24" s="280"/>
      <c r="I24" s="29"/>
      <c r="J24" s="29"/>
      <c r="K24" s="29"/>
      <c r="L24" s="28"/>
      <c r="M24" s="272"/>
      <c r="N24" s="27"/>
      <c r="O24" s="27"/>
      <c r="P24" s="297"/>
      <c r="Q24" s="27"/>
      <c r="R24" s="27"/>
      <c r="S24" s="27"/>
      <c r="T24" s="27"/>
      <c r="U24" s="271"/>
      <c r="V24" s="74"/>
    </row>
    <row r="25" spans="1:22" ht="12.75" customHeight="1" outlineLevel="1" x14ac:dyDescent="0.2">
      <c r="A25" s="459"/>
      <c r="B25" s="468" t="str">
        <f>B24</f>
        <v>Paper &amp; cardboard</v>
      </c>
      <c r="C25" s="645" t="s">
        <v>79</v>
      </c>
      <c r="D25" s="279"/>
      <c r="E25" s="27"/>
      <c r="F25" s="27"/>
      <c r="G25" s="27"/>
      <c r="H25" s="280"/>
      <c r="I25" s="29"/>
      <c r="J25" s="29"/>
      <c r="K25" s="29"/>
      <c r="L25" s="28"/>
      <c r="M25" s="272"/>
      <c r="N25" s="27"/>
      <c r="O25" s="27"/>
      <c r="P25" s="297"/>
      <c r="Q25" s="27"/>
      <c r="R25" s="27"/>
      <c r="S25" s="27"/>
      <c r="T25" s="27"/>
      <c r="U25" s="271"/>
      <c r="V25" s="74"/>
    </row>
    <row r="26" spans="1:22" s="247" customFormat="1" x14ac:dyDescent="0.2">
      <c r="A26" s="459"/>
      <c r="B26" s="464" t="str">
        <f>B25</f>
        <v>Paper &amp; cardboard</v>
      </c>
      <c r="C26" s="646" t="s">
        <v>115</v>
      </c>
      <c r="D26" s="965">
        <f>Qld!G54</f>
        <v>198172.19119045595</v>
      </c>
      <c r="E26" s="966">
        <f>Qld!H54</f>
        <v>207587.39929866928</v>
      </c>
      <c r="F26" s="966">
        <f>Qld!I54</f>
        <v>38938.3570723046</v>
      </c>
      <c r="G26" s="966">
        <f>SUM(D26:F26)</f>
        <v>444697.94756142981</v>
      </c>
      <c r="H26" s="967">
        <f>G26/Pop_Qld*1000</f>
        <v>93.639210386699901</v>
      </c>
      <c r="I26" s="965" t="str">
        <f>IF(ISNUMBER(Qld!G77),Qld!G77,"")</f>
        <v/>
      </c>
      <c r="J26" s="966" t="str">
        <f>IF(ISNUMBER(Qld!H77),Qld!H77,"")</f>
        <v/>
      </c>
      <c r="K26" s="966" t="str">
        <f>IF(ISNUMBER(Qld!I77),Qld!I77,"")</f>
        <v/>
      </c>
      <c r="L26" s="971">
        <f>IF(ISNUMBER(I26),SUM(I26:K26),Qld!J77)</f>
        <v>495442</v>
      </c>
      <c r="M26" s="968">
        <f>L26/Pop_Qld*1000</f>
        <v>104.32429006432224</v>
      </c>
      <c r="N26" s="965">
        <f>'Other national data'!K333</f>
        <v>29911.638809544056</v>
      </c>
      <c r="O26" s="966">
        <f>'Other national data'!L333</f>
        <v>31332.74790945257</v>
      </c>
      <c r="P26" s="971">
        <f>'Other national data'!M333</f>
        <v>5877.262927695394</v>
      </c>
      <c r="Q26" s="966">
        <f>N26</f>
        <v>29911.638809544056</v>
      </c>
      <c r="R26" s="966">
        <f>O26</f>
        <v>31332.74790945257</v>
      </c>
      <c r="S26" s="966">
        <f>P26</f>
        <v>5877.262927695394</v>
      </c>
      <c r="T26" s="966">
        <f>SUM(Q26:S26)</f>
        <v>67121.649646692022</v>
      </c>
      <c r="U26" s="968">
        <f>T26/Pop_Qld*1000</f>
        <v>14.133679517152988</v>
      </c>
      <c r="V26" s="246"/>
    </row>
    <row r="27" spans="1:22" ht="12.75" customHeight="1" outlineLevel="1" x14ac:dyDescent="0.2">
      <c r="A27" s="459"/>
      <c r="B27" s="465" t="s">
        <v>32</v>
      </c>
      <c r="C27" s="643" t="s">
        <v>90</v>
      </c>
      <c r="D27" s="27"/>
      <c r="E27" s="27"/>
      <c r="F27" s="27"/>
      <c r="G27" s="27"/>
      <c r="H27" s="280"/>
      <c r="I27" s="1480"/>
      <c r="J27" s="1480"/>
      <c r="K27" s="1480"/>
      <c r="L27" s="1480"/>
      <c r="M27" s="1481"/>
      <c r="N27" s="907"/>
      <c r="O27" s="907"/>
      <c r="P27" s="908"/>
      <c r="Q27" s="27"/>
      <c r="R27" s="27"/>
      <c r="S27" s="27"/>
      <c r="T27" s="27"/>
      <c r="U27" s="271"/>
      <c r="V27" s="74"/>
    </row>
    <row r="28" spans="1:22" ht="12.75" customHeight="1" outlineLevel="1" x14ac:dyDescent="0.2">
      <c r="A28" s="459"/>
      <c r="B28" s="467" t="str">
        <f t="shared" ref="B28:B36" si="7">B27</f>
        <v>Plastics</v>
      </c>
      <c r="C28" s="643" t="s">
        <v>91</v>
      </c>
      <c r="D28" s="27"/>
      <c r="E28" s="27"/>
      <c r="F28" s="27"/>
      <c r="G28" s="27"/>
      <c r="H28" s="280"/>
      <c r="I28" s="1480"/>
      <c r="J28" s="1480"/>
      <c r="K28" s="1480"/>
      <c r="L28" s="1480"/>
      <c r="M28" s="1481"/>
      <c r="N28" s="907"/>
      <c r="O28" s="907"/>
      <c r="P28" s="908"/>
      <c r="Q28" s="27"/>
      <c r="R28" s="27"/>
      <c r="S28" s="27"/>
      <c r="T28" s="27"/>
      <c r="U28" s="271"/>
      <c r="V28" s="74"/>
    </row>
    <row r="29" spans="1:22" ht="12.75" customHeight="1" outlineLevel="1" x14ac:dyDescent="0.2">
      <c r="A29" s="459"/>
      <c r="B29" s="467" t="str">
        <f t="shared" si="7"/>
        <v>Plastics</v>
      </c>
      <c r="C29" s="643" t="s">
        <v>92</v>
      </c>
      <c r="D29" s="27"/>
      <c r="E29" s="27"/>
      <c r="F29" s="27"/>
      <c r="G29" s="27"/>
      <c r="H29" s="280"/>
      <c r="I29" s="1480"/>
      <c r="J29" s="1480"/>
      <c r="K29" s="1480"/>
      <c r="L29" s="1480"/>
      <c r="M29" s="1481"/>
      <c r="N29" s="907"/>
      <c r="O29" s="907"/>
      <c r="P29" s="908"/>
      <c r="Q29" s="27"/>
      <c r="R29" s="27"/>
      <c r="S29" s="27"/>
      <c r="T29" s="27"/>
      <c r="U29" s="271"/>
      <c r="V29" s="74"/>
    </row>
    <row r="30" spans="1:22" s="76" customFormat="1" ht="12.75" customHeight="1" outlineLevel="1" x14ac:dyDescent="0.2">
      <c r="A30" s="459"/>
      <c r="B30" s="467" t="str">
        <f t="shared" si="7"/>
        <v>Plastics</v>
      </c>
      <c r="C30" s="647" t="s">
        <v>118</v>
      </c>
      <c r="D30" s="30"/>
      <c r="E30" s="30"/>
      <c r="F30" s="30"/>
      <c r="G30" s="30"/>
      <c r="H30" s="285"/>
      <c r="I30" s="1482"/>
      <c r="J30" s="1482"/>
      <c r="K30" s="1482"/>
      <c r="L30" s="1482"/>
      <c r="M30" s="1483"/>
      <c r="N30" s="907"/>
      <c r="O30" s="907"/>
      <c r="P30" s="908"/>
      <c r="Q30" s="30"/>
      <c r="R30" s="30"/>
      <c r="S30" s="30"/>
      <c r="T30" s="30"/>
      <c r="U30" s="274"/>
    </row>
    <row r="31" spans="1:22" ht="12.75" customHeight="1" outlineLevel="1" x14ac:dyDescent="0.2">
      <c r="A31" s="459"/>
      <c r="B31" s="467" t="str">
        <f t="shared" si="7"/>
        <v>Plastics</v>
      </c>
      <c r="C31" s="643" t="s">
        <v>93</v>
      </c>
      <c r="D31" s="27"/>
      <c r="E31" s="27"/>
      <c r="F31" s="27"/>
      <c r="G31" s="27"/>
      <c r="H31" s="280"/>
      <c r="I31" s="1480"/>
      <c r="J31" s="1480"/>
      <c r="K31" s="1480"/>
      <c r="L31" s="1480"/>
      <c r="M31" s="1481"/>
      <c r="N31" s="907"/>
      <c r="O31" s="907"/>
      <c r="P31" s="908"/>
      <c r="Q31" s="27"/>
      <c r="R31" s="27"/>
      <c r="S31" s="27"/>
      <c r="T31" s="27"/>
      <c r="U31" s="271"/>
      <c r="V31" s="74"/>
    </row>
    <row r="32" spans="1:22" ht="12.75" customHeight="1" outlineLevel="1" x14ac:dyDescent="0.2">
      <c r="A32" s="459"/>
      <c r="B32" s="467" t="str">
        <f t="shared" si="7"/>
        <v>Plastics</v>
      </c>
      <c r="C32" s="643" t="s">
        <v>94</v>
      </c>
      <c r="D32" s="27"/>
      <c r="E32" s="27"/>
      <c r="F32" s="27"/>
      <c r="G32" s="27"/>
      <c r="H32" s="280"/>
      <c r="I32" s="1480"/>
      <c r="J32" s="1480"/>
      <c r="K32" s="1480"/>
      <c r="L32" s="1480"/>
      <c r="M32" s="1481"/>
      <c r="N32" s="907"/>
      <c r="O32" s="907"/>
      <c r="P32" s="908"/>
      <c r="Q32" s="27"/>
      <c r="R32" s="27"/>
      <c r="S32" s="27"/>
      <c r="T32" s="27"/>
      <c r="U32" s="271"/>
      <c r="V32" s="74"/>
    </row>
    <row r="33" spans="1:22" ht="12.75" customHeight="1" outlineLevel="1" x14ac:dyDescent="0.2">
      <c r="A33" s="459"/>
      <c r="B33" s="467" t="str">
        <f t="shared" si="7"/>
        <v>Plastics</v>
      </c>
      <c r="C33" s="643" t="s">
        <v>95</v>
      </c>
      <c r="D33" s="27"/>
      <c r="E33" s="27"/>
      <c r="F33" s="27"/>
      <c r="G33" s="27"/>
      <c r="H33" s="280"/>
      <c r="I33" s="1480"/>
      <c r="J33" s="1480"/>
      <c r="K33" s="1480"/>
      <c r="L33" s="1480"/>
      <c r="M33" s="1481"/>
      <c r="N33" s="907"/>
      <c r="O33" s="907"/>
      <c r="P33" s="908"/>
      <c r="Q33" s="27"/>
      <c r="R33" s="27"/>
      <c r="S33" s="27"/>
      <c r="T33" s="27"/>
      <c r="U33" s="271"/>
      <c r="V33" s="74"/>
    </row>
    <row r="34" spans="1:22" ht="12.75" customHeight="1" outlineLevel="1" x14ac:dyDescent="0.2">
      <c r="A34" s="459"/>
      <c r="B34" s="467" t="str">
        <f t="shared" si="7"/>
        <v>Plastics</v>
      </c>
      <c r="C34" s="643" t="s">
        <v>96</v>
      </c>
      <c r="D34" s="27"/>
      <c r="E34" s="27"/>
      <c r="F34" s="27"/>
      <c r="G34" s="27"/>
      <c r="H34" s="280"/>
      <c r="I34" s="1480"/>
      <c r="J34" s="1480"/>
      <c r="K34" s="1480"/>
      <c r="L34" s="1480"/>
      <c r="M34" s="1481"/>
      <c r="N34" s="907"/>
      <c r="O34" s="907"/>
      <c r="P34" s="908"/>
      <c r="Q34" s="27"/>
      <c r="R34" s="27"/>
      <c r="S34" s="27"/>
      <c r="T34" s="27"/>
      <c r="U34" s="271"/>
      <c r="V34" s="74"/>
    </row>
    <row r="35" spans="1:22" s="76" customFormat="1" ht="12.75" customHeight="1" outlineLevel="1" x14ac:dyDescent="0.2">
      <c r="A35" s="459"/>
      <c r="B35" s="467" t="str">
        <f t="shared" si="7"/>
        <v>Plastics</v>
      </c>
      <c r="C35" s="647" t="s">
        <v>119</v>
      </c>
      <c r="D35" s="30"/>
      <c r="E35" s="30"/>
      <c r="F35" s="30"/>
      <c r="G35" s="30"/>
      <c r="H35" s="285"/>
      <c r="I35" s="1482"/>
      <c r="J35" s="1482"/>
      <c r="K35" s="1482"/>
      <c r="L35" s="1482"/>
      <c r="M35" s="1483"/>
      <c r="N35" s="907"/>
      <c r="O35" s="907"/>
      <c r="P35" s="908"/>
      <c r="Q35" s="30"/>
      <c r="R35" s="30"/>
      <c r="S35" s="30"/>
      <c r="T35" s="30"/>
      <c r="U35" s="274"/>
    </row>
    <row r="36" spans="1:22" s="247" customFormat="1" x14ac:dyDescent="0.2">
      <c r="A36" s="459"/>
      <c r="B36" s="465" t="str">
        <f t="shared" si="7"/>
        <v>Plastics</v>
      </c>
      <c r="C36" s="644" t="s">
        <v>115</v>
      </c>
      <c r="D36" s="237">
        <f>Qld!G55</f>
        <v>292501.24617600761</v>
      </c>
      <c r="E36" s="237">
        <f>Qld!H55</f>
        <v>270479.01486829296</v>
      </c>
      <c r="F36" s="237">
        <f>Qld!I55</f>
        <v>48430.17457146255</v>
      </c>
      <c r="G36" s="237">
        <f>SUM(D36:F36)</f>
        <v>611410.43561576318</v>
      </c>
      <c r="H36" s="275">
        <f>G36/Pop_Qld*1000</f>
        <v>128.74354542717916</v>
      </c>
      <c r="I36" s="965">
        <f>Qld!G63</f>
        <v>17500</v>
      </c>
      <c r="J36" s="966">
        <f>Qld!H63</f>
        <v>17300</v>
      </c>
      <c r="K36" s="966">
        <f>Qld!I63</f>
        <v>1200</v>
      </c>
      <c r="L36" s="971">
        <f>SUM(I36:K36)</f>
        <v>36000</v>
      </c>
      <c r="M36" s="273">
        <f>L36/Pop_Qld*1000</f>
        <v>7.5804522876857447</v>
      </c>
      <c r="N36" s="907"/>
      <c r="O36" s="907"/>
      <c r="P36" s="908"/>
      <c r="Q36" s="237"/>
      <c r="R36" s="237"/>
      <c r="S36" s="237"/>
      <c r="T36" s="237"/>
      <c r="U36" s="275"/>
    </row>
    <row r="37" spans="1:22" s="76" customFormat="1" x14ac:dyDescent="0.2">
      <c r="A37" s="459"/>
      <c r="B37" s="306" t="s">
        <v>30</v>
      </c>
      <c r="C37" s="648" t="s">
        <v>30</v>
      </c>
      <c r="D37" s="972">
        <f>Qld!G56</f>
        <v>98794.657133348272</v>
      </c>
      <c r="E37" s="973">
        <f>Qld!H56</f>
        <v>33878.174666719191</v>
      </c>
      <c r="F37" s="973">
        <f>Qld!I56</f>
        <v>42.972936303279994</v>
      </c>
      <c r="G37" s="973">
        <f>SUM(D37:F37)</f>
        <v>132715.80473637072</v>
      </c>
      <c r="H37" s="974">
        <f>G37/Pop_Qld*1000</f>
        <v>27.945717378496557</v>
      </c>
      <c r="I37" s="972" t="str">
        <f>IF(ISNUMBER(Qld!G78),Qld!G78,"")</f>
        <v/>
      </c>
      <c r="J37" s="973" t="str">
        <f>IF(ISNUMBER(Qld!H78),Qld!H78,"")</f>
        <v/>
      </c>
      <c r="K37" s="973" t="str">
        <f>IF(ISNUMBER(Qld!I78),Qld!I78,"")</f>
        <v/>
      </c>
      <c r="L37" s="971">
        <f>IF(ISNUMBER(I37),SUM(I37:K37),Qld!J78)</f>
        <v>69215</v>
      </c>
      <c r="M37" s="975">
        <f>L37/Pop_Qld*1000</f>
        <v>14.574472363671356</v>
      </c>
      <c r="N37" s="910"/>
      <c r="O37" s="910"/>
      <c r="P37" s="911"/>
      <c r="Q37" s="913"/>
      <c r="R37" s="913"/>
      <c r="S37" s="913"/>
      <c r="T37" s="913"/>
      <c r="U37" s="929"/>
    </row>
    <row r="38" spans="1:22" ht="12.75" customHeight="1" outlineLevel="1" x14ac:dyDescent="0.2">
      <c r="A38" s="459"/>
      <c r="B38" s="465" t="s">
        <v>27</v>
      </c>
      <c r="C38" s="643" t="s">
        <v>83</v>
      </c>
      <c r="D38" s="29"/>
      <c r="E38" s="29"/>
      <c r="F38" s="29"/>
      <c r="G38" s="29"/>
      <c r="H38" s="283"/>
      <c r="I38" s="1284" t="str">
        <f>IF(ISNUMBER(Qld!G79),Qld!G79,"")</f>
        <v/>
      </c>
      <c r="J38" s="1285" t="str">
        <f>IF(ISNUMBER(Qld!H79),Qld!H79,"")</f>
        <v/>
      </c>
      <c r="K38" s="1285" t="str">
        <f>IF(ISNUMBER(Qld!I79),Qld!I79,"")</f>
        <v/>
      </c>
      <c r="L38" s="29">
        <f>IF(ISNUMBER(I38),SUM(I38:K38),Qld!J79)</f>
        <v>0</v>
      </c>
      <c r="M38" s="272">
        <f>L38/Pop_Qld*1000</f>
        <v>0</v>
      </c>
      <c r="N38" s="29"/>
      <c r="O38" s="29"/>
      <c r="P38" s="28"/>
      <c r="Q38" s="29"/>
      <c r="R38" s="29"/>
      <c r="S38" s="29"/>
      <c r="T38" s="29"/>
      <c r="U38" s="272"/>
      <c r="V38" s="74"/>
    </row>
    <row r="39" spans="1:22" ht="12.75" customHeight="1" outlineLevel="1" x14ac:dyDescent="0.2">
      <c r="A39" s="459"/>
      <c r="B39" s="467" t="str">
        <f>B38</f>
        <v>Other</v>
      </c>
      <c r="C39" s="643" t="s">
        <v>568</v>
      </c>
      <c r="D39" s="27"/>
      <c r="E39" s="27"/>
      <c r="F39" s="27"/>
      <c r="G39" s="27"/>
      <c r="H39" s="280"/>
      <c r="I39" s="281" t="str">
        <f>IF(ISNUMBER(Qld!G80),Qld!G80,"")</f>
        <v/>
      </c>
      <c r="J39" s="237" t="str">
        <f>IF(ISNUMBER(Qld!H80),Qld!H80,"")</f>
        <v/>
      </c>
      <c r="K39" s="237" t="str">
        <f>IF(ISNUMBER(Qld!I80),Qld!I80,"")</f>
        <v/>
      </c>
      <c r="L39" s="29">
        <f>IF(ISNUMBER(I39),SUM(I39:K39),Qld!J80)</f>
        <v>0</v>
      </c>
      <c r="M39" s="272">
        <f>L39/Pop_Qld*1000</f>
        <v>0</v>
      </c>
      <c r="N39" s="27"/>
      <c r="O39" s="29"/>
      <c r="P39" s="297"/>
      <c r="Q39" s="27"/>
      <c r="R39" s="29"/>
      <c r="S39" s="27"/>
      <c r="T39" s="29"/>
      <c r="U39" s="272"/>
      <c r="V39" s="74"/>
    </row>
    <row r="40" spans="1:22" s="247" customFormat="1" x14ac:dyDescent="0.2">
      <c r="A40" s="459"/>
      <c r="B40" s="465" t="str">
        <f>B39</f>
        <v>Other</v>
      </c>
      <c r="C40" s="644" t="s">
        <v>115</v>
      </c>
      <c r="D40" s="237">
        <f>Qld!G57</f>
        <v>39371.695498807589</v>
      </c>
      <c r="E40" s="237">
        <f>Qld!H57</f>
        <v>103770.83302305569</v>
      </c>
      <c r="F40" s="237">
        <f>Qld!I57</f>
        <v>0</v>
      </c>
      <c r="G40" s="237">
        <f>SUM(D40:F40)</f>
        <v>143142.52852186328</v>
      </c>
      <c r="H40" s="275">
        <f>G40/Pop_Qld*1000</f>
        <v>30.14125299440779</v>
      </c>
      <c r="I40" s="237" t="str">
        <f>IF(ISNUMBER(I38),SUM(I38:I39),"")</f>
        <v/>
      </c>
      <c r="J40" s="237" t="str">
        <f>IF(ISNUMBER(J38),SUM(J38:J39),"")</f>
        <v/>
      </c>
      <c r="K40" s="237" t="str">
        <f>IF(ISNUMBER(K38),SUM(K38:K39),"")</f>
        <v/>
      </c>
      <c r="L40" s="237">
        <f>SUM(L38:L39)</f>
        <v>0</v>
      </c>
      <c r="M40" s="273">
        <f>L40/Pop_Qld*1000</f>
        <v>0</v>
      </c>
      <c r="N40" s="281">
        <f>'Other national data'!K334</f>
        <v>4490.5795011924129</v>
      </c>
      <c r="O40" s="237">
        <f>'Other national data'!L334</f>
        <v>11835.689819583911</v>
      </c>
      <c r="P40" s="238">
        <f>'Other national data'!M334</f>
        <v>0</v>
      </c>
      <c r="Q40" s="237">
        <f>N40+SUM(Q38:Q39)</f>
        <v>4490.5795011924129</v>
      </c>
      <c r="R40" s="237">
        <f>O40+SUM(R38:R39)</f>
        <v>11835.689819583911</v>
      </c>
      <c r="S40" s="237">
        <f>P40+SUM(S38:S39)</f>
        <v>0</v>
      </c>
      <c r="T40" s="237">
        <f>SUM(Q40:S40)</f>
        <v>16326.269320776324</v>
      </c>
      <c r="U40" s="273">
        <f>T40/Pop_Qld*1000</f>
        <v>3.4377918228347912</v>
      </c>
      <c r="V40" s="246"/>
    </row>
    <row r="41" spans="1:22" outlineLevel="1" x14ac:dyDescent="0.2">
      <c r="A41" s="459"/>
      <c r="B41" s="454" t="s">
        <v>35</v>
      </c>
      <c r="C41" s="1079" t="s">
        <v>867</v>
      </c>
      <c r="D41" s="1073"/>
      <c r="E41" s="963">
        <f>Qld!$G104*'Other national data'!I447</f>
        <v>4999.782444084768</v>
      </c>
      <c r="F41" s="963">
        <f>Qld!$G104*'Other national data'!J447</f>
        <v>0</v>
      </c>
      <c r="G41" s="963">
        <f>SUM(D41:F41)</f>
        <v>4999.782444084768</v>
      </c>
      <c r="H41" s="964">
        <f t="shared" ref="H41:H61" si="8">G41/Pop_Qld*1000</f>
        <v>1.0527947851720389</v>
      </c>
      <c r="I41" s="1073"/>
      <c r="J41" s="963">
        <f>Qld!$H104*'Other national data'!I447</f>
        <v>763.49131977142679</v>
      </c>
      <c r="K41" s="963">
        <f>Qld!$H104*'Other national data'!J447</f>
        <v>0</v>
      </c>
      <c r="L41" s="963">
        <f>SUM(I41:K41)</f>
        <v>763.49131977142679</v>
      </c>
      <c r="M41" s="964">
        <f t="shared" ref="M41:M61" si="9">L41/Pop_Qld*1000</f>
        <v>0.16076693115526444</v>
      </c>
      <c r="N41" s="910"/>
      <c r="O41" s="910"/>
      <c r="P41" s="911"/>
      <c r="Q41" s="927"/>
      <c r="R41" s="913"/>
      <c r="S41" s="913"/>
      <c r="T41" s="928"/>
      <c r="U41" s="926"/>
      <c r="V41" s="74"/>
    </row>
    <row r="42" spans="1:22" outlineLevel="1" x14ac:dyDescent="0.2">
      <c r="A42" s="459"/>
      <c r="B42" s="468" t="str">
        <f>B41</f>
        <v>Hazardous</v>
      </c>
      <c r="C42" s="1080" t="s">
        <v>152</v>
      </c>
      <c r="D42" s="910"/>
      <c r="E42" s="29">
        <f>Qld!$G105*'Other national data'!I448</f>
        <v>3545.7129418790837</v>
      </c>
      <c r="F42" s="29">
        <f>Qld!$G105*'Other national data'!J448</f>
        <v>0</v>
      </c>
      <c r="G42" s="29">
        <f>SUM(D42:F42)</f>
        <v>3545.7129418790837</v>
      </c>
      <c r="H42" s="272">
        <f t="shared" si="8"/>
        <v>0.74661410504845138</v>
      </c>
      <c r="I42" s="910"/>
      <c r="J42" s="29">
        <f>Qld!$H105*'Other national data'!I448</f>
        <v>13379.073802548006</v>
      </c>
      <c r="K42" s="29">
        <f>Qld!$H105*'Other national data'!J448</f>
        <v>0</v>
      </c>
      <c r="L42" s="29">
        <f>SUM(I42:K42)</f>
        <v>13379.073802548006</v>
      </c>
      <c r="M42" s="272">
        <f t="shared" si="9"/>
        <v>2.8172064059344848</v>
      </c>
      <c r="N42" s="910"/>
      <c r="O42" s="910"/>
      <c r="P42" s="911"/>
      <c r="Q42" s="927"/>
      <c r="R42" s="913"/>
      <c r="S42" s="913"/>
      <c r="T42" s="928"/>
      <c r="U42" s="926"/>
      <c r="V42" s="74"/>
    </row>
    <row r="43" spans="1:22" outlineLevel="1" x14ac:dyDescent="0.2">
      <c r="A43" s="459"/>
      <c r="B43" s="468" t="str">
        <f t="shared" ref="B43:B60" si="10">B42</f>
        <v>Hazardous</v>
      </c>
      <c r="C43" s="1080" t="s">
        <v>156</v>
      </c>
      <c r="D43" s="910"/>
      <c r="E43" s="29">
        <f>Qld!$G106*'Other national data'!I449</f>
        <v>36434.838117761152</v>
      </c>
      <c r="F43" s="29">
        <f>Qld!$G106*'Other national data'!J449</f>
        <v>0</v>
      </c>
      <c r="G43" s="29">
        <f t="shared" ref="G43:G55" si="11">SUM(D43:F43)</f>
        <v>36434.838117761152</v>
      </c>
      <c r="H43" s="272">
        <f t="shared" si="8"/>
        <v>7.6720153322567306</v>
      </c>
      <c r="I43" s="910"/>
      <c r="J43" s="29">
        <f>Qld!$H106*'Other national data'!I449</f>
        <v>113195.2422296424</v>
      </c>
      <c r="K43" s="29">
        <f>Qld!$H106*'Other national data'!J449</f>
        <v>0</v>
      </c>
      <c r="L43" s="29">
        <f t="shared" ref="L43:L55" si="12">SUM(I43:K43)</f>
        <v>113195.2422296424</v>
      </c>
      <c r="M43" s="272">
        <f t="shared" si="9"/>
        <v>23.835309247634299</v>
      </c>
      <c r="N43" s="910"/>
      <c r="O43" s="910"/>
      <c r="P43" s="911"/>
      <c r="Q43" s="927"/>
      <c r="R43" s="913"/>
      <c r="S43" s="913"/>
      <c r="T43" s="928"/>
      <c r="U43" s="926"/>
      <c r="V43" s="74"/>
    </row>
    <row r="44" spans="1:22" outlineLevel="1" x14ac:dyDescent="0.2">
      <c r="A44" s="459"/>
      <c r="B44" s="468" t="str">
        <f t="shared" si="10"/>
        <v>Hazardous</v>
      </c>
      <c r="C44" s="1080" t="s">
        <v>160</v>
      </c>
      <c r="D44" s="910"/>
      <c r="E44" s="29">
        <f>Qld!$G107*'Other national data'!I450</f>
        <v>6966.3190424440663</v>
      </c>
      <c r="F44" s="29">
        <f>Qld!$G107*'Other national data'!J450</f>
        <v>0</v>
      </c>
      <c r="G44" s="29">
        <f t="shared" si="11"/>
        <v>6966.3190424440663</v>
      </c>
      <c r="H44" s="272">
        <f t="shared" si="8"/>
        <v>1.4668846978345524</v>
      </c>
      <c r="I44" s="910"/>
      <c r="J44" s="29">
        <f>Qld!$H107*'Other national data'!I450</f>
        <v>34226.124238555247</v>
      </c>
      <c r="K44" s="29">
        <f>Qld!$H107*'Other national data'!J450</f>
        <v>0</v>
      </c>
      <c r="L44" s="29">
        <f t="shared" si="12"/>
        <v>34226.124238555247</v>
      </c>
      <c r="M44" s="272">
        <f t="shared" si="9"/>
        <v>7.2069306050770177</v>
      </c>
      <c r="N44" s="910"/>
      <c r="O44" s="910"/>
      <c r="P44" s="911"/>
      <c r="Q44" s="927"/>
      <c r="R44" s="913"/>
      <c r="S44" s="913"/>
      <c r="T44" s="928"/>
      <c r="U44" s="925"/>
      <c r="V44" s="74"/>
    </row>
    <row r="45" spans="1:22" outlineLevel="1" x14ac:dyDescent="0.2">
      <c r="A45" s="459"/>
      <c r="B45" s="468" t="str">
        <f t="shared" si="10"/>
        <v>Hazardous</v>
      </c>
      <c r="C45" s="1080" t="s">
        <v>210</v>
      </c>
      <c r="D45" s="910"/>
      <c r="E45" s="29">
        <f>Qld!$G108*'Other national data'!I451</f>
        <v>19.390498860025414</v>
      </c>
      <c r="F45" s="29">
        <f>Qld!$G108*'Other national data'!J451</f>
        <v>0</v>
      </c>
      <c r="G45" s="29">
        <f t="shared" si="11"/>
        <v>19.390498860025414</v>
      </c>
      <c r="H45" s="272">
        <f t="shared" si="8"/>
        <v>4.0830208734124298E-3</v>
      </c>
      <c r="I45" s="910"/>
      <c r="J45" s="29">
        <f>Qld!$H108*'Other national data'!I451</f>
        <v>179.23316286183092</v>
      </c>
      <c r="K45" s="29">
        <f>Qld!$H108*'Other national data'!J451</f>
        <v>0</v>
      </c>
      <c r="L45" s="29">
        <f t="shared" si="12"/>
        <v>179.23316286183092</v>
      </c>
      <c r="M45" s="272">
        <f t="shared" si="9"/>
        <v>3.7740789984586604E-2</v>
      </c>
      <c r="N45" s="910"/>
      <c r="O45" s="910"/>
      <c r="P45" s="911"/>
      <c r="Q45" s="927"/>
      <c r="R45" s="29">
        <f>Qld!$I108*'Other national data'!I451</f>
        <v>1.9862366172185632E-12</v>
      </c>
      <c r="S45" s="29">
        <f>Qld!$I108*'Other national data'!J451</f>
        <v>0</v>
      </c>
      <c r="T45" s="29">
        <f>SUM(Q45:S45)</f>
        <v>1.9862366172185632E-12</v>
      </c>
      <c r="U45" s="272">
        <f>T45/Pop_Qld*1000</f>
        <v>4.1823810857999033E-16</v>
      </c>
      <c r="V45" s="74"/>
    </row>
    <row r="46" spans="1:22" outlineLevel="1" x14ac:dyDescent="0.2">
      <c r="A46" s="459"/>
      <c r="B46" s="468" t="str">
        <f t="shared" si="10"/>
        <v>Hazardous</v>
      </c>
      <c r="C46" s="1080" t="s">
        <v>214</v>
      </c>
      <c r="D46" s="910"/>
      <c r="E46" s="29">
        <f>Qld!$G109*'Other national data'!I452</f>
        <v>8237.4913712206617</v>
      </c>
      <c r="F46" s="29">
        <f>Qld!$G109*'Other national data'!J452</f>
        <v>0</v>
      </c>
      <c r="G46" s="29">
        <f t="shared" si="11"/>
        <v>8237.4913712206617</v>
      </c>
      <c r="H46" s="272">
        <f t="shared" si="8"/>
        <v>1.7345530641600346</v>
      </c>
      <c r="I46" s="910"/>
      <c r="J46" s="29">
        <f>Qld!$H109*'Other national data'!I452</f>
        <v>14889.843956622262</v>
      </c>
      <c r="K46" s="29">
        <f>Qld!$H109*'Other national data'!J452</f>
        <v>0</v>
      </c>
      <c r="L46" s="29">
        <f t="shared" si="12"/>
        <v>14889.843956622262</v>
      </c>
      <c r="M46" s="272">
        <f t="shared" si="9"/>
        <v>3.1353264356739166</v>
      </c>
      <c r="N46" s="910"/>
      <c r="O46" s="910"/>
      <c r="P46" s="911"/>
      <c r="Q46" s="927"/>
      <c r="R46" s="29">
        <f>Qld!$I109*'Other national data'!I452</f>
        <v>2.3127335327842924E-10</v>
      </c>
      <c r="S46" s="29">
        <f>Qld!$I109*'Other national data'!J452</f>
        <v>0</v>
      </c>
      <c r="T46" s="29">
        <f>SUM(Q46:S46)</f>
        <v>2.3127335327842924E-10</v>
      </c>
      <c r="U46" s="272">
        <f>T46/Pop_Qld*1000</f>
        <v>4.869879499833951E-14</v>
      </c>
      <c r="V46" s="74"/>
    </row>
    <row r="47" spans="1:22" outlineLevel="1" x14ac:dyDescent="0.2">
      <c r="A47" s="459"/>
      <c r="B47" s="468" t="str">
        <f t="shared" si="10"/>
        <v>Hazardous</v>
      </c>
      <c r="C47" s="1080" t="s">
        <v>220</v>
      </c>
      <c r="D47" s="910"/>
      <c r="E47" s="29">
        <f>Qld!$G110*'Other national data'!I453</f>
        <v>294.04379419184363</v>
      </c>
      <c r="F47" s="29">
        <f>Qld!$G110*'Other national data'!J453</f>
        <v>0</v>
      </c>
      <c r="G47" s="29">
        <f t="shared" si="11"/>
        <v>294.04379419184363</v>
      </c>
      <c r="H47" s="272">
        <f t="shared" si="8"/>
        <v>6.1916248676704373E-2</v>
      </c>
      <c r="I47" s="910"/>
      <c r="J47" s="29">
        <f>Qld!$H110*'Other national data'!I453</f>
        <v>1746.7106725788212</v>
      </c>
      <c r="K47" s="29">
        <f>Qld!$H110*'Other national data'!J453</f>
        <v>0</v>
      </c>
      <c r="L47" s="29">
        <f t="shared" si="12"/>
        <v>1746.7106725788212</v>
      </c>
      <c r="M47" s="272">
        <f t="shared" si="9"/>
        <v>0.36780158094097865</v>
      </c>
      <c r="N47" s="910"/>
      <c r="O47" s="910"/>
      <c r="P47" s="911"/>
      <c r="Q47" s="927"/>
      <c r="R47" s="29">
        <f>Qld!$I110*'Other national data'!I453</f>
        <v>2.0407544667706651E-11</v>
      </c>
      <c r="S47" s="29">
        <f>Qld!$I110*'Other national data'!J453</f>
        <v>0</v>
      </c>
      <c r="T47" s="29">
        <f>SUM(Q47:S47)</f>
        <v>2.0407544667706651E-11</v>
      </c>
      <c r="U47" s="272">
        <f>T47/Pop_Qld*1000</f>
        <v>4.2971782961768302E-15</v>
      </c>
      <c r="V47" s="74"/>
    </row>
    <row r="48" spans="1:22" outlineLevel="1" x14ac:dyDescent="0.2">
      <c r="A48" s="459"/>
      <c r="B48" s="468" t="str">
        <f t="shared" si="10"/>
        <v>Hazardous</v>
      </c>
      <c r="C48" s="1080" t="s">
        <v>230</v>
      </c>
      <c r="D48" s="910"/>
      <c r="E48" s="29">
        <f>Qld!$G111*'Other national data'!I454</f>
        <v>393.89422730089217</v>
      </c>
      <c r="F48" s="29">
        <f>Qld!$G111*'Other national data'!J454</f>
        <v>0</v>
      </c>
      <c r="G48" s="29">
        <f t="shared" si="11"/>
        <v>393.89422730089217</v>
      </c>
      <c r="H48" s="272">
        <f t="shared" si="8"/>
        <v>8.2941566568034905E-2</v>
      </c>
      <c r="I48" s="910"/>
      <c r="J48" s="29">
        <f>Qld!$H111*'Other national data'!I454</f>
        <v>802.46166352798923</v>
      </c>
      <c r="K48" s="29">
        <f>Qld!$H111*'Other national data'!J454</f>
        <v>0</v>
      </c>
      <c r="L48" s="29">
        <f t="shared" si="12"/>
        <v>802.46166352798923</v>
      </c>
      <c r="M48" s="272">
        <f t="shared" si="9"/>
        <v>0.16897284314085706</v>
      </c>
      <c r="N48" s="910"/>
      <c r="O48" s="910"/>
      <c r="P48" s="911"/>
      <c r="Q48" s="927"/>
      <c r="R48" s="913"/>
      <c r="S48" s="913"/>
      <c r="T48" s="928"/>
      <c r="U48" s="926"/>
      <c r="V48" s="74"/>
    </row>
    <row r="49" spans="1:47" outlineLevel="1" x14ac:dyDescent="0.2">
      <c r="A49" s="459"/>
      <c r="B49" s="468" t="str">
        <f t="shared" si="10"/>
        <v>Hazardous</v>
      </c>
      <c r="C49" s="1080" t="s">
        <v>238</v>
      </c>
      <c r="D49" s="910"/>
      <c r="E49" s="29">
        <f>Qld!$G112*'Other national data'!I455</f>
        <v>42219.103207737346</v>
      </c>
      <c r="F49" s="29">
        <f>Qld!$G112*'Other national data'!J455</f>
        <v>0</v>
      </c>
      <c r="G49" s="29">
        <f t="shared" si="11"/>
        <v>42219.103207737346</v>
      </c>
      <c r="H49" s="272">
        <f t="shared" si="8"/>
        <v>8.8899971526425858</v>
      </c>
      <c r="I49" s="910"/>
      <c r="J49" s="29">
        <f>Qld!$H112*'Other national data'!I455</f>
        <v>178264.6944701777</v>
      </c>
      <c r="K49" s="29">
        <f>Qld!$H112*'Other national data'!J455</f>
        <v>0</v>
      </c>
      <c r="L49" s="29">
        <f t="shared" si="12"/>
        <v>178264.6944701777</v>
      </c>
      <c r="M49" s="272">
        <f t="shared" si="9"/>
        <v>37.536861416946081</v>
      </c>
      <c r="N49" s="910"/>
      <c r="O49" s="910"/>
      <c r="P49" s="911"/>
      <c r="Q49" s="927"/>
      <c r="R49" s="29">
        <f>Qld!$I112*'Other national data'!I455</f>
        <v>2.2048379767791503E-9</v>
      </c>
      <c r="S49" s="29">
        <f>Qld!$I112*'Other national data'!J455</f>
        <v>0</v>
      </c>
      <c r="T49" s="29">
        <f>SUM(Q49:S49)</f>
        <v>2.2048379767791503E-9</v>
      </c>
      <c r="U49" s="272">
        <f>T49/Pop_Qld*1000</f>
        <v>4.6426858569588666E-13</v>
      </c>
      <c r="V49" s="74"/>
    </row>
    <row r="50" spans="1:47" outlineLevel="1" x14ac:dyDescent="0.2">
      <c r="A50" s="459"/>
      <c r="B50" s="468" t="str">
        <f t="shared" si="10"/>
        <v>Hazardous</v>
      </c>
      <c r="C50" s="1080" t="s">
        <v>246</v>
      </c>
      <c r="D50" s="910"/>
      <c r="E50" s="29">
        <f>Qld!$G113*'Other national data'!I456</f>
        <v>17064.376500381797</v>
      </c>
      <c r="F50" s="29">
        <f>Qld!$G113*'Other national data'!J456</f>
        <v>0</v>
      </c>
      <c r="G50" s="29">
        <f t="shared" si="11"/>
        <v>17064.376500381797</v>
      </c>
      <c r="H50" s="272">
        <f t="shared" si="8"/>
        <v>3.5932136633402796</v>
      </c>
      <c r="I50" s="910"/>
      <c r="J50" s="29">
        <f>Qld!$H113*'Other national data'!I456</f>
        <v>265863.45787601155</v>
      </c>
      <c r="K50" s="29">
        <f>Qld!$H113*'Other national data'!J456</f>
        <v>0</v>
      </c>
      <c r="L50" s="29">
        <f t="shared" si="12"/>
        <v>265863.45787601155</v>
      </c>
      <c r="M50" s="272">
        <f t="shared" si="9"/>
        <v>55.982368263007068</v>
      </c>
      <c r="N50" s="910"/>
      <c r="O50" s="910"/>
      <c r="P50" s="911"/>
      <c r="Q50" s="927"/>
      <c r="R50" s="29">
        <f>Qld!$I113*'Other national data'!I456</f>
        <v>2.8292783437639336E-9</v>
      </c>
      <c r="S50" s="29">
        <f>Qld!$I113*'Other national data'!J456</f>
        <v>0</v>
      </c>
      <c r="T50" s="29">
        <f>SUM(Q50:S50)</f>
        <v>2.8292783437639336E-9</v>
      </c>
      <c r="U50" s="272">
        <f>T50/Pop_Qld*1000</f>
        <v>5.9575581926347346E-13</v>
      </c>
      <c r="V50" s="74"/>
    </row>
    <row r="51" spans="1:47" outlineLevel="1" x14ac:dyDescent="0.2">
      <c r="A51" s="459"/>
      <c r="B51" s="468" t="str">
        <f t="shared" si="10"/>
        <v>Hazardous</v>
      </c>
      <c r="C51" s="1080" t="s">
        <v>256</v>
      </c>
      <c r="D51" s="910"/>
      <c r="E51" s="29">
        <f>Qld!$G114*'Other national data'!I457</f>
        <v>4043.3438628427934</v>
      </c>
      <c r="F51" s="29">
        <f>Qld!$G114*'Other national data'!J457</f>
        <v>0</v>
      </c>
      <c r="G51" s="29">
        <f t="shared" si="11"/>
        <v>4043.3438628427934</v>
      </c>
      <c r="H51" s="272">
        <f t="shared" si="8"/>
        <v>0.85139931208296582</v>
      </c>
      <c r="I51" s="910"/>
      <c r="J51" s="29">
        <f>Qld!$H114*'Other national data'!I457</f>
        <v>3231.9746203070267</v>
      </c>
      <c r="K51" s="29">
        <f>Qld!$H114*'Other national data'!J457</f>
        <v>0</v>
      </c>
      <c r="L51" s="29">
        <f t="shared" si="12"/>
        <v>3231.9746203070267</v>
      </c>
      <c r="M51" s="272">
        <f t="shared" si="9"/>
        <v>0.68055081678468521</v>
      </c>
      <c r="N51" s="910"/>
      <c r="O51" s="910"/>
      <c r="P51" s="911"/>
      <c r="Q51" s="927"/>
      <c r="R51" s="29">
        <f>Qld!$I114*'Other national data'!I457</f>
        <v>7.2753184831498195E-11</v>
      </c>
      <c r="S51" s="29">
        <f>Qld!$I114*'Other national data'!J457</f>
        <v>0</v>
      </c>
      <c r="T51" s="29">
        <f>SUM(Q51:S51)</f>
        <v>7.2753184831498195E-11</v>
      </c>
      <c r="U51" s="272">
        <f>T51/Pop_Qld*1000</f>
        <v>1.531950128867651E-14</v>
      </c>
      <c r="V51" s="74"/>
    </row>
    <row r="52" spans="1:47" outlineLevel="1" x14ac:dyDescent="0.2">
      <c r="A52" s="459"/>
      <c r="B52" s="468" t="str">
        <f t="shared" si="10"/>
        <v>Hazardous</v>
      </c>
      <c r="C52" s="1081" t="s">
        <v>343</v>
      </c>
      <c r="D52" s="910"/>
      <c r="E52" s="29">
        <f>Qld!$G115*'Other national data'!I458</f>
        <v>100745.97220847024</v>
      </c>
      <c r="F52" s="29">
        <f>Qld!$G115*'Other national data'!J458</f>
        <v>259061.07139320916</v>
      </c>
      <c r="G52" s="29">
        <f t="shared" si="11"/>
        <v>359807.04360167938</v>
      </c>
      <c r="H52" s="272">
        <f t="shared" si="8"/>
        <v>75.763892410994302</v>
      </c>
      <c r="I52" s="910"/>
      <c r="J52" s="29">
        <f>Qld!$H115*'Other national data'!I458</f>
        <v>3277.8077915297731</v>
      </c>
      <c r="K52" s="29">
        <f>Qld!$H115*'Other national data'!J458</f>
        <v>8428.6486067908445</v>
      </c>
      <c r="L52" s="29">
        <f t="shared" si="12"/>
        <v>11706.456398320617</v>
      </c>
      <c r="M52" s="272">
        <f t="shared" si="9"/>
        <v>2.4650065051484153</v>
      </c>
      <c r="N52" s="910"/>
      <c r="O52" s="910"/>
      <c r="P52" s="911"/>
      <c r="Q52" s="927"/>
      <c r="R52" s="29">
        <f>Qld!$I115*'Other national data'!I458</f>
        <v>1.0402378E-9</v>
      </c>
      <c r="S52" s="29">
        <f>Qld!$I115*'Other national data'!J458</f>
        <v>2.6748971999999999E-9</v>
      </c>
      <c r="T52" s="29">
        <f>SUM(Q52:S52)</f>
        <v>3.7151349999999997E-9</v>
      </c>
      <c r="U52" s="272">
        <f>T52/Pop_Qld*1000</f>
        <v>7.8228898916142721E-13</v>
      </c>
      <c r="V52" s="74"/>
    </row>
    <row r="53" spans="1:47" outlineLevel="1" x14ac:dyDescent="0.2">
      <c r="A53" s="459"/>
      <c r="B53" s="468" t="str">
        <f t="shared" si="10"/>
        <v>Hazardous</v>
      </c>
      <c r="C53" s="1081" t="s">
        <v>97</v>
      </c>
      <c r="D53" s="910"/>
      <c r="E53" s="29">
        <f>Qld!$G116*'Other national data'!I459</f>
        <v>104778.55782500596</v>
      </c>
      <c r="F53" s="29">
        <f>Qld!$G116*'Other national data'!J459</f>
        <v>123000.9157076157</v>
      </c>
      <c r="G53" s="29">
        <f t="shared" si="11"/>
        <v>227779.47353262166</v>
      </c>
      <c r="H53" s="272">
        <f t="shared" si="8"/>
        <v>47.963095311894904</v>
      </c>
      <c r="I53" s="910"/>
      <c r="J53" s="29">
        <f>Qld!$H116*'Other national data'!I459</f>
        <v>47.369700269818416</v>
      </c>
      <c r="K53" s="29">
        <f>Qld!$H116*'Other national data'!J459</f>
        <v>55.607909012395545</v>
      </c>
      <c r="L53" s="29">
        <f t="shared" si="12"/>
        <v>102.97760928221396</v>
      </c>
      <c r="M53" s="272">
        <f t="shared" si="9"/>
        <v>2.1683801496215765E-2</v>
      </c>
      <c r="N53" s="910"/>
      <c r="O53" s="910"/>
      <c r="P53" s="911"/>
      <c r="Q53" s="927"/>
      <c r="R53" s="913"/>
      <c r="S53" s="913"/>
      <c r="T53" s="928"/>
      <c r="U53" s="926"/>
      <c r="V53" s="74"/>
    </row>
    <row r="54" spans="1:47" outlineLevel="1" x14ac:dyDescent="0.2">
      <c r="A54" s="459"/>
      <c r="B54" s="468" t="str">
        <f t="shared" si="10"/>
        <v>Hazardous</v>
      </c>
      <c r="C54" s="1081" t="s">
        <v>345</v>
      </c>
      <c r="D54" s="910"/>
      <c r="E54" s="29">
        <f>Qld!$G117*'Other national data'!I460</f>
        <v>163044.58811353229</v>
      </c>
      <c r="F54" s="29">
        <f>Qld!$G117*'Other national data'!J460</f>
        <v>0</v>
      </c>
      <c r="G54" s="29">
        <f t="shared" si="11"/>
        <v>163044.58811353229</v>
      </c>
      <c r="H54" s="272">
        <f t="shared" si="8"/>
        <v>34.331992248889044</v>
      </c>
      <c r="I54" s="910"/>
      <c r="J54" s="29">
        <f>Qld!$H117*'Other national data'!I460</f>
        <v>301260.73150975641</v>
      </c>
      <c r="K54" s="29">
        <f>Qld!$H117*'Other national data'!J460</f>
        <v>0</v>
      </c>
      <c r="L54" s="29">
        <f t="shared" si="12"/>
        <v>301260.73150975641</v>
      </c>
      <c r="M54" s="272">
        <f t="shared" si="9"/>
        <v>63.435905593417054</v>
      </c>
      <c r="N54" s="910"/>
      <c r="O54" s="910"/>
      <c r="P54" s="911"/>
      <c r="Q54" s="927"/>
      <c r="R54" s="29">
        <f>Qld!$I117*'Other national data'!I460</f>
        <v>0</v>
      </c>
      <c r="S54" s="29">
        <f>Qld!$I117*'Other national data'!J460</f>
        <v>0</v>
      </c>
      <c r="T54" s="29">
        <f t="shared" ref="T54:T59" si="13">SUM(Q54:S54)</f>
        <v>0</v>
      </c>
      <c r="U54" s="272">
        <f t="shared" ref="U54:U59" si="14">T54/Pop_Qld*1000</f>
        <v>0</v>
      </c>
      <c r="V54" s="74"/>
    </row>
    <row r="55" spans="1:47" outlineLevel="1" x14ac:dyDescent="0.2">
      <c r="A55" s="459"/>
      <c r="B55" s="468" t="str">
        <f t="shared" si="10"/>
        <v>Hazardous</v>
      </c>
      <c r="C55" s="1080" t="s">
        <v>297</v>
      </c>
      <c r="D55" s="910"/>
      <c r="E55" s="29">
        <f>Qld!$G118*'Other national data'!I461</f>
        <v>29366.061497084611</v>
      </c>
      <c r="F55" s="29">
        <f>Qld!$G118*'Other national data'!J461</f>
        <v>0</v>
      </c>
      <c r="G55" s="29">
        <f t="shared" si="11"/>
        <v>29366.061497084611</v>
      </c>
      <c r="H55" s="272">
        <f t="shared" si="8"/>
        <v>6.1835563348859806</v>
      </c>
      <c r="I55" s="910"/>
      <c r="J55" s="29">
        <f>Qld!$H118*'Other national data'!I461</f>
        <v>9432.9804028190665</v>
      </c>
      <c r="K55" s="29">
        <f>Qld!$H118*'Other national data'!J461</f>
        <v>0</v>
      </c>
      <c r="L55" s="29">
        <f t="shared" si="12"/>
        <v>9432.9804028190665</v>
      </c>
      <c r="M55" s="272">
        <f t="shared" si="9"/>
        <v>1.9862849409512389</v>
      </c>
      <c r="N55" s="910"/>
      <c r="O55" s="910"/>
      <c r="P55" s="911"/>
      <c r="Q55" s="927"/>
      <c r="R55" s="29">
        <f>Qld!$I118*'Other national data'!I461</f>
        <v>3.8799041899903679E-10</v>
      </c>
      <c r="S55" s="29">
        <f>Qld!$I118*'Other national data'!J461</f>
        <v>0</v>
      </c>
      <c r="T55" s="29">
        <f t="shared" si="13"/>
        <v>3.8799041899903679E-10</v>
      </c>
      <c r="U55" s="272">
        <f t="shared" si="14"/>
        <v>8.1698412758372205E-14</v>
      </c>
      <c r="V55" s="74"/>
    </row>
    <row r="56" spans="1:47" outlineLevel="1" x14ac:dyDescent="0.2">
      <c r="A56" s="459"/>
      <c r="B56" s="468" t="str">
        <f t="shared" si="10"/>
        <v>Hazardous</v>
      </c>
      <c r="C56" s="1274" t="s">
        <v>39</v>
      </c>
      <c r="D56" s="910"/>
      <c r="E56" s="29">
        <f>Qld!$G119*'Other national data'!I462</f>
        <v>33841.508120266357</v>
      </c>
      <c r="F56" s="29">
        <f>Qld!$G119*'Other national data'!J462</f>
        <v>0</v>
      </c>
      <c r="G56" s="29">
        <f t="shared" ref="G56:G61" si="15">SUM(D56:F56)</f>
        <v>33841.508120266357</v>
      </c>
      <c r="H56" s="272">
        <f>G56/Pop_Qld*1000</f>
        <v>7.125942712472467</v>
      </c>
      <c r="I56" s="910"/>
      <c r="J56" s="29">
        <f>Qld!$H119*'Other national data'!I462</f>
        <v>57790.618250279789</v>
      </c>
      <c r="K56" s="29">
        <f>Qld!$H119*'Other national data'!J462</f>
        <v>0</v>
      </c>
      <c r="L56" s="29">
        <f t="shared" ref="L56:L61" si="16">SUM(I56:K56)</f>
        <v>57790.618250279789</v>
      </c>
      <c r="M56" s="272">
        <f>L56/Pop_Qld*1000</f>
        <v>12.168861786725193</v>
      </c>
      <c r="N56" s="910"/>
      <c r="O56" s="910"/>
      <c r="P56" s="911"/>
      <c r="Q56" s="927"/>
      <c r="R56" s="29">
        <f>Qld!$I119*'Other national data'!I462</f>
        <v>9.1632126370546146E-10</v>
      </c>
      <c r="S56" s="29">
        <f>Qld!$I119*'Other national data'!J462</f>
        <v>0</v>
      </c>
      <c r="T56" s="29">
        <f t="shared" si="13"/>
        <v>9.1632126370546146E-10</v>
      </c>
      <c r="U56" s="272">
        <f t="shared" si="14"/>
        <v>1.9294804499197661E-13</v>
      </c>
      <c r="V56" s="74"/>
    </row>
    <row r="57" spans="1:47" outlineLevel="1" x14ac:dyDescent="0.2">
      <c r="A57" s="459"/>
      <c r="B57" s="468" t="str">
        <f t="shared" si="10"/>
        <v>Hazardous</v>
      </c>
      <c r="C57" s="1274" t="s">
        <v>904</v>
      </c>
      <c r="D57" s="910"/>
      <c r="E57" s="29">
        <f>Qld!$G120*'Other national data'!I463</f>
        <v>296.24625307339585</v>
      </c>
      <c r="F57" s="29">
        <f>Qld!$G120*'Other national data'!J463</f>
        <v>0</v>
      </c>
      <c r="G57" s="29">
        <f t="shared" si="15"/>
        <v>296.24625307339585</v>
      </c>
      <c r="H57" s="272">
        <f>G57/Pop_Qld*1000</f>
        <v>6.2380016300793165E-2</v>
      </c>
      <c r="I57" s="910"/>
      <c r="J57" s="29">
        <f>Qld!$H120*'Other national data'!I463</f>
        <v>1204.2690282063793</v>
      </c>
      <c r="K57" s="29">
        <f>Qld!$H120*'Other national data'!J463</f>
        <v>0</v>
      </c>
      <c r="L57" s="29">
        <f t="shared" si="16"/>
        <v>1204.2690282063793</v>
      </c>
      <c r="M57" s="272">
        <f>L57/Pop_Qld*1000</f>
        <v>0.25358066416267044</v>
      </c>
      <c r="N57" s="910"/>
      <c r="O57" s="910"/>
      <c r="P57" s="911"/>
      <c r="Q57" s="927"/>
      <c r="R57" s="29">
        <f>Qld!$I120*'Other national data'!I463</f>
        <v>1.5005152812797749E-11</v>
      </c>
      <c r="S57" s="29">
        <f>Qld!$I120*'Other national data'!J463</f>
        <v>0</v>
      </c>
      <c r="T57" s="29">
        <f t="shared" si="13"/>
        <v>1.5005152812797749E-11</v>
      </c>
      <c r="U57" s="272">
        <f t="shared" si="14"/>
        <v>3.1596068046346358E-15</v>
      </c>
      <c r="V57" s="74"/>
    </row>
    <row r="58" spans="1:47" outlineLevel="1" x14ac:dyDescent="0.2">
      <c r="A58" s="459"/>
      <c r="B58" s="468" t="str">
        <f t="shared" si="10"/>
        <v>Hazardous</v>
      </c>
      <c r="C58" s="649" t="s">
        <v>567</v>
      </c>
      <c r="D58" s="1074"/>
      <c r="E58" s="30">
        <f>SUMIF(Hazstate,"Solid",E$41:E$57)</f>
        <v>439039.25305987697</v>
      </c>
      <c r="F58" s="30">
        <f>SUMIF(Hazstate,"Solid",F$41:F$57)</f>
        <v>382061.98710082483</v>
      </c>
      <c r="G58" s="30">
        <f t="shared" si="15"/>
        <v>821101.2401607018</v>
      </c>
      <c r="H58" s="285">
        <f t="shared" si="8"/>
        <v>172.89774373327205</v>
      </c>
      <c r="I58" s="1076"/>
      <c r="J58" s="30">
        <f>SUMIF(Hazstate,"Solid",J$41:J$57)</f>
        <v>407239.90092141647</v>
      </c>
      <c r="K58" s="30">
        <f>SUMIF(Hazstate,"Solid",K$41:K$57)</f>
        <v>8484.2565158032394</v>
      </c>
      <c r="L58" s="30">
        <f t="shared" si="16"/>
        <v>415724.15743721969</v>
      </c>
      <c r="M58" s="285">
        <f t="shared" si="9"/>
        <v>87.538253896977793</v>
      </c>
      <c r="N58" s="930"/>
      <c r="O58" s="930"/>
      <c r="P58" s="931"/>
      <c r="Q58" s="927"/>
      <c r="R58" s="30">
        <f>SUMIF(Hazstate,"Solid",R$41:R$57)</f>
        <v>2.3595546355172963E-9</v>
      </c>
      <c r="S58" s="30">
        <f>SUMIF(Hazstate,"Solid",S$41:S$57)</f>
        <v>2.6748971999999999E-9</v>
      </c>
      <c r="T58" s="30">
        <f t="shared" si="13"/>
        <v>5.0344518355172966E-9</v>
      </c>
      <c r="U58" s="924">
        <f t="shared" si="14"/>
        <v>1.0600950537164109E-12</v>
      </c>
      <c r="V58" s="74"/>
    </row>
    <row r="59" spans="1:47" outlineLevel="1" x14ac:dyDescent="0.2">
      <c r="A59" s="459"/>
      <c r="B59" s="468" t="str">
        <f t="shared" si="10"/>
        <v>Hazardous</v>
      </c>
      <c r="C59" s="649" t="s">
        <v>459</v>
      </c>
      <c r="D59" s="1074"/>
      <c r="E59" s="30">
        <f>SUMIF(Hazstate,"Liquid",E$41:E$57)</f>
        <v>117251.97696626038</v>
      </c>
      <c r="F59" s="30">
        <f>SUMIF(Hazstate,"Liquid",F$41:F$57)</f>
        <v>0</v>
      </c>
      <c r="G59" s="30">
        <f t="shared" si="15"/>
        <v>117251.97696626038</v>
      </c>
      <c r="H59" s="285">
        <f t="shared" si="8"/>
        <v>24.689528250821244</v>
      </c>
      <c r="I59" s="1076"/>
      <c r="J59" s="30">
        <f>SUMIF(Hazstate,"Liquid",J$41:J$57)</f>
        <v>592316.18377404904</v>
      </c>
      <c r="K59" s="30">
        <f>SUMIF(Hazstate,"Liquid",K$41:K$57)</f>
        <v>0</v>
      </c>
      <c r="L59" s="30">
        <f t="shared" si="16"/>
        <v>592316.18377404904</v>
      </c>
      <c r="M59" s="285">
        <f t="shared" si="9"/>
        <v>124.72290473120222</v>
      </c>
      <c r="N59" s="930"/>
      <c r="O59" s="930"/>
      <c r="P59" s="931"/>
      <c r="Q59" s="927"/>
      <c r="R59" s="30">
        <f>SUMIF(Hazstate,"Liquid",R$41:R$57)</f>
        <v>5.3605366399379372E-9</v>
      </c>
      <c r="S59" s="30">
        <f>SUMIF(Hazstate,"Liquid",S$41:S$57)</f>
        <v>0</v>
      </c>
      <c r="T59" s="30">
        <f t="shared" si="13"/>
        <v>5.3605366399379372E-9</v>
      </c>
      <c r="U59" s="924">
        <f t="shared" si="14"/>
        <v>1.128758117651133E-12</v>
      </c>
      <c r="V59" s="74"/>
    </row>
    <row r="60" spans="1:47" s="76" customFormat="1" outlineLevel="1" x14ac:dyDescent="0.2">
      <c r="A60" s="459"/>
      <c r="B60" s="468" t="str">
        <f t="shared" si="10"/>
        <v>Hazardous</v>
      </c>
      <c r="C60" s="827" t="s">
        <v>2</v>
      </c>
      <c r="D60" s="932"/>
      <c r="E60" s="237">
        <f>Qld!H22</f>
        <v>4332019</v>
      </c>
      <c r="F60" s="932"/>
      <c r="G60" s="237">
        <f t="shared" si="15"/>
        <v>4332019</v>
      </c>
      <c r="H60" s="275">
        <f t="shared" si="8"/>
        <v>912.18509274578082</v>
      </c>
      <c r="I60" s="913"/>
      <c r="J60" s="237">
        <f>Qld!H82</f>
        <v>883622</v>
      </c>
      <c r="K60" s="913"/>
      <c r="L60" s="237">
        <f t="shared" si="16"/>
        <v>883622</v>
      </c>
      <c r="M60" s="273">
        <f t="shared" si="9"/>
        <v>186.06262253748483</v>
      </c>
      <c r="N60" s="932"/>
      <c r="O60" s="932"/>
      <c r="P60" s="933"/>
      <c r="Q60" s="927"/>
      <c r="R60" s="913"/>
      <c r="S60" s="913"/>
      <c r="T60" s="928"/>
      <c r="U60" s="929"/>
      <c r="Y60" s="74"/>
      <c r="Z60" s="74"/>
      <c r="AA60" s="74"/>
      <c r="AB60" s="74"/>
      <c r="AC60" s="74"/>
      <c r="AD60" s="74"/>
      <c r="AI60" s="74"/>
      <c r="AJ60" s="74"/>
      <c r="AK60" s="74"/>
      <c r="AL60" s="74"/>
      <c r="AM60" s="74"/>
      <c r="AN60" s="74"/>
      <c r="AO60" s="74"/>
      <c r="AP60" s="74"/>
      <c r="AQ60" s="74"/>
      <c r="AR60" s="74"/>
      <c r="AS60" s="74"/>
      <c r="AT60" s="74"/>
      <c r="AU60" s="74"/>
    </row>
    <row r="61" spans="1:47" s="247" customFormat="1" x14ac:dyDescent="0.2">
      <c r="A61" s="459"/>
      <c r="B61" s="498" t="str">
        <f>B59</f>
        <v>Hazardous</v>
      </c>
      <c r="C61" s="650" t="s">
        <v>115</v>
      </c>
      <c r="D61" s="1075"/>
      <c r="E61" s="966">
        <f>SUM(E58:E60)</f>
        <v>4888310.2300261371</v>
      </c>
      <c r="F61" s="966">
        <f>SUM(F58:F60)</f>
        <v>382061.98710082483</v>
      </c>
      <c r="G61" s="966">
        <f t="shared" si="15"/>
        <v>5270372.2171269618</v>
      </c>
      <c r="H61" s="967">
        <f t="shared" si="8"/>
        <v>1109.772364729874</v>
      </c>
      <c r="I61" s="1077"/>
      <c r="J61" s="966">
        <f>SUM(J58:J60)</f>
        <v>1883178.0846954654</v>
      </c>
      <c r="K61" s="966">
        <f>SUM(K58:K60)</f>
        <v>8484.2565158032394</v>
      </c>
      <c r="L61" s="966">
        <f t="shared" si="16"/>
        <v>1891662.3412112687</v>
      </c>
      <c r="M61" s="968">
        <f t="shared" si="9"/>
        <v>398.3237811656648</v>
      </c>
      <c r="N61" s="934"/>
      <c r="O61" s="934"/>
      <c r="P61" s="935"/>
      <c r="Q61" s="927"/>
      <c r="R61" s="966">
        <f>SUM(R59,R58)</f>
        <v>7.7200912754552334E-9</v>
      </c>
      <c r="S61" s="966">
        <f>SUM(S59,S58)</f>
        <v>2.6748971999999999E-9</v>
      </c>
      <c r="T61" s="966">
        <f>SUM(Q61:S61)</f>
        <v>1.0394988475455233E-8</v>
      </c>
      <c r="U61" s="968">
        <f>T61/Pop_Qld*1000</f>
        <v>2.1888531713675435E-12</v>
      </c>
      <c r="V61" s="957" t="s">
        <v>847</v>
      </c>
      <c r="X61" s="957" t="str">
        <f>IF(ROUND(SUM(G58:G59,L58:L59,T58:T59),0)=ROUND(SUM(Qld!G104:I120),0),"OK","Error")</f>
        <v>OK</v>
      </c>
      <c r="Y61" s="74"/>
      <c r="AI61" s="249"/>
      <c r="AJ61" s="249"/>
      <c r="AK61" s="249"/>
      <c r="AL61" s="249"/>
      <c r="AM61" s="249"/>
      <c r="AN61" s="249"/>
      <c r="AO61" s="249"/>
      <c r="AP61" s="249"/>
      <c r="AQ61" s="249"/>
      <c r="AR61" s="249"/>
      <c r="AS61" s="249"/>
      <c r="AT61" s="249"/>
      <c r="AU61" s="249"/>
    </row>
    <row r="62" spans="1:47" ht="14.25" customHeight="1" x14ac:dyDescent="0.2">
      <c r="C62" s="951" t="s">
        <v>98</v>
      </c>
      <c r="D62" s="905"/>
      <c r="E62" s="286"/>
      <c r="F62" s="286"/>
      <c r="G62" s="286"/>
      <c r="H62" s="287"/>
      <c r="I62" s="977"/>
      <c r="J62" s="977"/>
      <c r="K62" s="977"/>
      <c r="L62" s="977"/>
      <c r="M62" s="291"/>
      <c r="N62" s="934"/>
      <c r="O62" s="934"/>
      <c r="P62" s="935"/>
      <c r="Q62" s="905"/>
      <c r="R62" s="27"/>
      <c r="S62" s="27"/>
      <c r="T62" s="27"/>
      <c r="U62" s="287"/>
      <c r="Y62" s="75"/>
    </row>
    <row r="63" spans="1:47" x14ac:dyDescent="0.2">
      <c r="C63" s="303" t="s">
        <v>1350</v>
      </c>
      <c r="D63" s="288">
        <f>SUM(D61,D40,D37,D36,D26,D21,D15,D11,D62)</f>
        <v>1622364.8134456563</v>
      </c>
      <c r="E63" s="987">
        <f>SUM(E61,E40,E37,E36,E26,E21,E15,E11,E62)</f>
        <v>6309686.8665585006</v>
      </c>
      <c r="F63" s="289">
        <f t="shared" ref="F63" si="17">SUM(F61,F40,F37,F36,F26,F21,F15,F11,F62)</f>
        <v>1865819.7123721605</v>
      </c>
      <c r="G63" s="294">
        <f>SUM(G61,G40,G37,G36,G26,G21,G15,G11,G62)</f>
        <v>9797871.3923763186</v>
      </c>
      <c r="H63" s="290">
        <f>G63/Pop_Qld*1000</f>
        <v>2063.1193502997157</v>
      </c>
      <c r="I63" s="288">
        <f>I36+I61+I62+Qld!G86*SUM($L37,$L26,$L21,$L15,$L11)</f>
        <v>749609.78106284165</v>
      </c>
      <c r="J63" s="987">
        <f>J36+J61+J62+Qld!H86*SUM($L37,$L26,$L21,$L15,$L11)</f>
        <v>3169278.1339922762</v>
      </c>
      <c r="K63" s="289">
        <f>K36+K61+K62+Qld!I86*SUM($L37,$L26,$L21,$L15,$L11)</f>
        <v>1606132.4261561511</v>
      </c>
      <c r="L63" s="294">
        <f>SUM(L61,L40,L37,L36,L26,L21,L15,L11,L62)</f>
        <v>5525020.3412112687</v>
      </c>
      <c r="M63" s="959">
        <f>L63/Pop_Qld*1000</f>
        <v>1163.3931412512566</v>
      </c>
      <c r="N63" s="289">
        <f>SUM(N40,N26,N21)</f>
        <v>132126.18655434373</v>
      </c>
      <c r="O63" s="289">
        <f>SUM(O40,O26,O21)</f>
        <v>96922.363467636053</v>
      </c>
      <c r="P63" s="298">
        <f>SUM(P40,P26,P21)</f>
        <v>10096.274728664233</v>
      </c>
      <c r="Q63" s="288">
        <f>SUM(Q62,Q61,Q40,Q36,Q26,Q21)</f>
        <v>246557.08655434372</v>
      </c>
      <c r="R63" s="289">
        <f t="shared" ref="R63:T63" si="18">SUM(R62,R61,R40,R36,R26,R21)</f>
        <v>133206.16346764378</v>
      </c>
      <c r="S63" s="289">
        <f t="shared" si="18"/>
        <v>10096.274728666907</v>
      </c>
      <c r="T63" s="294">
        <f t="shared" si="18"/>
        <v>389859.52475065441</v>
      </c>
      <c r="U63" s="959">
        <f>T63/Pop_Qld*1000</f>
        <v>82.091986840893767</v>
      </c>
      <c r="V63" s="74"/>
      <c r="Y63" s="75"/>
    </row>
    <row r="64" spans="1:47" x14ac:dyDescent="0.2">
      <c r="C64" s="2414" t="s">
        <v>1314</v>
      </c>
      <c r="E64" s="2413">
        <f>E63-E60</f>
        <v>1977667.8665585006</v>
      </c>
      <c r="G64" s="272">
        <f>G63-G60</f>
        <v>5465852.3923763186</v>
      </c>
      <c r="H64" s="283">
        <f>G64/Pop_Qld*1000</f>
        <v>1150.9342575539351</v>
      </c>
      <c r="J64" s="2413">
        <f>J63-J60</f>
        <v>2285656.1339922762</v>
      </c>
      <c r="L64" s="272">
        <f>L63-L60</f>
        <v>4641398.3412112687</v>
      </c>
      <c r="M64" s="272">
        <f>L64/Pop_Qld*1000</f>
        <v>977.33051871377177</v>
      </c>
      <c r="T64" s="272">
        <f>T63-T60</f>
        <v>389859.52475065441</v>
      </c>
      <c r="U64" s="283">
        <f>U63+U49</f>
        <v>82.091986840894236</v>
      </c>
      <c r="V64" s="74"/>
    </row>
    <row r="65" spans="1:44" x14ac:dyDescent="0.2">
      <c r="C65" s="304" t="s">
        <v>1351</v>
      </c>
      <c r="E65" s="955" t="s">
        <v>397</v>
      </c>
      <c r="F65" s="956" t="str">
        <f>IF(ROUND(SUM(D63:F63),0)=ROUND(G63,0),"Ok","Error")</f>
        <v>Ok</v>
      </c>
      <c r="G65" s="2415">
        <f>G64-SUM(G58:G59)</f>
        <v>4527499.1752493568</v>
      </c>
      <c r="H65" s="292">
        <f>G65/Pop_Qld*1000</f>
        <v>953.34698556984188</v>
      </c>
      <c r="J65" s="955" t="s">
        <v>397</v>
      </c>
      <c r="K65" s="956" t="str">
        <f>IF(ROUND(SUM(I63:K63),0)=ROUND(L63,0),"Ok","Error")</f>
        <v>Ok</v>
      </c>
      <c r="L65" s="2415">
        <f>L64-SUM(L58:L59)</f>
        <v>3633358</v>
      </c>
      <c r="M65" s="291">
        <f>L65/Pop_Qld*1000</f>
        <v>765.06936008559171</v>
      </c>
      <c r="R65" s="955" t="s">
        <v>397</v>
      </c>
      <c r="S65" s="956" t="str">
        <f>IF(ROUND(SUM(Q63:S63),0)=ROUND(T63,0),"Ok","Error")</f>
        <v>Ok</v>
      </c>
      <c r="T65" s="2415">
        <f>T64-SUM(T58:T59)</f>
        <v>389859.52475064399</v>
      </c>
      <c r="U65" s="292">
        <f>T65/Pop_Qld*1000</f>
        <v>82.091986840891565</v>
      </c>
    </row>
    <row r="66" spans="1:44" x14ac:dyDescent="0.2">
      <c r="C66" s="138"/>
      <c r="F66" s="250"/>
      <c r="G66" s="251"/>
    </row>
    <row r="67" spans="1:44" ht="15" customHeight="1" x14ac:dyDescent="0.2">
      <c r="C67" s="2444" t="s">
        <v>410</v>
      </c>
      <c r="D67" s="2440" t="s">
        <v>16</v>
      </c>
      <c r="E67" s="2441" t="s">
        <v>17</v>
      </c>
      <c r="F67" s="2441" t="s">
        <v>1354</v>
      </c>
      <c r="G67" s="2441" t="s">
        <v>18</v>
      </c>
      <c r="H67" s="2547" t="s">
        <v>88</v>
      </c>
      <c r="I67" s="2442" t="s">
        <v>1368</v>
      </c>
      <c r="J67" s="2443" t="s">
        <v>1369</v>
      </c>
      <c r="K67" s="2788" t="s">
        <v>1423</v>
      </c>
      <c r="L67" s="2775"/>
      <c r="M67" s="2776"/>
    </row>
    <row r="68" spans="1:44" ht="15" customHeight="1" x14ac:dyDescent="0.2">
      <c r="C68" s="936"/>
      <c r="D68" s="930"/>
      <c r="E68" s="2280" t="s">
        <v>455</v>
      </c>
      <c r="F68" s="2280" t="s">
        <v>454</v>
      </c>
      <c r="G68" s="2280"/>
      <c r="H68" s="2279" t="s">
        <v>88</v>
      </c>
      <c r="I68" s="2280" t="s">
        <v>454</v>
      </c>
      <c r="J68" s="2341" t="s">
        <v>1352</v>
      </c>
      <c r="K68" s="943" t="s">
        <v>455</v>
      </c>
      <c r="L68" s="2280" t="s">
        <v>454</v>
      </c>
      <c r="M68" s="2341" t="s">
        <v>1352</v>
      </c>
    </row>
    <row r="69" spans="1:44" x14ac:dyDescent="0.2">
      <c r="C69" s="937"/>
      <c r="D69" s="944" t="s">
        <v>16</v>
      </c>
      <c r="E69" s="945" t="s">
        <v>17</v>
      </c>
      <c r="F69" s="945" t="s">
        <v>17</v>
      </c>
      <c r="G69" s="945" t="s">
        <v>18</v>
      </c>
      <c r="H69" s="944" t="s">
        <v>112</v>
      </c>
      <c r="I69" s="945" t="s">
        <v>112</v>
      </c>
      <c r="J69" s="946" t="s">
        <v>112</v>
      </c>
      <c r="K69" s="944" t="s">
        <v>112</v>
      </c>
      <c r="L69" s="945" t="s">
        <v>112</v>
      </c>
      <c r="M69" s="946" t="s">
        <v>112</v>
      </c>
    </row>
    <row r="70" spans="1:44" s="76" customFormat="1" x14ac:dyDescent="0.2">
      <c r="A70" s="74"/>
      <c r="B70" s="74"/>
      <c r="C70" s="252" t="s">
        <v>113</v>
      </c>
      <c r="D70" s="253">
        <f>D63/1000</f>
        <v>1622.3648134456564</v>
      </c>
      <c r="E70" s="253">
        <f>E63/1000</f>
        <v>6309.6868665585007</v>
      </c>
      <c r="F70" s="253">
        <f>E64/1000</f>
        <v>1977.6678665585005</v>
      </c>
      <c r="G70" s="253">
        <f>F63/1000</f>
        <v>1865.8197123721604</v>
      </c>
      <c r="H70" s="255">
        <f>G63/1000</f>
        <v>9797.8713923763189</v>
      </c>
      <c r="I70" s="253">
        <f>G64/1000</f>
        <v>5465.8523923763187</v>
      </c>
      <c r="J70" s="254">
        <f>G65/1000</f>
        <v>4527.499175249357</v>
      </c>
      <c r="K70" s="255">
        <f>H63</f>
        <v>2063.1193502997157</v>
      </c>
      <c r="L70" s="253">
        <f>H64</f>
        <v>1150.9342575539351</v>
      </c>
      <c r="M70" s="254">
        <f>H65</f>
        <v>953.34698556984188</v>
      </c>
      <c r="N70" s="2149"/>
      <c r="O70" s="2149">
        <f t="shared" ref="O70:O72" si="19">H70/1000</f>
        <v>9.7978713923763188</v>
      </c>
      <c r="P70" s="2149">
        <f t="shared" ref="P70:P72" si="20">I70/1000</f>
        <v>5.4658523923763189</v>
      </c>
      <c r="Q70" s="2149">
        <f t="shared" ref="Q70:Q72" si="21">J70/1000</f>
        <v>4.527499175249357</v>
      </c>
      <c r="R70" s="74"/>
      <c r="S70" s="74"/>
      <c r="T70" s="74"/>
      <c r="U70" s="74"/>
      <c r="V70" s="75"/>
      <c r="W70" s="74"/>
      <c r="X70" s="74"/>
      <c r="Y70" s="74"/>
      <c r="Z70" s="74"/>
      <c r="AA70" s="74"/>
      <c r="AB70" s="74"/>
      <c r="AC70" s="74"/>
      <c r="AD70" s="74"/>
      <c r="AE70" s="74"/>
      <c r="AF70" s="74"/>
      <c r="AG70" s="74"/>
      <c r="AH70" s="74"/>
      <c r="AI70" s="74"/>
      <c r="AJ70" s="74"/>
      <c r="AK70" s="74"/>
      <c r="AL70" s="74"/>
      <c r="AM70" s="74"/>
      <c r="AN70" s="74"/>
      <c r="AO70" s="74"/>
      <c r="AP70" s="74"/>
      <c r="AQ70" s="74"/>
      <c r="AR70" s="74"/>
    </row>
    <row r="71" spans="1:44" x14ac:dyDescent="0.2">
      <c r="C71" s="256" t="s">
        <v>114</v>
      </c>
      <c r="D71" s="253">
        <f>I63/1000</f>
        <v>749.60978106284165</v>
      </c>
      <c r="E71" s="253">
        <f>J63/1000</f>
        <v>3169.2781339922763</v>
      </c>
      <c r="F71" s="253">
        <f>J64/1000</f>
        <v>2285.656133992276</v>
      </c>
      <c r="G71" s="253">
        <f>K63/1000</f>
        <v>1606.132426156151</v>
      </c>
      <c r="H71" s="255">
        <f>L63/1000</f>
        <v>5525.0203412112687</v>
      </c>
      <c r="I71" s="253">
        <f>L64/1000</f>
        <v>4641.3983412112684</v>
      </c>
      <c r="J71" s="254">
        <f>L65/1000</f>
        <v>3633.3580000000002</v>
      </c>
      <c r="K71" s="255">
        <f>M63</f>
        <v>1163.3931412512566</v>
      </c>
      <c r="L71" s="253">
        <f>M64</f>
        <v>977.33051871377177</v>
      </c>
      <c r="M71" s="254">
        <f>M65</f>
        <v>765.06936008559171</v>
      </c>
      <c r="N71" s="2149"/>
      <c r="O71" s="2149">
        <f t="shared" si="19"/>
        <v>5.5250203412112686</v>
      </c>
      <c r="P71" s="2149">
        <f t="shared" si="20"/>
        <v>4.6413983412112687</v>
      </c>
      <c r="Q71" s="2149">
        <f t="shared" si="21"/>
        <v>3.6333580000000003</v>
      </c>
    </row>
    <row r="72" spans="1:44" x14ac:dyDescent="0.2">
      <c r="C72" s="256" t="s">
        <v>38</v>
      </c>
      <c r="D72" s="253">
        <f>Q63/1000</f>
        <v>246.55708655434373</v>
      </c>
      <c r="E72" s="253">
        <f>R63/1000</f>
        <v>133.20616346764379</v>
      </c>
      <c r="F72" s="253">
        <f>E72</f>
        <v>133.20616346764379</v>
      </c>
      <c r="G72" s="253">
        <f>S63/1000</f>
        <v>10.096274728666907</v>
      </c>
      <c r="H72" s="255">
        <f>T63/1000</f>
        <v>389.85952475065443</v>
      </c>
      <c r="I72" s="253">
        <f>T64/1000</f>
        <v>389.85952475065443</v>
      </c>
      <c r="J72" s="254">
        <f>T65/1000</f>
        <v>389.85952475064397</v>
      </c>
      <c r="K72" s="255">
        <f>U63</f>
        <v>82.091986840893767</v>
      </c>
      <c r="L72" s="253">
        <f>U64</f>
        <v>82.091986840894236</v>
      </c>
      <c r="M72" s="254">
        <f>U65</f>
        <v>82.091986840891565</v>
      </c>
      <c r="N72" s="2149"/>
      <c r="O72" s="2149">
        <f t="shared" si="19"/>
        <v>0.38985952475065444</v>
      </c>
      <c r="P72" s="2149">
        <f t="shared" si="20"/>
        <v>0.38985952475065444</v>
      </c>
      <c r="Q72" s="2149">
        <f t="shared" si="21"/>
        <v>0.38985952475064395</v>
      </c>
    </row>
    <row r="73" spans="1:44" x14ac:dyDescent="0.2">
      <c r="C73" s="252" t="s">
        <v>116</v>
      </c>
      <c r="D73" s="257">
        <f t="shared" ref="D73:J73" si="22">SUM(D71:D72)/D74</f>
        <v>0.38042956471424055</v>
      </c>
      <c r="E73" s="257">
        <f t="shared" si="22"/>
        <v>0.34357318873203446</v>
      </c>
      <c r="F73" s="257">
        <f t="shared" si="22"/>
        <v>0.55017529897920325</v>
      </c>
      <c r="G73" s="257">
        <f t="shared" si="22"/>
        <v>0.46416031860196277</v>
      </c>
      <c r="H73" s="259">
        <f t="shared" si="22"/>
        <v>0.37643820415110879</v>
      </c>
      <c r="I73" s="257">
        <f t="shared" si="22"/>
        <v>0.47929932544677328</v>
      </c>
      <c r="J73" s="258">
        <f t="shared" si="22"/>
        <v>0.47051231679218702</v>
      </c>
      <c r="K73" s="259">
        <f>SUM(K71:K72)/K74</f>
        <v>0.37643820415110885</v>
      </c>
      <c r="L73" s="257">
        <f>SUM(L71:L72)/L74</f>
        <v>0.47929932544677339</v>
      </c>
      <c r="M73" s="258">
        <f>SUM(M71:M72)/M74</f>
        <v>0.47051231679218697</v>
      </c>
      <c r="N73" s="2150"/>
      <c r="O73" s="2150">
        <f>H73*1000</f>
        <v>376.43820415110878</v>
      </c>
      <c r="P73" s="2150">
        <f t="shared" ref="P73:Q73" si="23">I73*1000</f>
        <v>479.29932544677331</v>
      </c>
      <c r="Q73" s="2150">
        <f t="shared" si="23"/>
        <v>470.51231679218705</v>
      </c>
    </row>
    <row r="74" spans="1:44" x14ac:dyDescent="0.2">
      <c r="C74" s="260" t="s">
        <v>117</v>
      </c>
      <c r="D74" s="261">
        <f t="shared" ref="D74:J74" si="24">SUM(D70:D72)</f>
        <v>2618.5316810628415</v>
      </c>
      <c r="E74" s="261">
        <f t="shared" si="24"/>
        <v>9612.1711640184203</v>
      </c>
      <c r="F74" s="261">
        <f t="shared" si="24"/>
        <v>4396.5301640184198</v>
      </c>
      <c r="G74" s="261">
        <f t="shared" si="24"/>
        <v>3482.0484132569782</v>
      </c>
      <c r="H74" s="263">
        <f t="shared" si="24"/>
        <v>15712.751258338243</v>
      </c>
      <c r="I74" s="2412">
        <f t="shared" si="24"/>
        <v>10497.110258338242</v>
      </c>
      <c r="J74" s="262">
        <f t="shared" si="24"/>
        <v>8550.7167000000009</v>
      </c>
      <c r="K74" s="263">
        <f>SUM(K70:K72)</f>
        <v>3308.604478391866</v>
      </c>
      <c r="L74" s="2412">
        <f>SUM(L70:L72)</f>
        <v>2210.3567631086012</v>
      </c>
      <c r="M74" s="262">
        <f>SUM(M70:M72)</f>
        <v>1800.5083324963252</v>
      </c>
      <c r="N74" s="2149"/>
      <c r="O74" s="2149">
        <f>H74/1000</f>
        <v>15.712751258338242</v>
      </c>
      <c r="P74" s="2149">
        <f t="shared" ref="P74:Q74" si="25">I74/1000</f>
        <v>10.497110258338243</v>
      </c>
      <c r="Q74" s="2149">
        <f t="shared" si="25"/>
        <v>8.5507167000000006</v>
      </c>
    </row>
    <row r="75" spans="1:44" s="76" customFormat="1" x14ac:dyDescent="0.2">
      <c r="A75" s="74"/>
      <c r="B75" s="74"/>
      <c r="C75" s="2076" t="s">
        <v>1308</v>
      </c>
      <c r="D75" s="2439">
        <f>D74/Pop_Qld*1000000</f>
        <v>551.37929089140039</v>
      </c>
      <c r="E75" s="2439">
        <f>E74/Pop_Qld*1000000</f>
        <v>2024.0168024975108</v>
      </c>
      <c r="F75" s="2439">
        <f>F74/Pop_Qld*1000000</f>
        <v>925.76908721424479</v>
      </c>
      <c r="G75" s="2439">
        <f>G74/Pop_Qld*1000000</f>
        <v>733.20838500295497</v>
      </c>
      <c r="H75" s="74"/>
      <c r="I75" s="74"/>
      <c r="J75" s="74"/>
      <c r="K75" s="74"/>
      <c r="L75" s="74"/>
      <c r="M75" s="74"/>
      <c r="N75" s="2076" t="s">
        <v>1146</v>
      </c>
      <c r="O75" s="2076" t="s">
        <v>1147</v>
      </c>
      <c r="P75" s="2076" t="s">
        <v>1148</v>
      </c>
      <c r="Q75" s="2076" t="s">
        <v>1149</v>
      </c>
      <c r="R75" s="2076" t="s">
        <v>1312</v>
      </c>
      <c r="S75" s="74"/>
      <c r="T75" s="74"/>
      <c r="U75" s="74"/>
      <c r="V75" s="75"/>
      <c r="W75" s="74"/>
      <c r="X75" s="74"/>
      <c r="Y75" s="74"/>
      <c r="Z75" s="74"/>
      <c r="AA75" s="74"/>
      <c r="AB75" s="74"/>
      <c r="AC75" s="74"/>
      <c r="AD75" s="74"/>
      <c r="AE75" s="74"/>
      <c r="AF75" s="74"/>
      <c r="AG75" s="74"/>
      <c r="AH75" s="74"/>
      <c r="AI75" s="74"/>
      <c r="AJ75" s="74"/>
      <c r="AK75" s="74"/>
      <c r="AL75" s="74"/>
      <c r="AM75" s="74"/>
      <c r="AN75" s="74"/>
      <c r="AO75" s="74"/>
      <c r="AP75" s="74"/>
      <c r="AQ75" s="74"/>
      <c r="AR75" s="74"/>
    </row>
    <row r="76" spans="1:44" x14ac:dyDescent="0.2">
      <c r="C76" s="76"/>
      <c r="D76" s="76"/>
      <c r="E76" s="76"/>
      <c r="F76" s="76"/>
      <c r="G76" s="76"/>
      <c r="H76" s="76"/>
      <c r="I76" s="76"/>
      <c r="J76" s="76"/>
      <c r="N76" s="2076" t="s">
        <v>1367</v>
      </c>
      <c r="O76" s="2076" t="s">
        <v>1309</v>
      </c>
      <c r="P76" s="2076" t="s">
        <v>1367</v>
      </c>
      <c r="Q76" s="2076" t="s">
        <v>1309</v>
      </c>
      <c r="R76" s="2076" t="s">
        <v>1367</v>
      </c>
      <c r="S76" s="2076" t="s">
        <v>1309</v>
      </c>
    </row>
    <row r="77" spans="1:44" x14ac:dyDescent="0.2">
      <c r="C77" s="941"/>
      <c r="D77" s="2775" t="s">
        <v>410</v>
      </c>
      <c r="E77" s="2775"/>
      <c r="F77" s="2775"/>
      <c r="G77" s="2776"/>
      <c r="H77" s="942"/>
      <c r="I77" s="2788" t="s">
        <v>1311</v>
      </c>
      <c r="J77" s="2775"/>
      <c r="K77" s="2775"/>
      <c r="L77" s="2776"/>
    </row>
    <row r="78" spans="1:44" ht="25.5" x14ac:dyDescent="0.2">
      <c r="C78" s="940"/>
      <c r="D78" s="947" t="s">
        <v>113</v>
      </c>
      <c r="E78" s="947" t="s">
        <v>114</v>
      </c>
      <c r="F78" s="947" t="s">
        <v>38</v>
      </c>
      <c r="G78" s="948" t="s">
        <v>117</v>
      </c>
      <c r="H78" s="949" t="s">
        <v>116</v>
      </c>
      <c r="I78" s="2148" t="s">
        <v>113</v>
      </c>
      <c r="J78" s="947" t="s">
        <v>114</v>
      </c>
      <c r="K78" s="947" t="s">
        <v>38</v>
      </c>
      <c r="L78" s="948" t="s">
        <v>117</v>
      </c>
    </row>
    <row r="79" spans="1:44" s="77" customFormat="1" x14ac:dyDescent="0.2">
      <c r="A79" s="74"/>
      <c r="B79" s="2130" t="s">
        <v>1121</v>
      </c>
      <c r="C79" s="264" t="s">
        <v>25</v>
      </c>
      <c r="D79" s="253">
        <f>G11/1000</f>
        <v>1479.6128268841317</v>
      </c>
      <c r="E79" s="253">
        <f>L11/1000</f>
        <v>1318.3409999999999</v>
      </c>
      <c r="F79" s="253">
        <f>T11/1000</f>
        <v>0</v>
      </c>
      <c r="G79" s="254">
        <f t="shared" ref="G79:G87" si="26">SUM(D79:F79)</f>
        <v>2797.9538268841316</v>
      </c>
      <c r="H79" s="938">
        <f t="shared" ref="H79:H87" si="27">SUM(E79:F79)/G79</f>
        <v>0.47118039880884527</v>
      </c>
      <c r="I79" s="255">
        <f>H11</f>
        <v>311.55928995674964</v>
      </c>
      <c r="J79" s="253">
        <f>M11</f>
        <v>277.6005847055531</v>
      </c>
      <c r="K79" s="253">
        <f>U11</f>
        <v>0</v>
      </c>
      <c r="L79" s="254">
        <f>SUM(I79:K79)</f>
        <v>589.15987466230274</v>
      </c>
      <c r="M79" s="74"/>
      <c r="N79" s="74"/>
      <c r="O79" s="74"/>
      <c r="P79" s="74"/>
      <c r="Q79" s="74"/>
      <c r="R79" s="74"/>
      <c r="S79" s="74"/>
      <c r="T79" s="74"/>
      <c r="U79" s="74"/>
      <c r="V79" s="75"/>
      <c r="W79" s="74"/>
      <c r="X79" s="74"/>
      <c r="Y79" s="74"/>
      <c r="Z79" s="74"/>
      <c r="AA79" s="74"/>
      <c r="AB79" s="74"/>
      <c r="AC79" s="74"/>
      <c r="AD79" s="74"/>
      <c r="AE79" s="74"/>
      <c r="AF79" s="74"/>
      <c r="AG79" s="74"/>
      <c r="AH79" s="74"/>
      <c r="AI79" s="74"/>
      <c r="AJ79" s="74"/>
      <c r="AK79" s="74"/>
      <c r="AL79" s="74"/>
      <c r="AM79" s="74"/>
      <c r="AN79" s="74"/>
      <c r="AO79" s="74"/>
      <c r="AP79" s="74"/>
      <c r="AQ79" s="74"/>
      <c r="AR79" s="74"/>
    </row>
    <row r="80" spans="1:44" x14ac:dyDescent="0.2">
      <c r="B80" s="2130" t="s">
        <v>28</v>
      </c>
      <c r="C80" s="264" t="s">
        <v>28</v>
      </c>
      <c r="D80" s="253">
        <f>G15/1000</f>
        <v>175.08108697693243</v>
      </c>
      <c r="E80" s="253">
        <f>L15/1000</f>
        <v>806.19299999999998</v>
      </c>
      <c r="F80" s="253">
        <f>T15/1000</f>
        <v>0</v>
      </c>
      <c r="G80" s="254">
        <f t="shared" si="26"/>
        <v>981.27408697693238</v>
      </c>
      <c r="H80" s="938">
        <f t="shared" si="27"/>
        <v>0.8215777943180842</v>
      </c>
      <c r="I80" s="255">
        <f>H15</f>
        <v>36.866495175133174</v>
      </c>
      <c r="J80" s="253">
        <f>M15</f>
        <v>169.75854364350647</v>
      </c>
      <c r="K80" s="253">
        <f>U15</f>
        <v>0</v>
      </c>
      <c r="L80" s="254">
        <f t="shared" ref="L80:L87" si="28">SUM(I80:K80)</f>
        <v>206.62503881863964</v>
      </c>
    </row>
    <row r="81" spans="1:50" x14ac:dyDescent="0.2">
      <c r="B81" s="2130" t="s">
        <v>22</v>
      </c>
      <c r="C81" s="264" t="s">
        <v>22</v>
      </c>
      <c r="D81" s="253">
        <f>G21/1000</f>
        <v>1540.8385449528648</v>
      </c>
      <c r="E81" s="253">
        <f>L21/1000</f>
        <v>908.16700000000003</v>
      </c>
      <c r="F81" s="253">
        <f>T21/1000</f>
        <v>306.41160578317567</v>
      </c>
      <c r="G81" s="254">
        <f t="shared" si="26"/>
        <v>2755.4171507360406</v>
      </c>
      <c r="H81" s="938">
        <f t="shared" si="27"/>
        <v>0.44079663417161041</v>
      </c>
      <c r="I81" s="255">
        <f>H21</f>
        <v>324.45147425117551</v>
      </c>
      <c r="J81" s="253">
        <f>M21</f>
        <v>191.23101702085276</v>
      </c>
      <c r="K81" s="253">
        <f>U21</f>
        <v>64.520515500903798</v>
      </c>
      <c r="L81" s="254">
        <f t="shared" si="28"/>
        <v>580.2030067729321</v>
      </c>
    </row>
    <row r="82" spans="1:50" x14ac:dyDescent="0.2">
      <c r="B82" s="2130" t="s">
        <v>1120</v>
      </c>
      <c r="C82" s="264" t="s">
        <v>20</v>
      </c>
      <c r="D82" s="253">
        <f>G26/1000</f>
        <v>444.69794756142983</v>
      </c>
      <c r="E82" s="253">
        <f>L26/1000</f>
        <v>495.44200000000001</v>
      </c>
      <c r="F82" s="253">
        <f>T26/1000</f>
        <v>67.12164964669202</v>
      </c>
      <c r="G82" s="254">
        <f t="shared" si="26"/>
        <v>1007.2615972081219</v>
      </c>
      <c r="H82" s="938">
        <f t="shared" si="27"/>
        <v>0.55850798958878045</v>
      </c>
      <c r="I82" s="255">
        <f>H26</f>
        <v>93.639210386699901</v>
      </c>
      <c r="J82" s="253">
        <f>M26</f>
        <v>104.32429006432224</v>
      </c>
      <c r="K82" s="253">
        <f>U26</f>
        <v>14.133679517152988</v>
      </c>
      <c r="L82" s="254">
        <f t="shared" si="28"/>
        <v>212.09717996817511</v>
      </c>
    </row>
    <row r="83" spans="1:50" x14ac:dyDescent="0.2">
      <c r="B83" s="2130" t="s">
        <v>32</v>
      </c>
      <c r="C83" s="264" t="s">
        <v>32</v>
      </c>
      <c r="D83" s="253">
        <f>G36/1000</f>
        <v>611.41043561576316</v>
      </c>
      <c r="E83" s="253">
        <f>L36/1000</f>
        <v>36</v>
      </c>
      <c r="F83" s="253">
        <f>T36/1000</f>
        <v>0</v>
      </c>
      <c r="G83" s="254">
        <f t="shared" si="26"/>
        <v>647.41043561576316</v>
      </c>
      <c r="H83" s="938">
        <f t="shared" si="27"/>
        <v>5.5606147228318588E-2</v>
      </c>
      <c r="I83" s="255">
        <f>H36</f>
        <v>128.74354542717916</v>
      </c>
      <c r="J83" s="253">
        <f>M36</f>
        <v>7.5804522876857447</v>
      </c>
      <c r="K83" s="253">
        <f>U36</f>
        <v>0</v>
      </c>
      <c r="L83" s="254">
        <f t="shared" si="28"/>
        <v>136.3239977148649</v>
      </c>
      <c r="AE83" s="79"/>
      <c r="AF83" s="79"/>
      <c r="AG83" s="79"/>
      <c r="AH83" s="79"/>
      <c r="AI83" s="79"/>
      <c r="AJ83" s="79"/>
    </row>
    <row r="84" spans="1:50" s="77" customFormat="1" x14ac:dyDescent="0.2">
      <c r="A84" s="74"/>
      <c r="B84" s="2130" t="s">
        <v>30</v>
      </c>
      <c r="C84" s="264" t="s">
        <v>30</v>
      </c>
      <c r="D84" s="253">
        <f>G37/1000</f>
        <v>132.71580473637073</v>
      </c>
      <c r="E84" s="253">
        <f>L37/1000</f>
        <v>69.215000000000003</v>
      </c>
      <c r="F84" s="253">
        <f>T37/1000</f>
        <v>0</v>
      </c>
      <c r="G84" s="254">
        <f t="shared" si="26"/>
        <v>201.93080473637073</v>
      </c>
      <c r="H84" s="938">
        <f t="shared" si="27"/>
        <v>0.34276592959832519</v>
      </c>
      <c r="I84" s="255">
        <f>H37</f>
        <v>27.945717378496557</v>
      </c>
      <c r="J84" s="253">
        <f>M37</f>
        <v>14.574472363671356</v>
      </c>
      <c r="K84" s="253">
        <f>U37</f>
        <v>0</v>
      </c>
      <c r="L84" s="254">
        <f t="shared" si="28"/>
        <v>42.520189742167915</v>
      </c>
      <c r="M84" s="74"/>
      <c r="N84" s="74"/>
      <c r="O84" s="74"/>
      <c r="P84" s="74"/>
      <c r="Q84" s="74"/>
      <c r="R84" s="74"/>
      <c r="S84" s="74"/>
      <c r="AB84" s="74"/>
      <c r="AC84" s="74"/>
      <c r="AD84" s="74"/>
      <c r="AE84" s="80"/>
      <c r="AF84" s="80"/>
      <c r="AG84" s="80"/>
      <c r="AH84" s="81"/>
      <c r="AI84" s="81"/>
      <c r="AJ84" s="82"/>
      <c r="AK84" s="74"/>
      <c r="AL84" s="74"/>
      <c r="AM84" s="74"/>
      <c r="AN84" s="74"/>
      <c r="AO84" s="74"/>
      <c r="AP84" s="74"/>
      <c r="AQ84" s="74"/>
      <c r="AR84" s="74"/>
      <c r="AS84" s="74"/>
      <c r="AT84" s="74"/>
      <c r="AU84" s="74"/>
      <c r="AV84" s="74"/>
      <c r="AW84" s="74"/>
      <c r="AX84" s="74"/>
    </row>
    <row r="85" spans="1:50" s="76" customFormat="1" x14ac:dyDescent="0.2">
      <c r="A85" s="74"/>
      <c r="B85" s="2130" t="s">
        <v>27</v>
      </c>
      <c r="C85" s="264" t="s">
        <v>27</v>
      </c>
      <c r="D85" s="253">
        <f>G40/1000</f>
        <v>143.14252852186328</v>
      </c>
      <c r="E85" s="253">
        <f>L40/1000</f>
        <v>0</v>
      </c>
      <c r="F85" s="253">
        <f>T40/1000</f>
        <v>16.326269320776323</v>
      </c>
      <c r="G85" s="254">
        <f t="shared" si="26"/>
        <v>159.46879784263962</v>
      </c>
      <c r="H85" s="938">
        <f t="shared" si="27"/>
        <v>0.10237908319147633</v>
      </c>
      <c r="I85" s="255">
        <f>H40</f>
        <v>30.14125299440779</v>
      </c>
      <c r="J85" s="253">
        <f>M40</f>
        <v>0</v>
      </c>
      <c r="K85" s="253">
        <f>U40</f>
        <v>3.4377918228347912</v>
      </c>
      <c r="L85" s="254">
        <f t="shared" si="28"/>
        <v>33.579044817242583</v>
      </c>
      <c r="M85" s="74"/>
      <c r="N85" s="74"/>
      <c r="O85" s="74"/>
      <c r="P85" s="74"/>
      <c r="Q85" s="74"/>
      <c r="R85" s="74"/>
      <c r="S85" s="74"/>
      <c r="AB85" s="74"/>
      <c r="AC85" s="74"/>
      <c r="AD85" s="74"/>
      <c r="AE85" s="80"/>
      <c r="AF85" s="80"/>
      <c r="AG85" s="80"/>
      <c r="AH85" s="81"/>
      <c r="AI85" s="81"/>
      <c r="AJ85" s="82"/>
      <c r="AK85" s="74"/>
      <c r="AL85" s="74"/>
      <c r="AM85" s="74"/>
      <c r="AN85" s="74"/>
      <c r="AO85" s="74"/>
      <c r="AP85" s="74"/>
      <c r="AQ85" s="74"/>
      <c r="AR85" s="74"/>
      <c r="AS85" s="74"/>
      <c r="AT85" s="74"/>
      <c r="AU85" s="74"/>
      <c r="AV85" s="74"/>
      <c r="AW85" s="74"/>
      <c r="AX85" s="74"/>
    </row>
    <row r="86" spans="1:50" s="76" customFormat="1" x14ac:dyDescent="0.2">
      <c r="A86" s="74"/>
      <c r="B86" s="2130" t="s">
        <v>1370</v>
      </c>
      <c r="C86" s="264" t="s">
        <v>35</v>
      </c>
      <c r="D86" s="253">
        <f>SUM(G58:G59)/1000</f>
        <v>938.35321712696214</v>
      </c>
      <c r="E86" s="253">
        <f>SUM(L58:L59)/1000</f>
        <v>1008.0403412112687</v>
      </c>
      <c r="F86" s="253">
        <f>SUM(T58:T59)/1000</f>
        <v>1.0394988475455234E-11</v>
      </c>
      <c r="G86" s="254">
        <f t="shared" si="26"/>
        <v>1946.3935583382413</v>
      </c>
      <c r="H86" s="938">
        <f t="shared" si="27"/>
        <v>0.51790160160204524</v>
      </c>
      <c r="I86" s="255">
        <f>SUM(H58:H59)</f>
        <v>197.58727198409329</v>
      </c>
      <c r="J86" s="253">
        <f>SUM(M58:M59)</f>
        <v>212.26115862818</v>
      </c>
      <c r="K86" s="253">
        <f>SUM(U58:U59)</f>
        <v>2.1888531713675439E-12</v>
      </c>
      <c r="L86" s="254">
        <f t="shared" si="28"/>
        <v>409.84843061227554</v>
      </c>
      <c r="M86" s="74"/>
      <c r="N86" s="74"/>
      <c r="O86" s="74"/>
      <c r="P86" s="74"/>
      <c r="Q86" s="74"/>
      <c r="R86" s="74"/>
      <c r="S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row>
    <row r="87" spans="1:50" x14ac:dyDescent="0.2">
      <c r="B87" s="2130" t="s">
        <v>2</v>
      </c>
      <c r="C87" s="265" t="s">
        <v>2</v>
      </c>
      <c r="D87" s="261">
        <f>G60/1000</f>
        <v>4332.0190000000002</v>
      </c>
      <c r="E87" s="261">
        <f>L60/1000</f>
        <v>883.62199999999996</v>
      </c>
      <c r="F87" s="261">
        <f>T60/1000</f>
        <v>0</v>
      </c>
      <c r="G87" s="266">
        <f t="shared" si="26"/>
        <v>5215.6410000000005</v>
      </c>
      <c r="H87" s="939">
        <f t="shared" si="27"/>
        <v>0.16941771874252845</v>
      </c>
      <c r="I87" s="1677">
        <f>H60</f>
        <v>912.18509274578082</v>
      </c>
      <c r="J87" s="261">
        <f>M60</f>
        <v>186.06262253748483</v>
      </c>
      <c r="K87" s="261">
        <f>U60</f>
        <v>0</v>
      </c>
      <c r="L87" s="266">
        <f t="shared" si="28"/>
        <v>1098.2477152832657</v>
      </c>
      <c r="AB87" s="76"/>
      <c r="AC87" s="76"/>
      <c r="AE87" s="76"/>
      <c r="AF87" s="76"/>
      <c r="AG87" s="76"/>
      <c r="AH87" s="76"/>
      <c r="AI87" s="76"/>
      <c r="AJ87" s="76"/>
      <c r="AK87" s="76"/>
      <c r="AL87" s="76"/>
      <c r="AM87" s="76"/>
      <c r="AN87" s="76"/>
      <c r="AO87" s="76"/>
      <c r="AP87" s="76"/>
      <c r="AQ87" s="76"/>
      <c r="AR87" s="76"/>
      <c r="AS87" s="76"/>
      <c r="AT87" s="76"/>
      <c r="AU87" s="76"/>
      <c r="AV87" s="76"/>
      <c r="AW87" s="76"/>
      <c r="AX87" s="76"/>
    </row>
    <row r="88" spans="1:50" x14ac:dyDescent="0.2">
      <c r="C88" s="2240" t="s">
        <v>1438</v>
      </c>
      <c r="D88" s="2331">
        <f>D16/1000</f>
        <v>531.09411358460159</v>
      </c>
      <c r="E88" s="2331">
        <f>I16/1000</f>
        <v>15.458981594058905</v>
      </c>
      <c r="F88" s="2331">
        <f>Q16/1000</f>
        <v>82.977736415398397</v>
      </c>
      <c r="G88" s="2422">
        <f t="shared" ref="G88" si="29">SUM(D88:F88)</f>
        <v>629.53083159405878</v>
      </c>
      <c r="H88" s="2566">
        <f>SUM(E88:F88)/G88</f>
        <v>0.15636520575203916</v>
      </c>
      <c r="I88" s="2567"/>
      <c r="J88" s="2331"/>
      <c r="K88" s="2331"/>
      <c r="L88" s="1652"/>
    </row>
    <row r="89" spans="1:50" s="76" customFormat="1" x14ac:dyDescent="0.2">
      <c r="A89" s="74"/>
      <c r="B89" s="74"/>
      <c r="C89" s="1641" t="s">
        <v>1439</v>
      </c>
      <c r="D89" s="2314">
        <f>G16/1000</f>
        <v>817.71763950908041</v>
      </c>
      <c r="E89" s="2314">
        <f>L16/1000</f>
        <v>68.191999999999993</v>
      </c>
      <c r="F89" s="2314">
        <f>T16/1000</f>
        <v>127.75957597315296</v>
      </c>
      <c r="G89" s="254">
        <f t="shared" ref="G89:G91" si="30">SUM(D89:F89)</f>
        <v>1013.6692154822334</v>
      </c>
      <c r="H89" s="938">
        <f>SUM(E89:F89)/G89</f>
        <v>0.19330919098685739</v>
      </c>
      <c r="I89" s="2568"/>
      <c r="J89" s="2314"/>
      <c r="K89" s="2314"/>
      <c r="L89" s="253"/>
      <c r="M89" s="74"/>
      <c r="N89" s="74"/>
      <c r="O89" s="74"/>
      <c r="P89" s="74"/>
      <c r="Q89" s="74"/>
      <c r="R89" s="74"/>
      <c r="S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row>
    <row r="90" spans="1:50" x14ac:dyDescent="0.2">
      <c r="C90" s="1641" t="s">
        <v>1437</v>
      </c>
      <c r="D90" s="2314">
        <f>(SUMIFS('Basel data'!$E$8:$E$604,'Basel data'!$C$8:$C$604,"K100",'Basel data'!$G$8:$G$604,"queensland")+SUMIFS('Basel data'!$F$8:$F$604,'Basel data'!$C$8:$C$604,"K100",'Basel data'!$G$8:$G$604,"queensland")+SUMIFS('Basel data'!$E$8:$E$604,'Basel data'!$C$8:$C$604,"K110",'Basel data'!$G$8:$G$604,"queensland")+SUMIFS('Basel data'!$F$8:$F$604,'Basel data'!$C$8:$C$604,"K110",'Basel data'!$G$8:$G$604,"queensland"))*(1-SUM('Other national data'!M432:N432))/1000</f>
        <v>13.962358620234403</v>
      </c>
      <c r="E90" s="2314">
        <f>(SUMIFS('Basel data'!$E$8:$E$604,'Basel data'!$C$8:$C$604,"K100",'Basel data'!$G$8:$G$604,"queensland")+SUMIFS('Basel data'!$F$8:$F$604,'Basel data'!$C$8:$C$604,"K100",'Basel data'!$G$8:$G$604,"queensland")+SUMIFS('Basel data'!$E$8:$E$604,'Basel data'!$C$8:$C$604,"K110",'Basel data'!$G$8:$G$604,"queensland")+SUMIFS('Basel data'!$F$8:$F$604,'Basel data'!$C$8:$C$604,"K110",'Basel data'!$G$8:$G$604,"queensland"))*'Other national data'!M432/1000</f>
        <v>262.43353778643319</v>
      </c>
      <c r="F90" s="2314">
        <f>(SUMIFS('Basel data'!$E$8:$E$604,'Basel data'!$C$8:$C$604,"K100",'Basel data'!$G$8:$G$604,"queensland")+SUMIFS('Basel data'!$F$8:$F$604,'Basel data'!$C$8:$C$604,"K100",'Basel data'!$G$8:$G$604,"queensland")+SUMIFS('Basel data'!$E$8:$E$604,'Basel data'!$C$8:$C$604,"K110",'Basel data'!$G$8:$G$604,"queensland")+SUMIFS('Basel data'!$F$8:$F$604,'Basel data'!$C$8:$C$604,"K110",'Basel data'!$G$8:$G$604,"queensland"))*'Other national data'!N432/1000</f>
        <v>2.7639589640667032E-12</v>
      </c>
      <c r="G90" s="254">
        <f t="shared" si="30"/>
        <v>276.39589640667037</v>
      </c>
      <c r="H90" s="938">
        <f>SUM(E90:F90)/G90</f>
        <v>0.94948420435413727</v>
      </c>
      <c r="I90" s="2568"/>
      <c r="J90" s="2314"/>
      <c r="K90" s="2314"/>
      <c r="L90" s="253"/>
    </row>
    <row r="91" spans="1:50" x14ac:dyDescent="0.2">
      <c r="C91" s="2049" t="s">
        <v>1436</v>
      </c>
      <c r="D91" s="2315">
        <f>SUM(D89:D90)</f>
        <v>831.67999812931487</v>
      </c>
      <c r="E91" s="2315">
        <f t="shared" ref="E91:F91" si="31">SUM(E89:E90)</f>
        <v>330.6255377864332</v>
      </c>
      <c r="F91" s="2315">
        <f t="shared" si="31"/>
        <v>127.75957597315572</v>
      </c>
      <c r="G91" s="266">
        <f t="shared" si="30"/>
        <v>1290.0651118889039</v>
      </c>
      <c r="H91" s="939">
        <f>SUM(E91:F91)/G91</f>
        <v>0.35531936298038852</v>
      </c>
      <c r="AB91" s="76"/>
      <c r="AC91" s="76"/>
      <c r="AE91" s="76"/>
      <c r="AF91" s="76"/>
      <c r="AG91" s="76"/>
      <c r="AH91" s="76"/>
      <c r="AI91" s="76"/>
      <c r="AJ91" s="76"/>
      <c r="AK91" s="76"/>
      <c r="AL91" s="76"/>
      <c r="AM91" s="76"/>
      <c r="AN91" s="76"/>
      <c r="AO91" s="76"/>
      <c r="AP91" s="76"/>
      <c r="AQ91" s="76"/>
      <c r="AR91" s="76"/>
      <c r="AS91" s="76"/>
      <c r="AT91" s="76"/>
      <c r="AU91" s="76"/>
      <c r="AV91" s="76"/>
      <c r="AW91" s="76"/>
      <c r="AX91" s="76"/>
    </row>
    <row r="93" spans="1:50" x14ac:dyDescent="0.2">
      <c r="C93" s="1629" t="s">
        <v>342</v>
      </c>
      <c r="D93" s="253">
        <f>SUM(G11,G15,G21,G26,G36,G37,G40,G52:G53,N63:P63)/1000</f>
        <v>5354.2305171343023</v>
      </c>
    </row>
    <row r="94" spans="1:50" s="76" customFormat="1" x14ac:dyDescent="0.2">
      <c r="A94" s="74"/>
      <c r="B94" s="74"/>
      <c r="C94" s="74"/>
      <c r="D94" s="74"/>
      <c r="E94" s="74"/>
      <c r="F94" s="74"/>
      <c r="G94" s="74"/>
      <c r="H94" s="74"/>
      <c r="I94" s="74"/>
      <c r="J94" s="74"/>
      <c r="K94" s="74"/>
      <c r="L94" s="74"/>
      <c r="M94" s="74"/>
      <c r="N94" s="74"/>
      <c r="O94" s="74"/>
      <c r="P94" s="74"/>
      <c r="Q94" s="74"/>
      <c r="R94" s="74"/>
      <c r="S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row>
    <row r="95" spans="1:50" s="76" customFormat="1" x14ac:dyDescent="0.2">
      <c r="A95" s="74"/>
      <c r="B95" s="74"/>
      <c r="C95" s="74"/>
      <c r="D95" s="74"/>
      <c r="E95" s="74"/>
      <c r="F95" s="74"/>
      <c r="G95" s="74"/>
      <c r="H95" s="74"/>
      <c r="I95" s="74"/>
      <c r="J95" s="74"/>
      <c r="K95" s="74"/>
      <c r="L95" s="74"/>
      <c r="M95" s="74"/>
      <c r="N95" s="74"/>
      <c r="O95" s="74"/>
      <c r="P95" s="74"/>
      <c r="Q95" s="74"/>
      <c r="R95" s="74"/>
      <c r="S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row>
    <row r="97" spans="1:50" x14ac:dyDescent="0.2">
      <c r="AB97" s="76"/>
      <c r="AC97" s="76"/>
      <c r="AE97" s="76"/>
      <c r="AF97" s="76"/>
      <c r="AG97" s="76"/>
      <c r="AH97" s="76"/>
      <c r="AI97" s="76"/>
      <c r="AJ97" s="76"/>
      <c r="AK97" s="76"/>
      <c r="AL97" s="76"/>
      <c r="AM97" s="76"/>
      <c r="AN97" s="76"/>
      <c r="AO97" s="76"/>
      <c r="AP97" s="76"/>
      <c r="AQ97" s="76"/>
      <c r="AR97" s="76"/>
      <c r="AS97" s="76"/>
      <c r="AT97" s="76"/>
      <c r="AU97" s="76"/>
      <c r="AV97" s="76"/>
      <c r="AW97" s="76"/>
      <c r="AX97" s="76"/>
    </row>
    <row r="102" spans="1:50" ht="12.75" customHeight="1" x14ac:dyDescent="0.2">
      <c r="AB102" s="76"/>
      <c r="AC102" s="76"/>
      <c r="AE102" s="76"/>
      <c r="AF102" s="76"/>
      <c r="AG102" s="76"/>
      <c r="AH102" s="76"/>
      <c r="AI102" s="76"/>
      <c r="AJ102" s="76"/>
      <c r="AK102" s="76"/>
      <c r="AL102" s="76"/>
      <c r="AM102" s="76"/>
      <c r="AN102" s="76"/>
      <c r="AO102" s="76"/>
      <c r="AP102" s="76"/>
      <c r="AQ102" s="76"/>
      <c r="AR102" s="76"/>
      <c r="AS102" s="76"/>
      <c r="AT102" s="76"/>
      <c r="AU102" s="76"/>
      <c r="AV102" s="76"/>
      <c r="AW102" s="76"/>
      <c r="AX102" s="76"/>
    </row>
    <row r="103" spans="1:50" x14ac:dyDescent="0.2">
      <c r="V103" s="74"/>
    </row>
    <row r="104" spans="1:50" x14ac:dyDescent="0.2">
      <c r="V104" s="74"/>
    </row>
    <row r="105" spans="1:50" x14ac:dyDescent="0.2">
      <c r="V105" s="74"/>
    </row>
    <row r="106" spans="1:50" x14ac:dyDescent="0.2">
      <c r="T106" s="77"/>
      <c r="U106" s="77"/>
      <c r="V106" s="77"/>
      <c r="W106" s="77"/>
      <c r="X106" s="77"/>
      <c r="Y106" s="77"/>
      <c r="Z106" s="77"/>
      <c r="AA106" s="77"/>
      <c r="AB106" s="77"/>
      <c r="AC106" s="77"/>
      <c r="AE106" s="77"/>
      <c r="AF106" s="77"/>
      <c r="AG106" s="77"/>
      <c r="AH106" s="77"/>
      <c r="AI106" s="77"/>
      <c r="AJ106" s="77"/>
      <c r="AK106" s="77"/>
      <c r="AL106" s="77"/>
      <c r="AM106" s="77"/>
      <c r="AN106" s="77"/>
      <c r="AO106" s="77"/>
      <c r="AP106" s="77"/>
      <c r="AQ106" s="77"/>
      <c r="AR106" s="77"/>
      <c r="AS106" s="77"/>
      <c r="AT106" s="77"/>
      <c r="AU106" s="77"/>
      <c r="AV106" s="77"/>
      <c r="AW106" s="77"/>
      <c r="AX106" s="77"/>
    </row>
    <row r="107" spans="1:50" s="76" customFormat="1" x14ac:dyDescent="0.2">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row>
    <row r="108" spans="1:50" x14ac:dyDescent="0.2">
      <c r="V108" s="74"/>
    </row>
    <row r="109" spans="1:50" x14ac:dyDescent="0.2">
      <c r="V109" s="74"/>
    </row>
    <row r="110" spans="1:50" x14ac:dyDescent="0.2">
      <c r="V110" s="74"/>
    </row>
    <row r="111" spans="1:50" s="76" customFormat="1" x14ac:dyDescent="0.2">
      <c r="A111" s="74"/>
      <c r="B111" s="74"/>
      <c r="C111" s="74"/>
      <c r="D111" s="74"/>
      <c r="E111" s="74"/>
      <c r="F111" s="74"/>
      <c r="G111" s="74"/>
      <c r="H111" s="74"/>
      <c r="I111" s="74"/>
      <c r="J111" s="74"/>
      <c r="K111" s="74"/>
      <c r="L111" s="74"/>
      <c r="M111" s="74"/>
      <c r="N111" s="74"/>
      <c r="O111" s="74"/>
      <c r="P111" s="74"/>
      <c r="Q111" s="74"/>
      <c r="R111" s="74"/>
      <c r="S111" s="74"/>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row>
    <row r="112" spans="1:50" x14ac:dyDescent="0.2">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row>
    <row r="113" spans="1:50" x14ac:dyDescent="0.2">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row>
    <row r="114" spans="1:50" x14ac:dyDescent="0.2">
      <c r="V114" s="74"/>
    </row>
    <row r="115" spans="1:50" x14ac:dyDescent="0.2">
      <c r="V115" s="74"/>
    </row>
    <row r="116" spans="1:50" x14ac:dyDescent="0.2">
      <c r="T116" s="76"/>
      <c r="U116" s="76"/>
      <c r="V116" s="76"/>
      <c r="W116" s="76"/>
      <c r="X116" s="76"/>
      <c r="Y116" s="76"/>
      <c r="Z116" s="76"/>
      <c r="AA116" s="76"/>
      <c r="AB116" s="76"/>
      <c r="AC116" s="76"/>
      <c r="AD116" s="76"/>
      <c r="AE116" s="76"/>
      <c r="AS116" s="76"/>
      <c r="AT116" s="76"/>
      <c r="AU116" s="76"/>
      <c r="AV116" s="76"/>
      <c r="AW116" s="76"/>
      <c r="AX116" s="76"/>
    </row>
    <row r="117" spans="1:50" s="76" customFormat="1" x14ac:dyDescent="0.2">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row>
    <row r="118" spans="1:50" x14ac:dyDescent="0.2">
      <c r="V118" s="74"/>
    </row>
    <row r="119" spans="1:50" x14ac:dyDescent="0.2">
      <c r="V119" s="74"/>
    </row>
    <row r="120" spans="1:50" x14ac:dyDescent="0.2">
      <c r="V120" s="74"/>
    </row>
    <row r="122" spans="1:50" s="76" customFormat="1" x14ac:dyDescent="0.2">
      <c r="A122" s="74"/>
      <c r="B122" s="74"/>
      <c r="C122" s="74"/>
      <c r="D122" s="74"/>
      <c r="E122" s="74"/>
      <c r="F122" s="74"/>
      <c r="G122" s="74"/>
      <c r="H122" s="74"/>
      <c r="I122" s="74"/>
      <c r="J122" s="74"/>
      <c r="K122" s="74"/>
      <c r="L122" s="74"/>
      <c r="M122" s="74"/>
      <c r="N122" s="74"/>
      <c r="O122" s="74"/>
      <c r="P122" s="74"/>
      <c r="Q122" s="74"/>
      <c r="R122" s="74"/>
      <c r="S122" s="74"/>
      <c r="T122" s="74"/>
      <c r="U122" s="74"/>
      <c r="V122" s="75"/>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6" spans="1:50" s="77" customFormat="1" x14ac:dyDescent="0.2">
      <c r="A126" s="74"/>
      <c r="B126" s="74"/>
      <c r="C126" s="74"/>
      <c r="D126" s="74"/>
      <c r="E126" s="74"/>
      <c r="F126" s="74"/>
      <c r="G126" s="74"/>
      <c r="H126" s="74"/>
      <c r="I126" s="74"/>
      <c r="J126" s="74"/>
      <c r="K126" s="74"/>
      <c r="L126" s="74"/>
      <c r="M126" s="74"/>
      <c r="N126" s="74"/>
      <c r="O126" s="74"/>
      <c r="P126" s="74"/>
      <c r="Q126" s="74"/>
      <c r="R126" s="74"/>
      <c r="S126" s="74"/>
      <c r="T126" s="74"/>
      <c r="U126" s="74"/>
      <c r="V126" s="75"/>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31" spans="1:44" s="77" customFormat="1" x14ac:dyDescent="0.2">
      <c r="A131" s="74"/>
      <c r="B131" s="74"/>
      <c r="C131" s="74"/>
      <c r="D131" s="74"/>
      <c r="E131" s="74"/>
      <c r="F131" s="74"/>
      <c r="G131" s="74"/>
      <c r="H131" s="74"/>
      <c r="I131" s="74"/>
      <c r="J131" s="74"/>
      <c r="K131" s="74"/>
      <c r="L131" s="74"/>
      <c r="M131" s="74"/>
      <c r="N131" s="74"/>
      <c r="O131" s="74"/>
      <c r="P131" s="74"/>
      <c r="Q131" s="74"/>
      <c r="R131" s="74"/>
      <c r="S131" s="74"/>
      <c r="T131" s="74"/>
      <c r="U131" s="74"/>
      <c r="V131" s="75"/>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spans="1:44" s="76" customFormat="1" x14ac:dyDescent="0.2">
      <c r="A132" s="74"/>
      <c r="B132" s="74"/>
      <c r="C132" s="74"/>
      <c r="D132" s="74"/>
      <c r="E132" s="74"/>
      <c r="F132" s="74"/>
      <c r="G132" s="74"/>
      <c r="H132" s="74"/>
      <c r="I132" s="74"/>
      <c r="J132" s="74"/>
      <c r="K132" s="74"/>
      <c r="L132" s="74"/>
      <c r="M132" s="74"/>
      <c r="N132" s="74"/>
      <c r="O132" s="74"/>
      <c r="P132" s="74"/>
      <c r="Q132" s="74"/>
      <c r="R132" s="74"/>
      <c r="S132" s="74"/>
      <c r="T132" s="74"/>
      <c r="U132" s="74"/>
      <c r="V132" s="75"/>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spans="1:44" s="76" customFormat="1" x14ac:dyDescent="0.2">
      <c r="A133" s="74"/>
      <c r="B133" s="74"/>
      <c r="C133" s="74"/>
      <c r="D133" s="74"/>
      <c r="E133" s="74"/>
      <c r="F133" s="74"/>
      <c r="G133" s="74"/>
      <c r="H133" s="74"/>
      <c r="I133" s="74"/>
      <c r="J133" s="74"/>
      <c r="K133" s="74"/>
      <c r="L133" s="74"/>
      <c r="M133" s="74"/>
      <c r="N133" s="74"/>
      <c r="O133" s="74"/>
      <c r="P133" s="74"/>
      <c r="Q133" s="74"/>
      <c r="R133" s="74"/>
      <c r="S133" s="74"/>
      <c r="T133" s="74"/>
      <c r="U133" s="74"/>
      <c r="V133" s="75"/>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6" spans="1:44" s="76" customFormat="1" x14ac:dyDescent="0.2">
      <c r="A136" s="74"/>
      <c r="B136" s="74"/>
      <c r="C136" s="74"/>
      <c r="D136" s="74"/>
      <c r="E136" s="74"/>
      <c r="F136" s="74"/>
      <c r="G136" s="74"/>
      <c r="H136" s="74"/>
      <c r="I136" s="74"/>
      <c r="J136" s="74"/>
      <c r="K136" s="74"/>
      <c r="L136" s="74"/>
      <c r="M136" s="74"/>
      <c r="N136" s="74"/>
      <c r="O136" s="74"/>
      <c r="P136" s="74"/>
      <c r="Q136" s="74"/>
      <c r="R136" s="74"/>
      <c r="S136" s="74"/>
      <c r="T136" s="74"/>
      <c r="U136" s="74"/>
      <c r="V136" s="75"/>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spans="1:44" x14ac:dyDescent="0.2">
      <c r="AJ137" s="76"/>
      <c r="AK137" s="76"/>
      <c r="AL137" s="76"/>
      <c r="AM137" s="76"/>
      <c r="AN137" s="76"/>
      <c r="AO137" s="76"/>
      <c r="AP137" s="76"/>
      <c r="AQ137" s="76"/>
    </row>
    <row r="141" spans="1:44" s="76" customFormat="1" x14ac:dyDescent="0.2">
      <c r="A141" s="74"/>
      <c r="B141" s="74"/>
      <c r="C141" s="74"/>
      <c r="D141" s="74"/>
      <c r="E141" s="74"/>
      <c r="F141" s="74"/>
      <c r="G141" s="74"/>
      <c r="H141" s="74"/>
      <c r="I141" s="74"/>
      <c r="J141" s="74"/>
      <c r="K141" s="74"/>
      <c r="L141" s="74"/>
      <c r="M141" s="74"/>
      <c r="N141" s="74"/>
      <c r="O141" s="74"/>
      <c r="P141" s="74"/>
      <c r="Q141" s="74"/>
      <c r="R141" s="74"/>
      <c r="S141" s="74"/>
      <c r="T141" s="74"/>
      <c r="U141" s="74"/>
      <c r="V141" s="75"/>
      <c r="W141" s="74"/>
      <c r="X141" s="74"/>
      <c r="Y141" s="74"/>
      <c r="Z141" s="74"/>
      <c r="AA141" s="74"/>
      <c r="AB141" s="74"/>
      <c r="AC141" s="74"/>
      <c r="AD141" s="74"/>
      <c r="AE141" s="74"/>
      <c r="AJ141" s="74"/>
      <c r="AK141" s="74"/>
      <c r="AL141" s="74"/>
      <c r="AM141" s="74"/>
      <c r="AN141" s="74"/>
      <c r="AO141" s="74"/>
      <c r="AP141" s="74"/>
      <c r="AQ141" s="74"/>
    </row>
    <row r="142" spans="1:44" s="76" customFormat="1" x14ac:dyDescent="0.2">
      <c r="A142" s="74"/>
      <c r="B142" s="74"/>
      <c r="C142" s="74"/>
      <c r="D142" s="74"/>
      <c r="E142" s="74"/>
      <c r="F142" s="74"/>
      <c r="G142" s="74"/>
      <c r="H142" s="74"/>
      <c r="I142" s="74"/>
      <c r="J142" s="74"/>
      <c r="K142" s="74"/>
      <c r="L142" s="74"/>
      <c r="M142" s="74"/>
      <c r="N142" s="74"/>
      <c r="O142" s="74"/>
      <c r="P142" s="74"/>
      <c r="Q142" s="74"/>
      <c r="R142" s="74"/>
      <c r="S142" s="74"/>
      <c r="T142" s="74"/>
      <c r="U142" s="74"/>
      <c r="V142" s="75"/>
      <c r="W142" s="74"/>
      <c r="X142" s="74"/>
      <c r="Y142" s="74"/>
      <c r="Z142" s="74"/>
      <c r="AA142" s="74"/>
      <c r="AB142" s="74"/>
      <c r="AC142" s="74"/>
      <c r="AD142" s="74"/>
      <c r="AE142" s="74"/>
    </row>
    <row r="143" spans="1:44" x14ac:dyDescent="0.2">
      <c r="AJ143" s="76"/>
      <c r="AK143" s="76"/>
      <c r="AL143" s="76"/>
      <c r="AM143" s="76"/>
      <c r="AN143" s="76"/>
      <c r="AO143" s="76"/>
      <c r="AP143" s="76"/>
      <c r="AQ143" s="76"/>
    </row>
    <row r="149" spans="1:43" ht="12.75" customHeight="1" x14ac:dyDescent="0.2">
      <c r="AF149" s="78"/>
      <c r="AG149" s="78"/>
      <c r="AH149" s="78"/>
      <c r="AI149" s="78"/>
    </row>
    <row r="150" spans="1:43" x14ac:dyDescent="0.2">
      <c r="AF150" s="79"/>
      <c r="AG150" s="79"/>
      <c r="AH150" s="79"/>
      <c r="AI150" s="79"/>
      <c r="AJ150" s="78"/>
    </row>
    <row r="151" spans="1:43" x14ac:dyDescent="0.2">
      <c r="AF151" s="80"/>
      <c r="AG151" s="80"/>
      <c r="AH151" s="81"/>
      <c r="AI151" s="81"/>
      <c r="AJ151" s="79"/>
    </row>
    <row r="152" spans="1:43" x14ac:dyDescent="0.2">
      <c r="AF152" s="80"/>
      <c r="AG152" s="80"/>
      <c r="AH152" s="81"/>
      <c r="AI152" s="81"/>
      <c r="AJ152" s="82"/>
    </row>
    <row r="153" spans="1:43" x14ac:dyDescent="0.2">
      <c r="AJ153" s="82"/>
    </row>
    <row r="154" spans="1:43" s="76" customFormat="1" x14ac:dyDescent="0.2">
      <c r="A154" s="74"/>
      <c r="B154" s="74"/>
      <c r="C154" s="74"/>
      <c r="D154" s="74"/>
      <c r="E154" s="74"/>
      <c r="F154" s="74"/>
      <c r="G154" s="74"/>
      <c r="H154" s="74"/>
      <c r="I154" s="74"/>
      <c r="J154" s="74"/>
      <c r="K154" s="74"/>
      <c r="L154" s="74"/>
      <c r="M154" s="74"/>
      <c r="N154" s="74"/>
      <c r="O154" s="74"/>
      <c r="P154" s="74"/>
      <c r="Q154" s="74"/>
      <c r="R154" s="74"/>
      <c r="S154" s="74"/>
      <c r="T154" s="74"/>
      <c r="U154" s="74"/>
      <c r="V154" s="75"/>
      <c r="W154" s="74"/>
      <c r="X154" s="74"/>
      <c r="Y154" s="74"/>
      <c r="Z154" s="74"/>
      <c r="AA154" s="74"/>
      <c r="AB154" s="74"/>
      <c r="AC154" s="74"/>
      <c r="AD154" s="74"/>
      <c r="AE154" s="74"/>
      <c r="AJ154" s="74"/>
      <c r="AK154" s="74"/>
      <c r="AL154" s="74"/>
      <c r="AM154" s="74"/>
      <c r="AN154" s="74"/>
      <c r="AO154" s="74"/>
      <c r="AP154" s="74"/>
      <c r="AQ154" s="74"/>
    </row>
    <row r="155" spans="1:43" x14ac:dyDescent="0.2">
      <c r="AJ155" s="76"/>
      <c r="AK155" s="76"/>
      <c r="AL155" s="76"/>
      <c r="AM155" s="76"/>
      <c r="AN155" s="76"/>
      <c r="AO155" s="76"/>
      <c r="AP155" s="76"/>
      <c r="AQ155" s="76"/>
    </row>
    <row r="158" spans="1:43" s="76" customFormat="1" x14ac:dyDescent="0.2">
      <c r="A158" s="74"/>
      <c r="B158" s="74"/>
      <c r="C158" s="74"/>
      <c r="D158" s="74"/>
      <c r="E158" s="74"/>
      <c r="F158" s="74"/>
      <c r="G158" s="74"/>
      <c r="H158" s="74"/>
      <c r="I158" s="74"/>
      <c r="J158" s="74"/>
      <c r="K158" s="74"/>
      <c r="L158" s="74"/>
      <c r="M158" s="74"/>
      <c r="N158" s="74"/>
      <c r="O158" s="74"/>
      <c r="P158" s="74"/>
      <c r="Q158" s="74"/>
      <c r="R158" s="74"/>
      <c r="S158" s="74"/>
      <c r="T158" s="74"/>
      <c r="U158" s="74"/>
      <c r="V158" s="75"/>
      <c r="W158" s="74"/>
      <c r="X158" s="74"/>
      <c r="Y158" s="74"/>
      <c r="Z158" s="74"/>
      <c r="AA158" s="74"/>
      <c r="AB158" s="74"/>
      <c r="AC158" s="74"/>
      <c r="AD158" s="74"/>
      <c r="AE158" s="74"/>
      <c r="AJ158" s="74"/>
      <c r="AK158" s="74"/>
      <c r="AL158" s="74"/>
      <c r="AM158" s="74"/>
      <c r="AN158" s="74"/>
      <c r="AO158" s="74"/>
      <c r="AP158" s="74"/>
      <c r="AQ158" s="74"/>
    </row>
    <row r="159" spans="1:43" x14ac:dyDescent="0.2">
      <c r="AJ159" s="76"/>
      <c r="AK159" s="76"/>
      <c r="AL159" s="76"/>
      <c r="AM159" s="76"/>
      <c r="AN159" s="76"/>
      <c r="AO159" s="76"/>
      <c r="AP159" s="76"/>
      <c r="AQ159" s="76"/>
    </row>
    <row r="164" spans="1:43" s="76" customFormat="1" x14ac:dyDescent="0.2">
      <c r="A164" s="74"/>
      <c r="B164" s="74"/>
      <c r="C164" s="74"/>
      <c r="D164" s="74"/>
      <c r="E164" s="74"/>
      <c r="F164" s="74"/>
      <c r="G164" s="74"/>
      <c r="H164" s="74"/>
      <c r="I164" s="74"/>
      <c r="J164" s="74"/>
      <c r="K164" s="74"/>
      <c r="L164" s="74"/>
      <c r="M164" s="74"/>
      <c r="N164" s="74"/>
      <c r="O164" s="74"/>
      <c r="P164" s="74"/>
      <c r="Q164" s="74"/>
      <c r="R164" s="74"/>
      <c r="S164" s="74"/>
      <c r="T164" s="74"/>
      <c r="U164" s="74"/>
      <c r="V164" s="75"/>
      <c r="W164" s="74"/>
      <c r="X164" s="74"/>
      <c r="Y164" s="74"/>
      <c r="Z164" s="74"/>
      <c r="AA164" s="74"/>
      <c r="AB164" s="74"/>
      <c r="AC164" s="74"/>
      <c r="AD164" s="74"/>
      <c r="AE164" s="74"/>
      <c r="AJ164" s="74"/>
      <c r="AK164" s="74"/>
      <c r="AL164" s="74"/>
      <c r="AM164" s="74"/>
      <c r="AN164" s="74"/>
      <c r="AO164" s="74"/>
      <c r="AP164" s="74"/>
      <c r="AQ164" s="74"/>
    </row>
    <row r="165" spans="1:43" x14ac:dyDescent="0.2">
      <c r="AJ165" s="76"/>
      <c r="AK165" s="76"/>
      <c r="AL165" s="76"/>
      <c r="AM165" s="76"/>
      <c r="AN165" s="76"/>
      <c r="AO165" s="76"/>
      <c r="AP165" s="76"/>
      <c r="AQ165" s="76"/>
    </row>
    <row r="169" spans="1:43" s="76" customFormat="1" x14ac:dyDescent="0.2">
      <c r="A169" s="74"/>
      <c r="B169" s="74"/>
      <c r="C169" s="74"/>
      <c r="D169" s="74"/>
      <c r="E169" s="74"/>
      <c r="F169" s="74"/>
      <c r="G169" s="74"/>
      <c r="H169" s="74"/>
      <c r="I169" s="74"/>
      <c r="J169" s="74"/>
      <c r="K169" s="74"/>
      <c r="L169" s="74"/>
      <c r="M169" s="74"/>
      <c r="N169" s="74"/>
      <c r="O169" s="74"/>
      <c r="P169" s="74"/>
      <c r="Q169" s="74"/>
      <c r="R169" s="74"/>
      <c r="S169" s="74"/>
      <c r="T169" s="74"/>
      <c r="U169" s="74"/>
      <c r="V169" s="75"/>
      <c r="W169" s="74"/>
      <c r="X169" s="74"/>
      <c r="Y169" s="74"/>
      <c r="Z169" s="74"/>
      <c r="AA169" s="74"/>
      <c r="AB169" s="74"/>
      <c r="AC169" s="74"/>
      <c r="AD169" s="74"/>
      <c r="AE169" s="74"/>
      <c r="AJ169" s="74"/>
      <c r="AK169" s="74"/>
      <c r="AL169" s="74"/>
      <c r="AM169" s="74"/>
      <c r="AN169" s="74"/>
      <c r="AO169" s="74"/>
      <c r="AP169" s="74"/>
      <c r="AQ169" s="74"/>
    </row>
    <row r="170" spans="1:43" x14ac:dyDescent="0.2">
      <c r="AJ170" s="76"/>
      <c r="AK170" s="76"/>
      <c r="AL170" s="76"/>
      <c r="AM170" s="76"/>
      <c r="AN170" s="76"/>
      <c r="AO170" s="76"/>
      <c r="AP170" s="76"/>
      <c r="AQ170" s="76"/>
    </row>
    <row r="173" spans="1:43" s="77" customFormat="1" x14ac:dyDescent="0.2">
      <c r="A173" s="74"/>
      <c r="B173" s="74"/>
      <c r="C173" s="74"/>
      <c r="D173" s="74"/>
      <c r="E173" s="74"/>
      <c r="F173" s="74"/>
      <c r="G173" s="74"/>
      <c r="H173" s="74"/>
      <c r="I173" s="74"/>
      <c r="J173" s="74"/>
      <c r="K173" s="74"/>
      <c r="L173" s="74"/>
      <c r="M173" s="74"/>
      <c r="N173" s="74"/>
      <c r="O173" s="74"/>
      <c r="P173" s="74"/>
      <c r="Q173" s="74"/>
      <c r="R173" s="74"/>
      <c r="S173" s="74"/>
      <c r="T173" s="74"/>
      <c r="U173" s="74"/>
      <c r="V173" s="75"/>
      <c r="W173" s="74"/>
      <c r="X173" s="74"/>
      <c r="Y173" s="74"/>
      <c r="Z173" s="74"/>
      <c r="AA173" s="74"/>
      <c r="AB173" s="74"/>
      <c r="AC173" s="74"/>
      <c r="AD173" s="74"/>
      <c r="AE173" s="74"/>
      <c r="AJ173" s="74"/>
      <c r="AK173" s="74"/>
      <c r="AL173" s="74"/>
      <c r="AM173" s="74"/>
      <c r="AN173" s="74"/>
      <c r="AO173" s="74"/>
      <c r="AP173" s="74"/>
      <c r="AQ173" s="74"/>
    </row>
    <row r="174" spans="1:43" x14ac:dyDescent="0.2">
      <c r="AJ174" s="77"/>
      <c r="AK174" s="77"/>
      <c r="AL174" s="77"/>
      <c r="AM174" s="77"/>
      <c r="AN174" s="77"/>
      <c r="AO174" s="77"/>
      <c r="AP174" s="77"/>
      <c r="AQ174" s="77"/>
    </row>
    <row r="178" spans="1:43" s="77" customFormat="1" x14ac:dyDescent="0.2">
      <c r="A178" s="74"/>
      <c r="B178" s="74"/>
      <c r="C178" s="74"/>
      <c r="D178" s="74"/>
      <c r="E178" s="74"/>
      <c r="F178" s="74"/>
      <c r="G178" s="74"/>
      <c r="H178" s="74"/>
      <c r="I178" s="74"/>
      <c r="J178" s="74"/>
      <c r="K178" s="74"/>
      <c r="L178" s="74"/>
      <c r="M178" s="74"/>
      <c r="N178" s="74"/>
      <c r="O178" s="74"/>
      <c r="P178" s="74"/>
      <c r="Q178" s="74"/>
      <c r="R178" s="74"/>
      <c r="S178" s="74"/>
      <c r="T178" s="74"/>
      <c r="U178" s="74"/>
      <c r="V178" s="75"/>
      <c r="W178" s="74"/>
      <c r="X178" s="74"/>
      <c r="Y178" s="74"/>
      <c r="Z178" s="74"/>
      <c r="AA178" s="74"/>
      <c r="AB178" s="74"/>
      <c r="AC178" s="74"/>
      <c r="AD178" s="74"/>
      <c r="AE178" s="74"/>
      <c r="AJ178" s="74"/>
      <c r="AK178" s="74"/>
      <c r="AL178" s="74"/>
      <c r="AM178" s="74"/>
      <c r="AN178" s="74"/>
      <c r="AO178" s="74"/>
      <c r="AP178" s="74"/>
      <c r="AQ178" s="74"/>
    </row>
    <row r="179" spans="1:43" s="76" customFormat="1" x14ac:dyDescent="0.2">
      <c r="A179" s="74"/>
      <c r="B179" s="74"/>
      <c r="C179" s="74"/>
      <c r="D179" s="74"/>
      <c r="E179" s="74"/>
      <c r="F179" s="74"/>
      <c r="G179" s="74"/>
      <c r="H179" s="74"/>
      <c r="I179" s="74"/>
      <c r="J179" s="74"/>
      <c r="K179" s="74"/>
      <c r="L179" s="74"/>
      <c r="M179" s="74"/>
      <c r="N179" s="74"/>
      <c r="O179" s="74"/>
      <c r="P179" s="74"/>
      <c r="Q179" s="74"/>
      <c r="R179" s="74"/>
      <c r="S179" s="74"/>
      <c r="T179" s="74"/>
      <c r="U179" s="74"/>
      <c r="V179" s="75"/>
      <c r="W179" s="74"/>
      <c r="X179" s="74"/>
      <c r="Y179" s="74"/>
      <c r="Z179" s="74"/>
      <c r="AA179" s="74"/>
      <c r="AB179" s="74"/>
      <c r="AC179" s="74"/>
      <c r="AD179" s="74"/>
      <c r="AE179" s="74"/>
      <c r="AJ179" s="77"/>
      <c r="AK179" s="77"/>
      <c r="AL179" s="77"/>
      <c r="AM179" s="77"/>
      <c r="AN179" s="77"/>
      <c r="AO179" s="77"/>
      <c r="AP179" s="77"/>
      <c r="AQ179" s="77"/>
    </row>
    <row r="180" spans="1:43" s="76" customFormat="1" x14ac:dyDescent="0.2">
      <c r="A180" s="74"/>
      <c r="B180" s="74"/>
      <c r="C180" s="74"/>
      <c r="D180" s="74"/>
      <c r="E180" s="74"/>
      <c r="F180" s="74"/>
      <c r="G180" s="74"/>
      <c r="H180" s="74"/>
      <c r="I180" s="74"/>
      <c r="J180" s="74"/>
      <c r="K180" s="74"/>
      <c r="L180" s="74"/>
      <c r="M180" s="74"/>
      <c r="N180" s="74"/>
      <c r="O180" s="74"/>
      <c r="P180" s="74"/>
      <c r="Q180" s="74"/>
      <c r="R180" s="74"/>
      <c r="S180" s="74"/>
      <c r="T180" s="74"/>
      <c r="U180" s="74"/>
      <c r="V180" s="75"/>
      <c r="W180" s="74"/>
      <c r="X180" s="74"/>
      <c r="Y180" s="74"/>
      <c r="Z180" s="74"/>
      <c r="AA180" s="74"/>
      <c r="AB180" s="74"/>
      <c r="AC180" s="74"/>
      <c r="AD180" s="74"/>
      <c r="AE180" s="74"/>
    </row>
    <row r="181" spans="1:43" x14ac:dyDescent="0.2">
      <c r="AJ181" s="76"/>
      <c r="AK181" s="76"/>
      <c r="AL181" s="76"/>
      <c r="AM181" s="76"/>
      <c r="AN181" s="76"/>
      <c r="AO181" s="76"/>
      <c r="AP181" s="76"/>
      <c r="AQ181" s="76"/>
    </row>
    <row r="183" spans="1:43" s="76" customFormat="1" x14ac:dyDescent="0.2">
      <c r="A183" s="74"/>
      <c r="B183" s="74"/>
      <c r="C183" s="74"/>
      <c r="D183" s="74"/>
      <c r="E183" s="74"/>
      <c r="F183" s="74"/>
      <c r="G183" s="74"/>
      <c r="H183" s="74"/>
      <c r="I183" s="74"/>
      <c r="J183" s="74"/>
      <c r="K183" s="74"/>
      <c r="L183" s="74"/>
      <c r="M183" s="74"/>
      <c r="N183" s="74"/>
      <c r="O183" s="74"/>
      <c r="P183" s="74"/>
      <c r="Q183" s="74"/>
      <c r="R183" s="74"/>
      <c r="S183" s="74"/>
      <c r="T183" s="74"/>
      <c r="U183" s="74"/>
      <c r="V183" s="75"/>
      <c r="W183" s="74"/>
      <c r="X183" s="74"/>
      <c r="Y183" s="74"/>
      <c r="Z183" s="74"/>
      <c r="AA183" s="74"/>
      <c r="AB183" s="74"/>
      <c r="AC183" s="74"/>
      <c r="AD183" s="74"/>
      <c r="AE183" s="74"/>
      <c r="AJ183" s="74"/>
      <c r="AK183" s="74"/>
      <c r="AL183" s="74"/>
      <c r="AM183" s="74"/>
      <c r="AN183" s="74"/>
      <c r="AO183" s="74"/>
      <c r="AP183" s="74"/>
      <c r="AQ183" s="74"/>
    </row>
    <row r="184" spans="1:43" x14ac:dyDescent="0.2">
      <c r="AJ184" s="76"/>
      <c r="AK184" s="76"/>
      <c r="AL184" s="76"/>
      <c r="AM184" s="76"/>
      <c r="AN184" s="76"/>
      <c r="AO184" s="76"/>
      <c r="AP184" s="76"/>
      <c r="AQ184" s="76"/>
    </row>
    <row r="188" spans="1:43" s="76" customFormat="1" x14ac:dyDescent="0.2">
      <c r="A188" s="74"/>
      <c r="B188" s="74"/>
      <c r="C188" s="74"/>
      <c r="D188" s="74"/>
      <c r="E188" s="74"/>
      <c r="F188" s="74"/>
      <c r="G188" s="74"/>
      <c r="H188" s="74"/>
      <c r="I188" s="74"/>
      <c r="J188" s="74"/>
      <c r="K188" s="74"/>
      <c r="L188" s="74"/>
      <c r="M188" s="74"/>
      <c r="N188" s="74"/>
      <c r="O188" s="74"/>
      <c r="P188" s="74"/>
      <c r="Q188" s="74"/>
      <c r="R188" s="74"/>
      <c r="S188" s="74"/>
      <c r="T188" s="74"/>
      <c r="U188" s="74"/>
      <c r="V188" s="75"/>
      <c r="W188" s="74"/>
      <c r="X188" s="74"/>
      <c r="Y188" s="74"/>
      <c r="Z188" s="74"/>
      <c r="AA188" s="74"/>
      <c r="AB188" s="74"/>
      <c r="AC188" s="74"/>
      <c r="AD188" s="74"/>
      <c r="AE188" s="74"/>
      <c r="AJ188" s="74"/>
      <c r="AK188" s="74"/>
      <c r="AL188" s="74"/>
      <c r="AM188" s="74"/>
      <c r="AN188" s="74"/>
      <c r="AO188" s="74"/>
      <c r="AP188" s="74"/>
      <c r="AQ188" s="74"/>
    </row>
    <row r="189" spans="1:43" s="76" customFormat="1" x14ac:dyDescent="0.2">
      <c r="A189" s="74"/>
      <c r="B189" s="74"/>
      <c r="C189" s="74"/>
      <c r="D189" s="74"/>
      <c r="E189" s="74"/>
      <c r="F189" s="74"/>
      <c r="G189" s="74"/>
      <c r="H189" s="74"/>
      <c r="I189" s="74"/>
      <c r="J189" s="74"/>
      <c r="K189" s="74"/>
      <c r="L189" s="74"/>
      <c r="M189" s="74"/>
      <c r="N189" s="74"/>
      <c r="O189" s="74"/>
      <c r="P189" s="74"/>
      <c r="Q189" s="74"/>
      <c r="R189" s="74"/>
      <c r="S189" s="74"/>
      <c r="T189" s="74"/>
      <c r="U189" s="74"/>
      <c r="V189" s="75"/>
      <c r="W189" s="74"/>
      <c r="X189" s="74"/>
      <c r="Y189" s="74"/>
      <c r="Z189" s="74"/>
      <c r="AA189" s="74"/>
      <c r="AB189" s="74"/>
      <c r="AC189" s="74"/>
      <c r="AD189" s="74"/>
      <c r="AE189" s="74"/>
    </row>
    <row r="190" spans="1:43" x14ac:dyDescent="0.2">
      <c r="AJ190" s="76"/>
      <c r="AK190" s="76"/>
      <c r="AL190" s="76"/>
      <c r="AM190" s="76"/>
      <c r="AN190" s="76"/>
      <c r="AO190" s="76"/>
      <c r="AP190" s="76"/>
      <c r="AQ190" s="76"/>
    </row>
  </sheetData>
  <sheetProtection sheet="1" objects="1" scenarios="1"/>
  <mergeCells count="13">
    <mergeCell ref="D77:G77"/>
    <mergeCell ref="N3:U3"/>
    <mergeCell ref="B4:B5"/>
    <mergeCell ref="C4:C5"/>
    <mergeCell ref="D4:G4"/>
    <mergeCell ref="H4:H5"/>
    <mergeCell ref="I4:L4"/>
    <mergeCell ref="M4:M5"/>
    <mergeCell ref="N4:P4"/>
    <mergeCell ref="Q4:T4"/>
    <mergeCell ref="U4:U5"/>
    <mergeCell ref="I77:L77"/>
    <mergeCell ref="K67:M67"/>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X190"/>
  <sheetViews>
    <sheetView zoomScale="85" zoomScaleNormal="85" workbookViewId="0">
      <pane xSplit="3" ySplit="5" topLeftCell="D6" activePane="bottomRight" state="frozen"/>
      <selection activeCell="C58" sqref="C58"/>
      <selection pane="topRight" activeCell="C58" sqref="C58"/>
      <selection pane="bottomLeft" activeCell="C58" sqref="C58"/>
      <selection pane="bottomRight" activeCell="D6" sqref="D6"/>
    </sheetView>
  </sheetViews>
  <sheetFormatPr defaultColWidth="9.140625" defaultRowHeight="12.75" outlineLevelRow="1" x14ac:dyDescent="0.2"/>
  <cols>
    <col min="1" max="1" width="4.28515625" style="74" customWidth="1"/>
    <col min="2" max="2" width="19.28515625" style="74" customWidth="1"/>
    <col min="3" max="3" width="35.5703125" style="74" customWidth="1"/>
    <col min="4" max="6" width="9.7109375" style="74" customWidth="1"/>
    <col min="7" max="7" width="10.85546875" style="74" customWidth="1"/>
    <col min="8" max="8" width="9.85546875" style="74" customWidth="1"/>
    <col min="9" max="9" width="10.5703125" style="74" customWidth="1"/>
    <col min="10" max="12" width="9.7109375" style="74" customWidth="1"/>
    <col min="13" max="20" width="9.42578125" style="74" customWidth="1"/>
    <col min="21" max="21" width="9.140625" style="74"/>
    <col min="22" max="22" width="9.140625" style="75"/>
    <col min="23" max="24" width="9.140625" style="74"/>
    <col min="25" max="25" width="11" style="74" customWidth="1"/>
    <col min="26" max="26" width="10.42578125" style="74" customWidth="1"/>
    <col min="27" max="27" width="10" style="74" customWidth="1"/>
    <col min="28" max="16384" width="9.140625" style="74"/>
  </cols>
  <sheetData>
    <row r="1" spans="1:39" s="1704" customFormat="1" ht="21" x14ac:dyDescent="0.35">
      <c r="A1" s="1704" t="s">
        <v>848</v>
      </c>
      <c r="F1" s="1702" t="s">
        <v>958</v>
      </c>
      <c r="V1" s="1705"/>
    </row>
    <row r="2" spans="1:39" s="239" customFormat="1" x14ac:dyDescent="0.2">
      <c r="V2" s="240"/>
    </row>
    <row r="3" spans="1:39" s="241" customFormat="1" ht="18.75" x14ac:dyDescent="0.3">
      <c r="B3" s="268"/>
      <c r="C3" s="904" t="s">
        <v>845</v>
      </c>
      <c r="D3" s="277" t="s">
        <v>113</v>
      </c>
      <c r="E3" s="269"/>
      <c r="F3" s="269"/>
      <c r="G3" s="269"/>
      <c r="H3" s="278"/>
      <c r="I3" s="276" t="s">
        <v>114</v>
      </c>
      <c r="J3" s="270"/>
      <c r="K3" s="270"/>
      <c r="L3" s="270"/>
      <c r="M3" s="276"/>
      <c r="N3" s="2778" t="s">
        <v>38</v>
      </c>
      <c r="O3" s="2779"/>
      <c r="P3" s="2779"/>
      <c r="Q3" s="2779"/>
      <c r="R3" s="2779"/>
      <c r="S3" s="2779"/>
      <c r="T3" s="2779"/>
      <c r="U3" s="2780"/>
      <c r="Y3" s="242"/>
    </row>
    <row r="4" spans="1:39" ht="15" customHeight="1" x14ac:dyDescent="0.3">
      <c r="B4" s="2789" t="s">
        <v>843</v>
      </c>
      <c r="C4" s="2791" t="s">
        <v>844</v>
      </c>
      <c r="D4" s="2781" t="s">
        <v>453</v>
      </c>
      <c r="E4" s="2793"/>
      <c r="F4" s="2793"/>
      <c r="G4" s="2794"/>
      <c r="H4" s="2786" t="s">
        <v>110</v>
      </c>
      <c r="I4" s="2793" t="s">
        <v>111</v>
      </c>
      <c r="J4" s="2795"/>
      <c r="K4" s="2795"/>
      <c r="L4" s="2796"/>
      <c r="M4" s="2781" t="s">
        <v>110</v>
      </c>
      <c r="N4" s="2783" t="s">
        <v>456</v>
      </c>
      <c r="O4" s="2784"/>
      <c r="P4" s="2785"/>
      <c r="Q4" s="2784" t="s">
        <v>457</v>
      </c>
      <c r="R4" s="2784"/>
      <c r="S4" s="2784"/>
      <c r="T4" s="2785"/>
      <c r="U4" s="2786" t="s">
        <v>110</v>
      </c>
      <c r="V4" s="78"/>
      <c r="W4" s="241"/>
      <c r="X4" s="247"/>
      <c r="Y4" s="75"/>
    </row>
    <row r="5" spans="1:39" x14ac:dyDescent="0.2">
      <c r="B5" s="2790"/>
      <c r="C5" s="2792"/>
      <c r="D5" s="883" t="s">
        <v>16</v>
      </c>
      <c r="E5" s="300" t="s">
        <v>17</v>
      </c>
      <c r="F5" s="300" t="s">
        <v>18</v>
      </c>
      <c r="G5" s="300" t="s">
        <v>88</v>
      </c>
      <c r="H5" s="2787"/>
      <c r="I5" s="300" t="s">
        <v>16</v>
      </c>
      <c r="J5" s="300" t="s">
        <v>17</v>
      </c>
      <c r="K5" s="300" t="s">
        <v>18</v>
      </c>
      <c r="L5" s="300" t="s">
        <v>88</v>
      </c>
      <c r="M5" s="2782"/>
      <c r="N5" s="883" t="s">
        <v>16</v>
      </c>
      <c r="O5" s="300" t="s">
        <v>17</v>
      </c>
      <c r="P5" s="301" t="s">
        <v>18</v>
      </c>
      <c r="Q5" s="300" t="s">
        <v>16</v>
      </c>
      <c r="R5" s="300" t="s">
        <v>17</v>
      </c>
      <c r="S5" s="300" t="s">
        <v>18</v>
      </c>
      <c r="T5" s="300" t="s">
        <v>88</v>
      </c>
      <c r="U5" s="2787"/>
      <c r="V5" s="243"/>
      <c r="Y5" s="75"/>
    </row>
    <row r="6" spans="1:39" ht="12.75" customHeight="1" outlineLevel="1" x14ac:dyDescent="0.2">
      <c r="A6" s="459"/>
      <c r="B6" s="466" t="s">
        <v>25</v>
      </c>
      <c r="C6" s="642" t="s">
        <v>42</v>
      </c>
      <c r="D6" s="641"/>
      <c r="E6" s="27"/>
      <c r="F6" s="27"/>
      <c r="G6" s="27"/>
      <c r="H6" s="271"/>
      <c r="I6" s="29" t="str">
        <f>IF(ISNUMBER(SA!G145),SA!G145,"")</f>
        <v/>
      </c>
      <c r="J6" s="29" t="str">
        <f>IF(ISNUMBER(SA!H145),SA!H145,"")</f>
        <v/>
      </c>
      <c r="K6" s="29" t="str">
        <f>IF(ISNUMBER(SA!I145),SA!I145,"")</f>
        <v/>
      </c>
      <c r="L6" s="29">
        <f>IF(ISNUMBER(I6),SUM(I6:K6),SA!J145)</f>
        <v>170000</v>
      </c>
      <c r="M6" s="959">
        <f t="shared" ref="M6:M34" si="0">L6/Pop_SA*1000</f>
        <v>100.49627424842087</v>
      </c>
      <c r="N6" s="907"/>
      <c r="O6" s="907"/>
      <c r="P6" s="908"/>
      <c r="Q6" s="916"/>
      <c r="R6" s="917"/>
      <c r="S6" s="917"/>
      <c r="T6" s="918"/>
      <c r="U6" s="922"/>
      <c r="V6" s="78"/>
      <c r="AH6" s="245"/>
      <c r="AI6" s="78"/>
      <c r="AJ6" s="78"/>
      <c r="AK6" s="78"/>
      <c r="AL6" s="78"/>
      <c r="AM6" s="78"/>
    </row>
    <row r="7" spans="1:39" ht="12.75" customHeight="1" outlineLevel="1" x14ac:dyDescent="0.2">
      <c r="A7" s="459"/>
      <c r="B7" s="467" t="str">
        <f>B6</f>
        <v>Masonry materials</v>
      </c>
      <c r="C7" s="643" t="s">
        <v>44</v>
      </c>
      <c r="D7" s="27"/>
      <c r="E7" s="27"/>
      <c r="F7" s="27"/>
      <c r="G7" s="27"/>
      <c r="H7" s="271"/>
      <c r="I7" s="29" t="str">
        <f>IF(ISNUMBER(SA!G146),SA!G146,"")</f>
        <v/>
      </c>
      <c r="J7" s="29" t="str">
        <f>IF(ISNUMBER(SA!H146),SA!H146,"")</f>
        <v/>
      </c>
      <c r="K7" s="29" t="str">
        <f>IF(ISNUMBER(SA!I146),SA!I146,"")</f>
        <v/>
      </c>
      <c r="L7" s="29">
        <f>IF(ISNUMBER(I7),SUM(I7:K7),SA!J146)</f>
        <v>55000</v>
      </c>
      <c r="M7" s="272">
        <f t="shared" si="0"/>
        <v>32.513500492136167</v>
      </c>
      <c r="N7" s="907"/>
      <c r="O7" s="907"/>
      <c r="P7" s="908"/>
      <c r="Q7" s="465"/>
      <c r="R7" s="914"/>
      <c r="S7" s="914"/>
      <c r="T7" s="919"/>
      <c r="U7" s="922"/>
      <c r="V7" s="78"/>
    </row>
    <row r="8" spans="1:39" ht="12.75" customHeight="1" outlineLevel="1" x14ac:dyDescent="0.2">
      <c r="A8" s="459"/>
      <c r="B8" s="467" t="str">
        <f t="shared" ref="B8:B15" si="1">B7</f>
        <v>Masonry materials</v>
      </c>
      <c r="C8" s="643" t="s">
        <v>46</v>
      </c>
      <c r="D8" s="27"/>
      <c r="E8" s="27"/>
      <c r="F8" s="27"/>
      <c r="G8" s="27"/>
      <c r="H8" s="271"/>
      <c r="I8" s="29" t="str">
        <f>IF(ISNUMBER(SA!G147),SA!G147,"")</f>
        <v/>
      </c>
      <c r="J8" s="29" t="str">
        <f>IF(ISNUMBER(SA!H147),SA!H147,"")</f>
        <v/>
      </c>
      <c r="K8" s="29" t="str">
        <f>IF(ISNUMBER(SA!I147),SA!I147,"")</f>
        <v/>
      </c>
      <c r="L8" s="29">
        <f>IF(ISNUMBER(I8),SUM(I8:K8),SA!J147)</f>
        <v>820000</v>
      </c>
      <c r="M8" s="272">
        <f t="shared" si="0"/>
        <v>484.7467346100301</v>
      </c>
      <c r="N8" s="907"/>
      <c r="O8" s="907"/>
      <c r="P8" s="908"/>
      <c r="Q8" s="465"/>
      <c r="R8" s="914"/>
      <c r="S8" s="914"/>
      <c r="T8" s="919"/>
      <c r="U8" s="922"/>
      <c r="V8" s="80"/>
    </row>
    <row r="9" spans="1:39" ht="12.75" customHeight="1" outlineLevel="1" x14ac:dyDescent="0.2">
      <c r="A9" s="459"/>
      <c r="B9" s="467" t="str">
        <f t="shared" si="1"/>
        <v>Masonry materials</v>
      </c>
      <c r="C9" s="643" t="s">
        <v>47</v>
      </c>
      <c r="D9" s="27"/>
      <c r="E9" s="27"/>
      <c r="F9" s="27"/>
      <c r="G9" s="27"/>
      <c r="H9" s="271"/>
      <c r="I9" s="29" t="str">
        <f>IF(ISNUMBER(SA!G148),SA!G148,"")</f>
        <v/>
      </c>
      <c r="J9" s="29" t="str">
        <f>IF(ISNUMBER(SA!H148),SA!H148,"")</f>
        <v/>
      </c>
      <c r="K9" s="29" t="str">
        <f>IF(ISNUMBER(SA!I148),SA!I148,"")</f>
        <v/>
      </c>
      <c r="L9" s="29">
        <f>IF(ISNUMBER(I9),SUM(I9:K9),SA!J148)</f>
        <v>40800</v>
      </c>
      <c r="M9" s="272">
        <f t="shared" si="0"/>
        <v>24.119105819621012</v>
      </c>
      <c r="N9" s="907"/>
      <c r="O9" s="907"/>
      <c r="P9" s="908"/>
      <c r="Q9" s="465"/>
      <c r="R9" s="914"/>
      <c r="S9" s="914"/>
      <c r="T9" s="919"/>
      <c r="U9" s="922"/>
      <c r="V9" s="80"/>
    </row>
    <row r="10" spans="1:39" ht="12.75" customHeight="1" outlineLevel="1" x14ac:dyDescent="0.2">
      <c r="A10" s="459"/>
      <c r="B10" s="467" t="str">
        <f t="shared" si="1"/>
        <v>Masonry materials</v>
      </c>
      <c r="C10" s="643" t="s">
        <v>49</v>
      </c>
      <c r="D10" s="27"/>
      <c r="E10" s="27"/>
      <c r="F10" s="27"/>
      <c r="G10" s="27"/>
      <c r="H10" s="280"/>
      <c r="I10" s="29" t="str">
        <f>IF(ISNUMBER(SA!G149),SA!G149,"")</f>
        <v/>
      </c>
      <c r="J10" s="29" t="str">
        <f>IF(ISNUMBER(SA!H149),SA!H149,"")</f>
        <v/>
      </c>
      <c r="K10" s="29" t="str">
        <f>IF(ISNUMBER(SA!I149),SA!I149,"")</f>
        <v/>
      </c>
      <c r="L10" s="29">
        <f>IF(ISNUMBER(I10),SUM(I10:K10),SA!J149)</f>
        <v>1100</v>
      </c>
      <c r="M10" s="272">
        <f t="shared" si="0"/>
        <v>0.65027000984272332</v>
      </c>
      <c r="N10" s="907"/>
      <c r="O10" s="907"/>
      <c r="P10" s="908"/>
      <c r="Q10" s="465"/>
      <c r="R10" s="914"/>
      <c r="S10" s="914"/>
      <c r="T10" s="919"/>
      <c r="U10" s="922"/>
      <c r="V10" s="80"/>
    </row>
    <row r="11" spans="1:39" s="501" customFormat="1" ht="15" x14ac:dyDescent="0.25">
      <c r="A11" s="499"/>
      <c r="B11" s="465" t="str">
        <f t="shared" si="1"/>
        <v>Masonry materials</v>
      </c>
      <c r="C11" s="644" t="s">
        <v>115</v>
      </c>
      <c r="D11" s="237">
        <f>SA!G131</f>
        <v>4131.7523341282022</v>
      </c>
      <c r="E11" s="237">
        <f>SA!H131</f>
        <v>10455.23944468929</v>
      </c>
      <c r="F11" s="237">
        <f>SA!I131</f>
        <v>201926.49979645247</v>
      </c>
      <c r="G11" s="237">
        <f>SUM(D11:F11)</f>
        <v>216513.49157526996</v>
      </c>
      <c r="H11" s="275">
        <f>G11/Pop_SA*1000</f>
        <v>127.99293663430289</v>
      </c>
      <c r="I11" s="237" t="str">
        <f>IF(ISNUMBER(I6),SUM(I6:I10),"")</f>
        <v/>
      </c>
      <c r="J11" s="237" t="str">
        <f>IF(ISNUMBER(J6),SUM(J6:J10),"")</f>
        <v/>
      </c>
      <c r="K11" s="237" t="str">
        <f>IF(ISNUMBER(K6),SUM(K6:K10),"")</f>
        <v/>
      </c>
      <c r="L11" s="237">
        <f>SUM(L6:L10)</f>
        <v>1086900</v>
      </c>
      <c r="M11" s="273">
        <f t="shared" si="0"/>
        <v>642.52588518005098</v>
      </c>
      <c r="N11" s="907"/>
      <c r="O11" s="907"/>
      <c r="P11" s="908"/>
      <c r="Q11" s="920"/>
      <c r="R11" s="915"/>
      <c r="S11" s="915"/>
      <c r="T11" s="921"/>
      <c r="U11" s="923"/>
      <c r="V11" s="500"/>
    </row>
    <row r="12" spans="1:39" ht="12.75" customHeight="1" outlineLevel="1" x14ac:dyDescent="0.2">
      <c r="A12" s="459"/>
      <c r="B12" s="464" t="s">
        <v>28</v>
      </c>
      <c r="C12" s="645" t="s">
        <v>56</v>
      </c>
      <c r="D12" s="960"/>
      <c r="E12" s="961"/>
      <c r="F12" s="961"/>
      <c r="G12" s="961"/>
      <c r="H12" s="962"/>
      <c r="I12" s="976" t="str">
        <f>IF(ISNUMBER(SA!G150),SA!G150,"")</f>
        <v/>
      </c>
      <c r="J12" s="963" t="str">
        <f>IF(ISNUMBER(SA!H150),SA!H150,"")</f>
        <v/>
      </c>
      <c r="K12" s="963" t="str">
        <f>IF(ISNUMBER(SA!I150),SA!I150,"")</f>
        <v/>
      </c>
      <c r="L12" s="980">
        <f>IF(ISNUMBER(I12),SUM(I12:K12),SA!J150)</f>
        <v>280000</v>
      </c>
      <c r="M12" s="964">
        <f t="shared" si="0"/>
        <v>165.52327523269324</v>
      </c>
      <c r="N12" s="910"/>
      <c r="O12" s="910"/>
      <c r="P12" s="911"/>
      <c r="Q12" s="464"/>
      <c r="R12" s="912"/>
      <c r="S12" s="912"/>
      <c r="T12" s="925"/>
      <c r="U12" s="926"/>
      <c r="V12" s="80"/>
    </row>
    <row r="13" spans="1:39" ht="12.75" customHeight="1" outlineLevel="1" x14ac:dyDescent="0.2">
      <c r="A13" s="459"/>
      <c r="B13" s="468" t="str">
        <f t="shared" si="1"/>
        <v>Metals</v>
      </c>
      <c r="C13" s="645" t="s">
        <v>52</v>
      </c>
      <c r="D13" s="279"/>
      <c r="E13" s="27"/>
      <c r="F13" s="27"/>
      <c r="G13" s="27"/>
      <c r="H13" s="280"/>
      <c r="I13" s="282" t="str">
        <f>IF(ISNUMBER(SA!G151),SA!G151,"")</f>
        <v/>
      </c>
      <c r="J13" s="29" t="str">
        <f>IF(ISNUMBER(SA!H151),SA!H151,"")</f>
        <v/>
      </c>
      <c r="K13" s="29" t="str">
        <f>IF(ISNUMBER(SA!I151),SA!I151,"")</f>
        <v/>
      </c>
      <c r="L13" s="28">
        <f>IF(ISNUMBER(I13),SUM(I13:K13),SA!J151)</f>
        <v>18000</v>
      </c>
      <c r="M13" s="272">
        <f t="shared" si="0"/>
        <v>10.640781979244563</v>
      </c>
      <c r="N13" s="910"/>
      <c r="O13" s="910"/>
      <c r="P13" s="911"/>
      <c r="Q13" s="464"/>
      <c r="R13" s="912"/>
      <c r="S13" s="912"/>
      <c r="T13" s="925"/>
      <c r="U13" s="926"/>
      <c r="V13" s="80"/>
    </row>
    <row r="14" spans="1:39" ht="12.75" customHeight="1" outlineLevel="1" x14ac:dyDescent="0.2">
      <c r="A14" s="459"/>
      <c r="B14" s="468" t="str">
        <f t="shared" si="1"/>
        <v>Metals</v>
      </c>
      <c r="C14" s="645" t="s">
        <v>54</v>
      </c>
      <c r="D14" s="279"/>
      <c r="E14" s="27"/>
      <c r="F14" s="27"/>
      <c r="G14" s="27"/>
      <c r="H14" s="280"/>
      <c r="I14" s="282" t="str">
        <f>IF(ISNUMBER(SA!G152),SA!G152,"")</f>
        <v/>
      </c>
      <c r="J14" s="29" t="str">
        <f>IF(ISNUMBER(SA!H152),SA!H152,"")</f>
        <v/>
      </c>
      <c r="K14" s="29" t="str">
        <f>IF(ISNUMBER(SA!I152),SA!I152,"")</f>
        <v/>
      </c>
      <c r="L14" s="28">
        <f>IF(ISNUMBER(I14),SUM(I14:K14),SA!J152)</f>
        <v>20000</v>
      </c>
      <c r="M14" s="272">
        <f t="shared" si="0"/>
        <v>11.823091088049514</v>
      </c>
      <c r="N14" s="910"/>
      <c r="O14" s="910"/>
      <c r="P14" s="911"/>
      <c r="Q14" s="464"/>
      <c r="R14" s="912"/>
      <c r="S14" s="912"/>
      <c r="T14" s="925"/>
      <c r="U14" s="926"/>
      <c r="V14" s="80"/>
    </row>
    <row r="15" spans="1:39" s="247" customFormat="1" x14ac:dyDescent="0.2">
      <c r="A15" s="459"/>
      <c r="B15" s="464" t="str">
        <f t="shared" si="1"/>
        <v>Metals</v>
      </c>
      <c r="C15" s="646" t="s">
        <v>115</v>
      </c>
      <c r="D15" s="965">
        <f>SA!G132</f>
        <v>9309.362167961277</v>
      </c>
      <c r="E15" s="966">
        <f>SA!H132</f>
        <v>2735.030028646981</v>
      </c>
      <c r="F15" s="966">
        <f>SA!I132</f>
        <v>10323.634370456532</v>
      </c>
      <c r="G15" s="966">
        <f t="shared" ref="G15:G21" si="2">SUM(D15:F15)</f>
        <v>22368.02656706479</v>
      </c>
      <c r="H15" s="967">
        <f t="shared" ref="H15:H21" si="3">G15/Pop_SA*1000</f>
        <v>13.222960778115924</v>
      </c>
      <c r="I15" s="965" t="str">
        <f>IF(ISNUMBER(I12),SUM(I12:I14),"")</f>
        <v/>
      </c>
      <c r="J15" s="966" t="str">
        <f>IF(ISNUMBER(J12),SUM(J12:J14),"")</f>
        <v/>
      </c>
      <c r="K15" s="966" t="str">
        <f>IF(ISNUMBER(K12),SUM(K12:K14),"")</f>
        <v/>
      </c>
      <c r="L15" s="971">
        <f>SUM(L12:L14)</f>
        <v>318000</v>
      </c>
      <c r="M15" s="968">
        <f t="shared" si="0"/>
        <v>187.98714829998727</v>
      </c>
      <c r="N15" s="910"/>
      <c r="O15" s="910"/>
      <c r="P15" s="911"/>
      <c r="Q15" s="927"/>
      <c r="R15" s="913"/>
      <c r="S15" s="913"/>
      <c r="T15" s="928"/>
      <c r="U15" s="929"/>
      <c r="V15" s="246"/>
    </row>
    <row r="16" spans="1:39" ht="12.75" customHeight="1" outlineLevel="1" x14ac:dyDescent="0.2">
      <c r="A16" s="459"/>
      <c r="B16" s="465" t="s">
        <v>22</v>
      </c>
      <c r="C16" s="643" t="s">
        <v>61</v>
      </c>
      <c r="D16" s="29">
        <f>SA!G133</f>
        <v>88152.21026393256</v>
      </c>
      <c r="E16" s="29">
        <f>SA!H133</f>
        <v>33798.539010207656</v>
      </c>
      <c r="F16" s="29">
        <f>SA!I133</f>
        <v>0</v>
      </c>
      <c r="G16" s="29">
        <f t="shared" si="2"/>
        <v>121950.74927414022</v>
      </c>
      <c r="H16" s="283">
        <f t="shared" si="3"/>
        <v>72.091740846202399</v>
      </c>
      <c r="I16" s="976">
        <v>8000</v>
      </c>
      <c r="J16" s="963" t="str">
        <f>IF(ISNUMBER(SA!H153),SA!H153,"")</f>
        <v/>
      </c>
      <c r="K16" s="963" t="str">
        <f>IF(ISNUMBER(SA!I153),SA!I153,"")</f>
        <v/>
      </c>
      <c r="L16" s="29">
        <f>IF(ISNUMBER(I16),SUM(I16:K16),SA!J153)</f>
        <v>8000</v>
      </c>
      <c r="M16" s="272">
        <f t="shared" si="0"/>
        <v>4.7292364352198062</v>
      </c>
      <c r="N16" s="282">
        <f>'Other national data'!G338</f>
        <v>38352.252059193364</v>
      </c>
      <c r="O16" s="29">
        <f>'Other national data'!H338</f>
        <v>14704.680500590055</v>
      </c>
      <c r="P16" s="28">
        <f>'Other national data'!I338</f>
        <v>0</v>
      </c>
      <c r="Q16" s="29">
        <f>N16</f>
        <v>38352.252059193364</v>
      </c>
      <c r="R16" s="29">
        <f>O16</f>
        <v>14704.680500590055</v>
      </c>
      <c r="S16" s="29">
        <f>P16</f>
        <v>0</v>
      </c>
      <c r="T16" s="29">
        <f t="shared" ref="T16:T21" si="4">SUM(Q16:S16)</f>
        <v>53056.932559783418</v>
      </c>
      <c r="U16" s="272">
        <f t="shared" ref="U16:U21" si="5">T16/Pop_SA*1000</f>
        <v>31.364847325340971</v>
      </c>
      <c r="V16" s="80"/>
    </row>
    <row r="17" spans="1:22" ht="12.75" customHeight="1" outlineLevel="1" x14ac:dyDescent="0.2">
      <c r="A17" s="459"/>
      <c r="B17" s="467" t="str">
        <f>B16</f>
        <v>Organics</v>
      </c>
      <c r="C17" s="643" t="s">
        <v>63</v>
      </c>
      <c r="D17" s="29">
        <f>SA!G134</f>
        <v>18594.665783860393</v>
      </c>
      <c r="E17" s="29">
        <f>SA!H134</f>
        <v>6365.1169100381649</v>
      </c>
      <c r="F17" s="29">
        <f>SA!I134</f>
        <v>15948.973871753309</v>
      </c>
      <c r="G17" s="29">
        <f t="shared" si="2"/>
        <v>40908.756565651871</v>
      </c>
      <c r="H17" s="283">
        <f t="shared" si="3"/>
        <v>24.183397758727285</v>
      </c>
      <c r="I17" s="282" t="str">
        <f>IF(ISNUMBER(SA!G154),SA!G154,"")</f>
        <v/>
      </c>
      <c r="J17" s="29" t="str">
        <f>IF(ISNUMBER(SA!H154),SA!H154,"")</f>
        <v/>
      </c>
      <c r="K17" s="29" t="str">
        <f>IF(ISNUMBER(SA!I154),SA!I154,"")</f>
        <v/>
      </c>
      <c r="L17" s="29">
        <f>IF(ISNUMBER(I17),SUM(I17:K17),SA!J154)</f>
        <v>260000</v>
      </c>
      <c r="M17" s="272">
        <f t="shared" si="0"/>
        <v>153.70018414464371</v>
      </c>
      <c r="N17" s="282">
        <f>'Other national data'!G339</f>
        <v>1723.269383935613</v>
      </c>
      <c r="O17" s="29">
        <f>'Other national data'!H339</f>
        <v>589.89019882036359</v>
      </c>
      <c r="P17" s="28">
        <f>'Other national data'!I339</f>
        <v>1478.0786435127604</v>
      </c>
      <c r="Q17" s="29">
        <f t="shared" ref="Q17:S19" si="6">N17</f>
        <v>1723.269383935613</v>
      </c>
      <c r="R17" s="29">
        <f t="shared" si="6"/>
        <v>589.89019882036359</v>
      </c>
      <c r="S17" s="29">
        <f t="shared" si="6"/>
        <v>1478.0786435127604</v>
      </c>
      <c r="T17" s="29">
        <f t="shared" si="4"/>
        <v>3791.238226268737</v>
      </c>
      <c r="U17" s="272">
        <f t="shared" si="5"/>
        <v>2.2412077442835279</v>
      </c>
      <c r="V17" s="248"/>
    </row>
    <row r="18" spans="1:22" ht="12.75" customHeight="1" outlineLevel="1" x14ac:dyDescent="0.2">
      <c r="A18" s="459"/>
      <c r="B18" s="467" t="str">
        <f>B17</f>
        <v>Organics</v>
      </c>
      <c r="C18" s="643" t="s">
        <v>67</v>
      </c>
      <c r="D18" s="29">
        <f>SA!G135</f>
        <v>3848.5944337317997</v>
      </c>
      <c r="E18" s="29">
        <f>SA!H135</f>
        <v>11097.525801708509</v>
      </c>
      <c r="F18" s="29">
        <f>SA!I135</f>
        <v>67007.320118077274</v>
      </c>
      <c r="G18" s="29">
        <f t="shared" si="2"/>
        <v>81953.440353517581</v>
      </c>
      <c r="H18" s="283">
        <f t="shared" si="3"/>
        <v>48.44714951393356</v>
      </c>
      <c r="I18" s="282" t="str">
        <f>IF(ISNUMBER(SA!G155),SA!G155,"")</f>
        <v/>
      </c>
      <c r="J18" s="29" t="str">
        <f>IF(ISNUMBER(SA!H155),SA!H155,"")</f>
        <v/>
      </c>
      <c r="K18" s="29" t="str">
        <f>IF(ISNUMBER(SA!I155),SA!I155,"")</f>
        <v/>
      </c>
      <c r="L18" s="29">
        <f>IF(ISNUMBER(I18),SUM(I18:K18),SA!J155)</f>
        <v>220000</v>
      </c>
      <c r="M18" s="272">
        <f t="shared" si="0"/>
        <v>130.05400196854467</v>
      </c>
      <c r="N18" s="282">
        <f>'Other national data'!G340</f>
        <v>323.76177979670888</v>
      </c>
      <c r="O18" s="29">
        <f>'Other national data'!H340</f>
        <v>933.5758201513396</v>
      </c>
      <c r="P18" s="28">
        <f>'Other national data'!I340</f>
        <v>5636.9694428416233</v>
      </c>
      <c r="Q18" s="29">
        <f t="shared" si="6"/>
        <v>323.76177979670888</v>
      </c>
      <c r="R18" s="29">
        <f>O18+SA!H202</f>
        <v>33933.575820151338</v>
      </c>
      <c r="S18" s="29">
        <f t="shared" si="6"/>
        <v>5636.9694428416233</v>
      </c>
      <c r="T18" s="29">
        <f t="shared" si="4"/>
        <v>39894.307042789675</v>
      </c>
      <c r="U18" s="272">
        <f t="shared" si="5"/>
        <v>23.58370130307588</v>
      </c>
      <c r="V18" s="74"/>
    </row>
    <row r="19" spans="1:22" ht="12.75" customHeight="1" outlineLevel="1" x14ac:dyDescent="0.2">
      <c r="A19" s="459"/>
      <c r="B19" s="467" t="str">
        <f>B18</f>
        <v>Organics</v>
      </c>
      <c r="C19" s="643" t="s">
        <v>65</v>
      </c>
      <c r="D19" s="29">
        <f>SA!G136</f>
        <v>14065.724060579094</v>
      </c>
      <c r="E19" s="29">
        <f>SA!H136</f>
        <v>2629.8853840103775</v>
      </c>
      <c r="F19" s="29">
        <f>SA!I136</f>
        <v>596.20934191654669</v>
      </c>
      <c r="G19" s="29">
        <f t="shared" si="2"/>
        <v>17291.818786506017</v>
      </c>
      <c r="H19" s="283">
        <f t="shared" si="3"/>
        <v>10.222137429545324</v>
      </c>
      <c r="I19" s="282" t="str">
        <f>IF(ISNUMBER(SA!G156),SA!G156,"")</f>
        <v/>
      </c>
      <c r="J19" s="29" t="str">
        <f>IF(ISNUMBER(SA!H156),SA!H156,"")</f>
        <v/>
      </c>
      <c r="K19" s="29" t="str">
        <f>IF(ISNUMBER(SA!I156),SA!I156,"")</f>
        <v/>
      </c>
      <c r="L19" s="29">
        <f>IF(ISNUMBER(I19),SUM(I19:K19),SA!J156)</f>
        <v>530000</v>
      </c>
      <c r="M19" s="272">
        <f t="shared" si="0"/>
        <v>313.31191383331213</v>
      </c>
      <c r="N19" s="282">
        <f>'Other national data'!G341</f>
        <v>1575.3824526542892</v>
      </c>
      <c r="O19" s="29">
        <f>'Other national data'!H341</f>
        <v>294.55115631575694</v>
      </c>
      <c r="P19" s="28">
        <f>'Other national data'!I341</f>
        <v>66.776351599010354</v>
      </c>
      <c r="Q19" s="29">
        <f t="shared" si="6"/>
        <v>1575.3824526542892</v>
      </c>
      <c r="R19" s="29">
        <f t="shared" si="6"/>
        <v>294.55115631575694</v>
      </c>
      <c r="S19" s="29">
        <f t="shared" si="6"/>
        <v>66.776351599010354</v>
      </c>
      <c r="T19" s="29">
        <f t="shared" si="4"/>
        <v>1936.7099605690564</v>
      </c>
      <c r="U19" s="272">
        <f t="shared" si="5"/>
        <v>1.1448949137470368</v>
      </c>
      <c r="V19" s="74"/>
    </row>
    <row r="20" spans="1:22" ht="12.75" customHeight="1" outlineLevel="1" x14ac:dyDescent="0.2">
      <c r="A20" s="459"/>
      <c r="B20" s="467" t="str">
        <f>B19</f>
        <v>Organics</v>
      </c>
      <c r="C20" s="643" t="s">
        <v>903</v>
      </c>
      <c r="D20" s="29">
        <v>0</v>
      </c>
      <c r="E20" s="29">
        <v>0</v>
      </c>
      <c r="F20" s="29">
        <v>0</v>
      </c>
      <c r="G20" s="29">
        <f>SUM(D20:F20)</f>
        <v>0</v>
      </c>
      <c r="H20" s="283">
        <f t="shared" si="3"/>
        <v>0</v>
      </c>
      <c r="I20" s="29">
        <v>0</v>
      </c>
      <c r="J20" s="29">
        <v>0</v>
      </c>
      <c r="K20" s="29">
        <v>0</v>
      </c>
      <c r="L20" s="29">
        <f>SUM(I20:K20)</f>
        <v>0</v>
      </c>
      <c r="M20" s="272">
        <f t="shared" si="0"/>
        <v>0</v>
      </c>
      <c r="N20" s="282">
        <v>0</v>
      </c>
      <c r="O20" s="29">
        <v>0</v>
      </c>
      <c r="P20" s="28">
        <v>0</v>
      </c>
      <c r="Q20" s="27">
        <v>0</v>
      </c>
      <c r="R20" s="27">
        <v>0</v>
      </c>
      <c r="S20" s="27">
        <v>0</v>
      </c>
      <c r="T20" s="29">
        <f t="shared" si="4"/>
        <v>0</v>
      </c>
      <c r="U20" s="272">
        <f t="shared" si="5"/>
        <v>0</v>
      </c>
      <c r="V20" s="74"/>
    </row>
    <row r="21" spans="1:22" s="247" customFormat="1" x14ac:dyDescent="0.2">
      <c r="A21" s="459"/>
      <c r="B21" s="465" t="str">
        <f>B20</f>
        <v>Organics</v>
      </c>
      <c r="C21" s="644" t="s">
        <v>115</v>
      </c>
      <c r="D21" s="237">
        <f>SUM(D16:D20)</f>
        <v>124661.19454210385</v>
      </c>
      <c r="E21" s="237">
        <f>SUM(E16:E20)</f>
        <v>53891.067105964707</v>
      </c>
      <c r="F21" s="237">
        <f>SUM(F16:F20)</f>
        <v>83552.503331747124</v>
      </c>
      <c r="G21" s="237">
        <f t="shared" si="2"/>
        <v>262104.76497981569</v>
      </c>
      <c r="H21" s="275">
        <f t="shared" si="3"/>
        <v>154.94442554840856</v>
      </c>
      <c r="I21" s="237"/>
      <c r="J21" s="237" t="str">
        <f>IF(ISNUMBER(J16),SUM(J16:J20),"")</f>
        <v/>
      </c>
      <c r="K21" s="237" t="str">
        <f>IF(ISNUMBER(K16),SUM(K16:K20),"")</f>
        <v/>
      </c>
      <c r="L21" s="237">
        <f>SUM(L16:L20)</f>
        <v>1018000</v>
      </c>
      <c r="M21" s="273">
        <f t="shared" si="0"/>
        <v>601.79533638172029</v>
      </c>
      <c r="N21" s="237">
        <f t="shared" ref="N21:S21" si="7">SUM(N16:N20)</f>
        <v>41974.665675579978</v>
      </c>
      <c r="O21" s="237">
        <f t="shared" si="7"/>
        <v>16522.697675877516</v>
      </c>
      <c r="P21" s="238">
        <f t="shared" si="7"/>
        <v>7181.8244379533935</v>
      </c>
      <c r="Q21" s="281">
        <f t="shared" si="7"/>
        <v>41974.665675579978</v>
      </c>
      <c r="R21" s="237">
        <f t="shared" si="7"/>
        <v>49522.697675877513</v>
      </c>
      <c r="S21" s="237">
        <f t="shared" si="7"/>
        <v>7181.8244379533935</v>
      </c>
      <c r="T21" s="237">
        <f t="shared" si="4"/>
        <v>98679.187789410877</v>
      </c>
      <c r="U21" s="273">
        <f t="shared" si="5"/>
        <v>58.334651286447418</v>
      </c>
      <c r="V21" s="246"/>
    </row>
    <row r="22" spans="1:22" ht="12.75" customHeight="1" outlineLevel="1" x14ac:dyDescent="0.2">
      <c r="A22" s="459"/>
      <c r="B22" s="464" t="s">
        <v>20</v>
      </c>
      <c r="C22" s="645" t="s">
        <v>74</v>
      </c>
      <c r="D22" s="960"/>
      <c r="E22" s="961"/>
      <c r="F22" s="961"/>
      <c r="G22" s="961"/>
      <c r="H22" s="962"/>
      <c r="I22" s="976" t="str">
        <f>IF(ISNUMBER(SA!G157),SA!G157,"")</f>
        <v/>
      </c>
      <c r="J22" s="963" t="str">
        <f>IF(ISNUMBER(SA!H157),SA!H157,"")</f>
        <v/>
      </c>
      <c r="K22" s="963" t="str">
        <f>IF(ISNUMBER(SA!I157),SA!I157,"")</f>
        <v/>
      </c>
      <c r="L22" s="980">
        <f>IF(ISNUMBER(I22),SUM(I22:K22),SA!J157)</f>
        <v>150000</v>
      </c>
      <c r="M22" s="964">
        <f t="shared" si="0"/>
        <v>88.673183160371352</v>
      </c>
      <c r="N22" s="961"/>
      <c r="O22" s="961"/>
      <c r="P22" s="969"/>
      <c r="Q22" s="961"/>
      <c r="R22" s="961"/>
      <c r="S22" s="961"/>
      <c r="T22" s="961"/>
      <c r="U22" s="970"/>
      <c r="V22" s="74"/>
    </row>
    <row r="23" spans="1:22" ht="12.75" customHeight="1" outlineLevel="1" x14ac:dyDescent="0.2">
      <c r="A23" s="459"/>
      <c r="B23" s="468" t="str">
        <f>B22</f>
        <v>Paper &amp; cardboard</v>
      </c>
      <c r="C23" s="645" t="s">
        <v>89</v>
      </c>
      <c r="D23" s="279"/>
      <c r="E23" s="27"/>
      <c r="F23" s="27"/>
      <c r="G23" s="27"/>
      <c r="H23" s="280"/>
      <c r="I23" s="282" t="str">
        <f>IF(ISNUMBER(SA!G158),SA!G158,"")</f>
        <v/>
      </c>
      <c r="J23" s="29" t="str">
        <f>IF(ISNUMBER(SA!H158),SA!H158,"")</f>
        <v/>
      </c>
      <c r="K23" s="29" t="str">
        <f>IF(ISNUMBER(SA!I158),SA!I158,"")</f>
        <v/>
      </c>
      <c r="L23" s="28">
        <f>IF(ISNUMBER(I23),SUM(I23:K23),SA!J158)</f>
        <v>1800</v>
      </c>
      <c r="M23" s="272">
        <f t="shared" si="0"/>
        <v>1.0640781979244562</v>
      </c>
      <c r="N23" s="27"/>
      <c r="O23" s="27"/>
      <c r="P23" s="297"/>
      <c r="Q23" s="27"/>
      <c r="R23" s="27"/>
      <c r="S23" s="27"/>
      <c r="T23" s="27"/>
      <c r="U23" s="271"/>
      <c r="V23" s="74"/>
    </row>
    <row r="24" spans="1:22" ht="12.75" customHeight="1" outlineLevel="1" x14ac:dyDescent="0.2">
      <c r="A24" s="459"/>
      <c r="B24" s="468" t="str">
        <f>B23</f>
        <v>Paper &amp; cardboard</v>
      </c>
      <c r="C24" s="645" t="s">
        <v>76</v>
      </c>
      <c r="D24" s="279"/>
      <c r="E24" s="27"/>
      <c r="F24" s="27"/>
      <c r="G24" s="27"/>
      <c r="H24" s="280"/>
      <c r="I24" s="282" t="str">
        <f>IF(ISNUMBER(SA!G159),SA!G159,"")</f>
        <v/>
      </c>
      <c r="J24" s="29" t="str">
        <f>IF(ISNUMBER(SA!H159),SA!H159,"")</f>
        <v/>
      </c>
      <c r="K24" s="29" t="str">
        <f>IF(ISNUMBER(SA!I159),SA!I159,"")</f>
        <v/>
      </c>
      <c r="L24" s="28">
        <f>IF(ISNUMBER(I24),SUM(I24:K24),SA!J159)</f>
        <v>62000</v>
      </c>
      <c r="M24" s="272">
        <f t="shared" si="0"/>
        <v>36.651582372953499</v>
      </c>
      <c r="N24" s="27"/>
      <c r="O24" s="27"/>
      <c r="P24" s="297"/>
      <c r="Q24" s="27"/>
      <c r="R24" s="27"/>
      <c r="S24" s="27"/>
      <c r="T24" s="27"/>
      <c r="U24" s="271"/>
      <c r="V24" s="74"/>
    </row>
    <row r="25" spans="1:22" ht="12.75" customHeight="1" outlineLevel="1" x14ac:dyDescent="0.2">
      <c r="A25" s="459"/>
      <c r="B25" s="468" t="str">
        <f>B24</f>
        <v>Paper &amp; cardboard</v>
      </c>
      <c r="C25" s="645" t="s">
        <v>79</v>
      </c>
      <c r="D25" s="279"/>
      <c r="E25" s="27"/>
      <c r="F25" s="27"/>
      <c r="G25" s="27"/>
      <c r="H25" s="280"/>
      <c r="I25" s="282" t="str">
        <f>IF(ISNUMBER(SA!G160),SA!G160,"")</f>
        <v/>
      </c>
      <c r="J25" s="29" t="str">
        <f>IF(ISNUMBER(SA!H160),SA!H160,"")</f>
        <v/>
      </c>
      <c r="K25" s="29" t="str">
        <f>IF(ISNUMBER(SA!I160),SA!I160,"")</f>
        <v/>
      </c>
      <c r="L25" s="28">
        <f>IF(ISNUMBER(I25),SUM(I25:K25),SA!J160)</f>
        <v>19000</v>
      </c>
      <c r="M25" s="272">
        <f t="shared" si="0"/>
        <v>11.231936533647039</v>
      </c>
      <c r="N25" s="27"/>
      <c r="O25" s="27"/>
      <c r="P25" s="297"/>
      <c r="Q25" s="27"/>
      <c r="R25" s="27"/>
      <c r="S25" s="27"/>
      <c r="T25" s="27"/>
      <c r="U25" s="271"/>
      <c r="V25" s="74"/>
    </row>
    <row r="26" spans="1:22" s="247" customFormat="1" x14ac:dyDescent="0.2">
      <c r="A26" s="459"/>
      <c r="B26" s="464" t="str">
        <f>B25</f>
        <v>Paper &amp; cardboard</v>
      </c>
      <c r="C26" s="646" t="s">
        <v>115</v>
      </c>
      <c r="D26" s="965">
        <f>SA!G137</f>
        <v>26199.314175912768</v>
      </c>
      <c r="E26" s="966">
        <f>SA!H137</f>
        <v>18070.615740843998</v>
      </c>
      <c r="F26" s="966">
        <f>SA!I137</f>
        <v>3473.3928925850178</v>
      </c>
      <c r="G26" s="966">
        <f>SUM(D26:F26)</f>
        <v>47743.322809341786</v>
      </c>
      <c r="H26" s="967">
        <f>G26/Pop_SA*1000</f>
        <v>28.22368272105</v>
      </c>
      <c r="I26" s="965" t="str">
        <f>IF(ISNUMBER(I22),SUM(I22:I25),"")</f>
        <v/>
      </c>
      <c r="J26" s="966" t="str">
        <f>IF(ISNUMBER(J22),SUM(J22:J25),"")</f>
        <v/>
      </c>
      <c r="K26" s="966" t="str">
        <f>IF(ISNUMBER(K22),SUM(K22:K25),"")</f>
        <v/>
      </c>
      <c r="L26" s="971">
        <f>SUM(L22:L25)</f>
        <v>232800</v>
      </c>
      <c r="M26" s="968">
        <f t="shared" si="0"/>
        <v>137.62078026489635</v>
      </c>
      <c r="N26" s="965">
        <f>'Other national data'!G342</f>
        <v>10949.544213604398</v>
      </c>
      <c r="O26" s="966">
        <f>'Other national data'!H342</f>
        <v>7552.2971591119313</v>
      </c>
      <c r="P26" s="971">
        <f>'Other national data'!I342</f>
        <v>1451.6436878162633</v>
      </c>
      <c r="Q26" s="966">
        <f>N26</f>
        <v>10949.544213604398</v>
      </c>
      <c r="R26" s="966">
        <f>O26</f>
        <v>7552.2971591119313</v>
      </c>
      <c r="S26" s="966">
        <f>P26</f>
        <v>1451.6436878162633</v>
      </c>
      <c r="T26" s="966">
        <f>SUM(Q26:S26)</f>
        <v>19953.485060532592</v>
      </c>
      <c r="U26" s="968">
        <f>T26/Pop_SA*1000</f>
        <v>11.795593569735601</v>
      </c>
      <c r="V26" s="246"/>
    </row>
    <row r="27" spans="1:22" ht="12.75" customHeight="1" outlineLevel="1" x14ac:dyDescent="0.2">
      <c r="A27" s="459"/>
      <c r="B27" s="465" t="s">
        <v>32</v>
      </c>
      <c r="C27" s="643" t="s">
        <v>90</v>
      </c>
      <c r="D27" s="27"/>
      <c r="E27" s="27"/>
      <c r="F27" s="27"/>
      <c r="G27" s="27"/>
      <c r="H27" s="280"/>
      <c r="I27" s="976" t="str">
        <f>IF(ISNUMBER(SA!G161),SA!G161,"")</f>
        <v/>
      </c>
      <c r="J27" s="963" t="str">
        <f>IF(ISNUMBER(SA!H161),SA!H161,"")</f>
        <v/>
      </c>
      <c r="K27" s="963" t="str">
        <f>IF(ISNUMBER(SA!I161),SA!I161,"")</f>
        <v/>
      </c>
      <c r="L27" s="29">
        <f>IF(ISNUMBER(I27),SUM(I27:K27),SA!J161)</f>
        <v>4400</v>
      </c>
      <c r="M27" s="272">
        <f t="shared" si="0"/>
        <v>2.6010800393708933</v>
      </c>
      <c r="N27" s="907"/>
      <c r="O27" s="907"/>
      <c r="P27" s="908"/>
      <c r="Q27" s="27"/>
      <c r="R27" s="27"/>
      <c r="S27" s="27"/>
      <c r="T27" s="27"/>
      <c r="U27" s="271"/>
      <c r="V27" s="74"/>
    </row>
    <row r="28" spans="1:22" ht="12.75" customHeight="1" outlineLevel="1" x14ac:dyDescent="0.2">
      <c r="A28" s="459"/>
      <c r="B28" s="467" t="str">
        <f t="shared" ref="B28:B36" si="8">B27</f>
        <v>Plastics</v>
      </c>
      <c r="C28" s="643" t="s">
        <v>91</v>
      </c>
      <c r="D28" s="27"/>
      <c r="E28" s="27"/>
      <c r="F28" s="27"/>
      <c r="G28" s="27"/>
      <c r="H28" s="280"/>
      <c r="I28" s="282" t="str">
        <f>IF(ISNUMBER(SA!G162),SA!G162,"")</f>
        <v/>
      </c>
      <c r="J28" s="29" t="str">
        <f>IF(ISNUMBER(SA!H162),SA!H162,"")</f>
        <v/>
      </c>
      <c r="K28" s="29" t="str">
        <f>IF(ISNUMBER(SA!I162),SA!I162,"")</f>
        <v/>
      </c>
      <c r="L28" s="29">
        <f>IF(ISNUMBER(I28),SUM(I28:K28),SA!J162)</f>
        <v>4500</v>
      </c>
      <c r="M28" s="272">
        <f t="shared" si="0"/>
        <v>2.6601954948111408</v>
      </c>
      <c r="N28" s="907"/>
      <c r="O28" s="907"/>
      <c r="P28" s="908"/>
      <c r="Q28" s="27"/>
      <c r="R28" s="27"/>
      <c r="S28" s="27"/>
      <c r="T28" s="27"/>
      <c r="U28" s="271"/>
      <c r="V28" s="74"/>
    </row>
    <row r="29" spans="1:22" ht="12.75" customHeight="1" outlineLevel="1" x14ac:dyDescent="0.2">
      <c r="A29" s="459"/>
      <c r="B29" s="467" t="str">
        <f t="shared" si="8"/>
        <v>Plastics</v>
      </c>
      <c r="C29" s="643" t="s">
        <v>92</v>
      </c>
      <c r="D29" s="27"/>
      <c r="E29" s="27"/>
      <c r="F29" s="27"/>
      <c r="G29" s="27"/>
      <c r="H29" s="280"/>
      <c r="I29" s="282" t="str">
        <f>IF(ISNUMBER(SA!G163),SA!G163,"")</f>
        <v/>
      </c>
      <c r="J29" s="29" t="str">
        <f>IF(ISNUMBER(SA!H163),SA!H163,"")</f>
        <v/>
      </c>
      <c r="K29" s="29" t="str">
        <f>IF(ISNUMBER(SA!I163),SA!I163,"")</f>
        <v/>
      </c>
      <c r="L29" s="29">
        <f>IF(ISNUMBER(I29),SUM(I29:K29),SA!J163)</f>
        <v>300</v>
      </c>
      <c r="M29" s="272">
        <f t="shared" si="0"/>
        <v>0.17734636632074272</v>
      </c>
      <c r="N29" s="907"/>
      <c r="O29" s="907"/>
      <c r="P29" s="908"/>
      <c r="Q29" s="27"/>
      <c r="R29" s="27"/>
      <c r="S29" s="27"/>
      <c r="T29" s="27"/>
      <c r="U29" s="271"/>
      <c r="V29" s="74"/>
    </row>
    <row r="30" spans="1:22" s="76" customFormat="1" ht="12.75" customHeight="1" outlineLevel="1" x14ac:dyDescent="0.2">
      <c r="A30" s="459"/>
      <c r="B30" s="467" t="str">
        <f t="shared" si="8"/>
        <v>Plastics</v>
      </c>
      <c r="C30" s="647" t="s">
        <v>118</v>
      </c>
      <c r="D30" s="30"/>
      <c r="E30" s="30"/>
      <c r="F30" s="30"/>
      <c r="G30" s="30"/>
      <c r="H30" s="285"/>
      <c r="I30" s="30" t="str">
        <f>IF(ISNUMBER(I27),SUM(I27:I29),"")</f>
        <v/>
      </c>
      <c r="J30" s="30" t="str">
        <f>IF(ISNUMBER(J27),SUM(J27:J29),"")</f>
        <v/>
      </c>
      <c r="K30" s="30" t="str">
        <f>IF(ISNUMBER(K27),SUM(K27:K29),"")</f>
        <v/>
      </c>
      <c r="L30" s="30">
        <f>SUM(L27:L29)</f>
        <v>9200</v>
      </c>
      <c r="M30" s="924">
        <f>L30/Pop_SA*1000</f>
        <v>5.4386219005027767</v>
      </c>
      <c r="N30" s="907"/>
      <c r="O30" s="907"/>
      <c r="P30" s="908"/>
      <c r="Q30" s="30"/>
      <c r="R30" s="30"/>
      <c r="S30" s="30"/>
      <c r="T30" s="30"/>
      <c r="U30" s="274"/>
    </row>
    <row r="31" spans="1:22" ht="12.75" customHeight="1" outlineLevel="1" x14ac:dyDescent="0.2">
      <c r="A31" s="459"/>
      <c r="B31" s="467" t="str">
        <f t="shared" si="8"/>
        <v>Plastics</v>
      </c>
      <c r="C31" s="643" t="s">
        <v>93</v>
      </c>
      <c r="D31" s="27"/>
      <c r="E31" s="27"/>
      <c r="F31" s="27"/>
      <c r="G31" s="27"/>
      <c r="H31" s="280"/>
      <c r="I31" s="282" t="str">
        <f>IF(ISNUMBER(SA!G164),SA!G164,"")</f>
        <v/>
      </c>
      <c r="J31" s="29" t="str">
        <f>IF(ISNUMBER(SA!H164),SA!H164,"")</f>
        <v/>
      </c>
      <c r="K31" s="29" t="str">
        <f>IF(ISNUMBER(SA!I164),SA!I164,"")</f>
        <v/>
      </c>
      <c r="L31" s="29">
        <f>IF(ISNUMBER(I31),SUM(I31:K31),SA!J164)</f>
        <v>3600</v>
      </c>
      <c r="M31" s="272">
        <f t="shared" si="0"/>
        <v>2.1281563958489125</v>
      </c>
      <c r="N31" s="907"/>
      <c r="O31" s="907"/>
      <c r="P31" s="908"/>
      <c r="Q31" s="27"/>
      <c r="R31" s="27"/>
      <c r="S31" s="27"/>
      <c r="T31" s="27"/>
      <c r="U31" s="271"/>
      <c r="V31" s="74"/>
    </row>
    <row r="32" spans="1:22" ht="12.75" customHeight="1" outlineLevel="1" x14ac:dyDescent="0.2">
      <c r="A32" s="459"/>
      <c r="B32" s="467" t="str">
        <f t="shared" si="8"/>
        <v>Plastics</v>
      </c>
      <c r="C32" s="643" t="s">
        <v>94</v>
      </c>
      <c r="D32" s="27"/>
      <c r="E32" s="27"/>
      <c r="F32" s="27"/>
      <c r="G32" s="27"/>
      <c r="H32" s="280"/>
      <c r="I32" s="282" t="str">
        <f>IF(ISNUMBER(SA!G165),SA!G165,"")</f>
        <v/>
      </c>
      <c r="J32" s="29" t="str">
        <f>IF(ISNUMBER(SA!H165),SA!H165,"")</f>
        <v/>
      </c>
      <c r="K32" s="29" t="str">
        <f>IF(ISNUMBER(SA!I165),SA!I165,"")</f>
        <v/>
      </c>
      <c r="L32" s="29">
        <f>IF(ISNUMBER(I32),SUM(I32:K32),SA!J165)</f>
        <v>1700</v>
      </c>
      <c r="M32" s="272">
        <f t="shared" si="0"/>
        <v>1.0049627424842087</v>
      </c>
      <c r="N32" s="907"/>
      <c r="O32" s="907"/>
      <c r="P32" s="908"/>
      <c r="Q32" s="27"/>
      <c r="R32" s="27"/>
      <c r="S32" s="27"/>
      <c r="T32" s="27"/>
      <c r="U32" s="271"/>
      <c r="V32" s="74"/>
    </row>
    <row r="33" spans="1:22" ht="12.75" customHeight="1" outlineLevel="1" x14ac:dyDescent="0.2">
      <c r="A33" s="459"/>
      <c r="B33" s="467" t="str">
        <f t="shared" si="8"/>
        <v>Plastics</v>
      </c>
      <c r="C33" s="643" t="s">
        <v>95</v>
      </c>
      <c r="D33" s="27"/>
      <c r="E33" s="27"/>
      <c r="F33" s="27"/>
      <c r="G33" s="27"/>
      <c r="H33" s="280"/>
      <c r="I33" s="282" t="str">
        <f>IF(ISNUMBER(SA!G166),SA!G166,"")</f>
        <v/>
      </c>
      <c r="J33" s="29" t="str">
        <f>IF(ISNUMBER(SA!H166),SA!H166,"")</f>
        <v/>
      </c>
      <c r="K33" s="29" t="str">
        <f>IF(ISNUMBER(SA!I166),SA!I166,"")</f>
        <v/>
      </c>
      <c r="L33" s="29">
        <f>IF(ISNUMBER(I33),SUM(I33:K33),SA!J166)</f>
        <v>300</v>
      </c>
      <c r="M33" s="272">
        <f t="shared" si="0"/>
        <v>0.17734636632074272</v>
      </c>
      <c r="N33" s="907"/>
      <c r="O33" s="907"/>
      <c r="P33" s="908"/>
      <c r="Q33" s="27"/>
      <c r="R33" s="27"/>
      <c r="S33" s="27"/>
      <c r="T33" s="27"/>
      <c r="U33" s="271"/>
      <c r="V33" s="74"/>
    </row>
    <row r="34" spans="1:22" ht="12.75" customHeight="1" outlineLevel="1" x14ac:dyDescent="0.2">
      <c r="A34" s="459"/>
      <c r="B34" s="467" t="str">
        <f t="shared" si="8"/>
        <v>Plastics</v>
      </c>
      <c r="C34" s="643" t="s">
        <v>96</v>
      </c>
      <c r="D34" s="27"/>
      <c r="E34" s="27"/>
      <c r="F34" s="27"/>
      <c r="G34" s="27"/>
      <c r="H34" s="280"/>
      <c r="I34" s="282" t="str">
        <f>IF(ISNUMBER(SA!G167),SA!G167,"")</f>
        <v/>
      </c>
      <c r="J34" s="29" t="str">
        <f>IF(ISNUMBER(SA!H167),SA!H167,"")</f>
        <v/>
      </c>
      <c r="K34" s="29" t="str">
        <f>IF(ISNUMBER(SA!I167),SA!I167,"")</f>
        <v/>
      </c>
      <c r="L34" s="29">
        <f>IF(ISNUMBER(I34),SUM(I34:K34),SA!J167)</f>
        <v>6400</v>
      </c>
      <c r="M34" s="272">
        <f t="shared" si="0"/>
        <v>3.7833891481758446</v>
      </c>
      <c r="N34" s="907"/>
      <c r="O34" s="907"/>
      <c r="P34" s="908"/>
      <c r="Q34" s="27"/>
      <c r="R34" s="27"/>
      <c r="S34" s="27"/>
      <c r="T34" s="27"/>
      <c r="U34" s="271"/>
      <c r="V34" s="74"/>
    </row>
    <row r="35" spans="1:22" s="76" customFormat="1" ht="12.75" customHeight="1" outlineLevel="1" x14ac:dyDescent="0.2">
      <c r="A35" s="459"/>
      <c r="B35" s="467" t="str">
        <f t="shared" si="8"/>
        <v>Plastics</v>
      </c>
      <c r="C35" s="647" t="s">
        <v>119</v>
      </c>
      <c r="D35" s="30"/>
      <c r="E35" s="30"/>
      <c r="F35" s="30"/>
      <c r="G35" s="30"/>
      <c r="H35" s="285"/>
      <c r="I35" s="30" t="str">
        <f>IF(ISNUMBER(I31),SUM(I31:I34),"")</f>
        <v/>
      </c>
      <c r="J35" s="30" t="str">
        <f>IF(ISNUMBER(J31),SUM(J31:J34),"")</f>
        <v/>
      </c>
      <c r="K35" s="30" t="str">
        <f>IF(ISNUMBER(K31),SUM(K31:K34),"")</f>
        <v/>
      </c>
      <c r="L35" s="30">
        <f>SUM(L31:L34)</f>
        <v>12000</v>
      </c>
      <c r="M35" s="924">
        <f t="shared" ref="M35:M40" si="9">L35/Pop_SA*1000</f>
        <v>7.0938546528297088</v>
      </c>
      <c r="N35" s="907"/>
      <c r="O35" s="907"/>
      <c r="P35" s="908"/>
      <c r="Q35" s="30"/>
      <c r="R35" s="30"/>
      <c r="S35" s="30"/>
      <c r="T35" s="30"/>
      <c r="U35" s="274"/>
    </row>
    <row r="36" spans="1:22" s="247" customFormat="1" x14ac:dyDescent="0.2">
      <c r="A36" s="459"/>
      <c r="B36" s="465" t="str">
        <f t="shared" si="8"/>
        <v>Plastics</v>
      </c>
      <c r="C36" s="644" t="s">
        <v>115</v>
      </c>
      <c r="D36" s="237">
        <f>SA!G138</f>
        <v>22965.80027293117</v>
      </c>
      <c r="E36" s="237">
        <f>SA!H138</f>
        <v>16735.959371970028</v>
      </c>
      <c r="F36" s="237">
        <f>SA!I138</f>
        <v>7292.8426286711283</v>
      </c>
      <c r="G36" s="237">
        <f>SUM(D36:F36)</f>
        <v>46994.602273572324</v>
      </c>
      <c r="H36" s="275">
        <f>G36/Pop_SA*1000</f>
        <v>27.78107316635522</v>
      </c>
      <c r="I36" s="237" t="str">
        <f>IF(ISNUMBER(I30),SUM(I30,I35),"")</f>
        <v/>
      </c>
      <c r="J36" s="237" t="str">
        <f>IF(ISNUMBER(J30),SUM(J30,J35),"")</f>
        <v/>
      </c>
      <c r="K36" s="237" t="str">
        <f>IF(ISNUMBER(K30),SUM(K30,K35),"")</f>
        <v/>
      </c>
      <c r="L36" s="237">
        <f>SUM(L30,L35)</f>
        <v>21200</v>
      </c>
      <c r="M36" s="273">
        <f t="shared" si="9"/>
        <v>12.532476553332486</v>
      </c>
      <c r="N36" s="907"/>
      <c r="O36" s="907"/>
      <c r="P36" s="908"/>
      <c r="Q36" s="237"/>
      <c r="R36" s="237">
        <f>SA!H203</f>
        <v>16500</v>
      </c>
      <c r="S36" s="237"/>
      <c r="T36" s="238">
        <f>SUM(Q36:S36)</f>
        <v>16500</v>
      </c>
      <c r="U36" s="275"/>
    </row>
    <row r="37" spans="1:22" s="76" customFormat="1" x14ac:dyDescent="0.2">
      <c r="A37" s="459"/>
      <c r="B37" s="306" t="s">
        <v>30</v>
      </c>
      <c r="C37" s="648" t="s">
        <v>30</v>
      </c>
      <c r="D37" s="972">
        <f>SA!G139</f>
        <v>10041.462417754688</v>
      </c>
      <c r="E37" s="973">
        <f>SA!H139</f>
        <v>1681.929823710886</v>
      </c>
      <c r="F37" s="973">
        <f>SA!I139</f>
        <v>757.69793544635104</v>
      </c>
      <c r="G37" s="973">
        <f>SUM(D37:F37)</f>
        <v>12481.090176911926</v>
      </c>
      <c r="H37" s="974">
        <f>G37/Pop_SA*1000</f>
        <v>7.3782533019894867</v>
      </c>
      <c r="I37" s="973" t="str">
        <f>IF(ISNUMBER(SA!G168),SA!G168,"")</f>
        <v/>
      </c>
      <c r="J37" s="973" t="str">
        <f>IF(ISNUMBER(SA!H168),SA!H168,"")</f>
        <v/>
      </c>
      <c r="K37" s="973" t="str">
        <f>IF(ISNUMBER(SA!I168),SA!I168,"")</f>
        <v/>
      </c>
      <c r="L37" s="973">
        <f>IF(ISNUMBER(I37),SUM(I37:K37),SA!J168)</f>
        <v>61000</v>
      </c>
      <c r="M37" s="975">
        <f t="shared" si="9"/>
        <v>36.06042781855102</v>
      </c>
      <c r="N37" s="910"/>
      <c r="O37" s="910"/>
      <c r="P37" s="911"/>
      <c r="Q37" s="913"/>
      <c r="R37" s="913"/>
      <c r="S37" s="913"/>
      <c r="T37" s="913"/>
      <c r="U37" s="929"/>
    </row>
    <row r="38" spans="1:22" ht="12.75" customHeight="1" outlineLevel="1" x14ac:dyDescent="0.2">
      <c r="A38" s="459"/>
      <c r="B38" s="465" t="s">
        <v>27</v>
      </c>
      <c r="C38" s="643" t="s">
        <v>83</v>
      </c>
      <c r="D38" s="29"/>
      <c r="E38" s="29"/>
      <c r="F38" s="29"/>
      <c r="G38" s="29"/>
      <c r="H38" s="283"/>
      <c r="I38" s="976" t="str">
        <f>IF(ISNUMBER(SA!G169),SA!G169,"")</f>
        <v/>
      </c>
      <c r="J38" s="963" t="str">
        <f>IF(ISNUMBER(SA!H169),SA!H169,"")</f>
        <v/>
      </c>
      <c r="K38" s="963" t="str">
        <f>IF(ISNUMBER(SA!I169),SA!I169,"")</f>
        <v/>
      </c>
      <c r="L38" s="29">
        <f>IF(ISNUMBER(I38),SUM(I38:K38),SA!J169)</f>
        <v>4000</v>
      </c>
      <c r="M38" s="272">
        <f t="shared" si="9"/>
        <v>2.3646182176099031</v>
      </c>
      <c r="N38" s="29"/>
      <c r="O38" s="29"/>
      <c r="P38" s="28"/>
      <c r="Q38" s="29"/>
      <c r="R38" s="29">
        <f>SA!H204</f>
        <v>5500</v>
      </c>
      <c r="S38" s="29"/>
      <c r="T38" s="29"/>
      <c r="U38" s="272"/>
      <c r="V38" s="74"/>
    </row>
    <row r="39" spans="1:22" ht="12.75" customHeight="1" outlineLevel="1" x14ac:dyDescent="0.2">
      <c r="A39" s="459"/>
      <c r="B39" s="467" t="str">
        <f>B38</f>
        <v>Other</v>
      </c>
      <c r="C39" s="643" t="s">
        <v>568</v>
      </c>
      <c r="D39" s="27"/>
      <c r="E39" s="27"/>
      <c r="F39" s="27"/>
      <c r="G39" s="27"/>
      <c r="H39" s="280"/>
      <c r="I39" s="282" t="str">
        <f>IF(ISNUMBER(SA!G170),SA!G170,"")</f>
        <v/>
      </c>
      <c r="J39" s="29" t="str">
        <f>IF(ISNUMBER(SA!H170),SA!H170,"")</f>
        <v/>
      </c>
      <c r="K39" s="29" t="str">
        <f>IF(ISNUMBER(SA!I170),SA!I170,"")</f>
        <v/>
      </c>
      <c r="L39" s="29">
        <f>IF(ISNUMBER(I39),SUM(I39:K39),SA!J170)</f>
        <v>18500</v>
      </c>
      <c r="M39" s="272">
        <f t="shared" si="9"/>
        <v>10.936359256445801</v>
      </c>
      <c r="N39" s="27"/>
      <c r="O39" s="29"/>
      <c r="P39" s="297"/>
      <c r="Q39" s="27"/>
      <c r="R39" s="29"/>
      <c r="S39" s="27"/>
      <c r="T39" s="29"/>
      <c r="U39" s="272"/>
      <c r="V39" s="74"/>
    </row>
    <row r="40" spans="1:22" s="247" customFormat="1" x14ac:dyDescent="0.2">
      <c r="A40" s="459"/>
      <c r="B40" s="465" t="str">
        <f>B39</f>
        <v>Other</v>
      </c>
      <c r="C40" s="644" t="s">
        <v>115</v>
      </c>
      <c r="D40" s="237">
        <f>SA!G140</f>
        <v>7307.3089161315111</v>
      </c>
      <c r="E40" s="237">
        <f>SA!H140</f>
        <v>6982.3562452530114</v>
      </c>
      <c r="F40" s="237">
        <f>SA!I140</f>
        <v>6894.6600289787493</v>
      </c>
      <c r="G40" s="237">
        <f>SUM(D40:F40)</f>
        <v>21184.32519036327</v>
      </c>
      <c r="H40" s="275">
        <f>G40/Pop_SA*1000</f>
        <v>12.52321031822634</v>
      </c>
      <c r="I40" s="237" t="str">
        <f>IF(ISNUMBER(I38),SUM(I38:I39),"")</f>
        <v/>
      </c>
      <c r="J40" s="237" t="str">
        <f>IF(ISNUMBER(J38),SUM(J38:J39),"")</f>
        <v/>
      </c>
      <c r="K40" s="237" t="str">
        <f>IF(ISNUMBER(K38),SUM(K38:K39),"")</f>
        <v/>
      </c>
      <c r="L40" s="237">
        <f>SUM(L38:L39)</f>
        <v>22500</v>
      </c>
      <c r="M40" s="273">
        <f t="shared" si="9"/>
        <v>13.300977474055705</v>
      </c>
      <c r="N40" s="281">
        <f>'Other national data'!G343</f>
        <v>3031.9152838920986</v>
      </c>
      <c r="O40" s="237">
        <f>'Other national data'!H343</f>
        <v>2897.0874039316514</v>
      </c>
      <c r="P40" s="238">
        <f>'Other national data'!I343</f>
        <v>2860.7008898930198</v>
      </c>
      <c r="Q40" s="237">
        <f>N40+SUM(Q38:Q39)</f>
        <v>3031.9152838920986</v>
      </c>
      <c r="R40" s="237">
        <f>O40+SUM(R38:R39)</f>
        <v>8397.0874039316514</v>
      </c>
      <c r="S40" s="237">
        <f>P40+SUM(S38:S39)</f>
        <v>2860.7008898930198</v>
      </c>
      <c r="T40" s="237">
        <f>SUM(Q40:S40)</f>
        <v>14289.703577716769</v>
      </c>
      <c r="U40" s="273">
        <f>T40/Pop_SA*1000</f>
        <v>8.4474233510286201</v>
      </c>
      <c r="V40" s="246"/>
    </row>
    <row r="41" spans="1:22" outlineLevel="1" x14ac:dyDescent="0.2">
      <c r="A41" s="459"/>
      <c r="B41" s="454" t="s">
        <v>35</v>
      </c>
      <c r="C41" s="1079" t="s">
        <v>867</v>
      </c>
      <c r="D41" s="1073"/>
      <c r="E41" s="963">
        <f>SA!$G209*'Other national data'!I447</f>
        <v>157.08209481862903</v>
      </c>
      <c r="F41" s="963">
        <f>SA!$G209*'Other national data'!J447</f>
        <v>0</v>
      </c>
      <c r="G41" s="963">
        <f>SUM(D41:F41)</f>
        <v>157.08209481862903</v>
      </c>
      <c r="H41" s="964">
        <f t="shared" ref="H41:H61" si="10">G41/Pop_SA*1000</f>
        <v>9.2859795767114089E-2</v>
      </c>
      <c r="I41" s="1073"/>
      <c r="J41" s="963">
        <f>SA!$H209*'Other national data'!I447</f>
        <v>25.57425203286796</v>
      </c>
      <c r="K41" s="963">
        <f>SA!$H209*'Other national data'!J447</f>
        <v>0</v>
      </c>
      <c r="L41" s="963">
        <f>SUM(I41:K41)</f>
        <v>25.57425203286796</v>
      </c>
      <c r="M41" s="964">
        <f t="shared" ref="M41:M61" si="11">L41/Pop_SA*1000</f>
        <v>1.5118335564666669E-2</v>
      </c>
      <c r="N41" s="910"/>
      <c r="O41" s="910"/>
      <c r="P41" s="911"/>
      <c r="Q41" s="927"/>
      <c r="R41" s="913"/>
      <c r="S41" s="913"/>
      <c r="T41" s="928"/>
      <c r="U41" s="926"/>
      <c r="V41" s="74"/>
    </row>
    <row r="42" spans="1:22" outlineLevel="1" x14ac:dyDescent="0.2">
      <c r="A42" s="459"/>
      <c r="B42" s="468" t="str">
        <f>B41</f>
        <v>Hazardous</v>
      </c>
      <c r="C42" s="1080" t="s">
        <v>152</v>
      </c>
      <c r="D42" s="910"/>
      <c r="E42" s="29">
        <f>SA!$G210*'Other national data'!I448</f>
        <v>137.73340552486334</v>
      </c>
      <c r="F42" s="29">
        <f>SA!$G210*'Other national data'!J448</f>
        <v>0</v>
      </c>
      <c r="G42" s="29">
        <f>SUM(D42:F42)</f>
        <v>137.73340552486334</v>
      </c>
      <c r="H42" s="272">
        <f t="shared" si="10"/>
        <v>8.142172996938607E-2</v>
      </c>
      <c r="I42" s="910"/>
      <c r="J42" s="29">
        <f>SA!$H210*'Other national data'!I448</f>
        <v>523.01314479956147</v>
      </c>
      <c r="K42" s="29">
        <f>SA!$H210*'Other national data'!J448</f>
        <v>0</v>
      </c>
      <c r="L42" s="29">
        <f>SUM(I42:K42)</f>
        <v>523.01314479956147</v>
      </c>
      <c r="M42" s="272">
        <f t="shared" si="11"/>
        <v>0.30918160256062227</v>
      </c>
      <c r="N42" s="910"/>
      <c r="O42" s="910"/>
      <c r="P42" s="911"/>
      <c r="Q42" s="927"/>
      <c r="R42" s="913"/>
      <c r="S42" s="913"/>
      <c r="T42" s="928"/>
      <c r="U42" s="926"/>
      <c r="V42" s="74"/>
    </row>
    <row r="43" spans="1:22" outlineLevel="1" x14ac:dyDescent="0.2">
      <c r="A43" s="459"/>
      <c r="B43" s="468" t="str">
        <f t="shared" ref="B43:B60" si="12">B42</f>
        <v>Hazardous</v>
      </c>
      <c r="C43" s="1080" t="s">
        <v>156</v>
      </c>
      <c r="D43" s="910"/>
      <c r="E43" s="29">
        <f>SA!$G211*'Other national data'!I449</f>
        <v>3905.9659370896684</v>
      </c>
      <c r="F43" s="29">
        <f>SA!$G211*'Other national data'!J449</f>
        <v>0</v>
      </c>
      <c r="G43" s="29">
        <f t="shared" ref="G43:G55" si="13">SUM(D43:F43)</f>
        <v>3905.9659370896684</v>
      </c>
      <c r="H43" s="272">
        <f t="shared" si="10"/>
        <v>2.3090295530514915</v>
      </c>
      <c r="I43" s="910"/>
      <c r="J43" s="29">
        <f>SA!$H211*'Other national data'!I449</f>
        <v>12373.046378687313</v>
      </c>
      <c r="K43" s="29">
        <f>SA!$H211*'Other national data'!J449</f>
        <v>0</v>
      </c>
      <c r="L43" s="29">
        <f t="shared" ref="L43:L55" si="14">SUM(I43:K43)</f>
        <v>12373.046378687313</v>
      </c>
      <c r="M43" s="272">
        <f t="shared" si="11"/>
        <v>7.3143827185940644</v>
      </c>
      <c r="N43" s="910"/>
      <c r="O43" s="910"/>
      <c r="P43" s="911"/>
      <c r="Q43" s="927"/>
      <c r="R43" s="913"/>
      <c r="S43" s="913"/>
      <c r="T43" s="928"/>
      <c r="U43" s="926"/>
      <c r="V43" s="74"/>
    </row>
    <row r="44" spans="1:22" outlineLevel="1" x14ac:dyDescent="0.2">
      <c r="A44" s="459"/>
      <c r="B44" s="468" t="str">
        <f t="shared" si="12"/>
        <v>Hazardous</v>
      </c>
      <c r="C44" s="1080" t="s">
        <v>160</v>
      </c>
      <c r="D44" s="910"/>
      <c r="E44" s="29">
        <f>SA!$G212*'Other national data'!I450</f>
        <v>47132.328499880321</v>
      </c>
      <c r="F44" s="29">
        <f>SA!$G212*'Other national data'!J450</f>
        <v>0</v>
      </c>
      <c r="G44" s="29">
        <f t="shared" si="13"/>
        <v>47132.328499880321</v>
      </c>
      <c r="H44" s="272">
        <f t="shared" si="10"/>
        <v>27.862490652297858</v>
      </c>
      <c r="I44" s="910"/>
      <c r="J44" s="29">
        <f>SA!$H212*'Other national data'!I450</f>
        <v>121887.64773189827</v>
      </c>
      <c r="K44" s="29">
        <f>SA!$H212*'Other national data'!J450</f>
        <v>0</v>
      </c>
      <c r="L44" s="29">
        <f t="shared" si="14"/>
        <v>121887.64773189827</v>
      </c>
      <c r="M44" s="272">
        <f t="shared" si="11"/>
        <v>72.054438082116263</v>
      </c>
      <c r="N44" s="910"/>
      <c r="O44" s="910"/>
      <c r="P44" s="911"/>
      <c r="Q44" s="927"/>
      <c r="R44" s="913"/>
      <c r="S44" s="913"/>
      <c r="T44" s="928"/>
      <c r="U44" s="925"/>
      <c r="V44" s="74"/>
    </row>
    <row r="45" spans="1:22" outlineLevel="1" x14ac:dyDescent="0.2">
      <c r="A45" s="459"/>
      <c r="B45" s="468" t="str">
        <f t="shared" si="12"/>
        <v>Hazardous</v>
      </c>
      <c r="C45" s="1080" t="s">
        <v>210</v>
      </c>
      <c r="D45" s="910"/>
      <c r="E45" s="29">
        <f>SA!$G213*'Other national data'!I451</f>
        <v>0.62325065495533916</v>
      </c>
      <c r="F45" s="29">
        <f>SA!$G213*'Other national data'!J451</f>
        <v>0</v>
      </c>
      <c r="G45" s="29">
        <f t="shared" si="13"/>
        <v>0.62325065495533916</v>
      </c>
      <c r="H45" s="272">
        <f t="shared" si="10"/>
        <v>3.6843746321117465E-4</v>
      </c>
      <c r="I45" s="910"/>
      <c r="J45" s="29">
        <f>SA!$H213*'Other national data'!I451</f>
        <v>56.721201591334392</v>
      </c>
      <c r="K45" s="29">
        <f>SA!$H213*'Other national data'!J451</f>
        <v>0</v>
      </c>
      <c r="L45" s="29">
        <f t="shared" si="14"/>
        <v>56.721201591334392</v>
      </c>
      <c r="M45" s="272">
        <f t="shared" si="11"/>
        <v>3.3530996651898279E-2</v>
      </c>
      <c r="N45" s="910"/>
      <c r="O45" s="910"/>
      <c r="P45" s="911"/>
      <c r="Q45" s="927"/>
      <c r="R45" s="29">
        <f>SA!$I213*'Other national data'!I451</f>
        <v>5.7344452246290308E-13</v>
      </c>
      <c r="S45" s="29">
        <f>SA!$I213*'Other national data'!J451</f>
        <v>0</v>
      </c>
      <c r="T45" s="29">
        <f>SUM(Q45:S45)</f>
        <v>5.7344452246290308E-13</v>
      </c>
      <c r="U45" s="272">
        <f>T45/Pop_SA*1000</f>
        <v>3.3899434115109801E-16</v>
      </c>
      <c r="V45" s="74"/>
    </row>
    <row r="46" spans="1:22" outlineLevel="1" x14ac:dyDescent="0.2">
      <c r="A46" s="459"/>
      <c r="B46" s="468" t="str">
        <f t="shared" si="12"/>
        <v>Hazardous</v>
      </c>
      <c r="C46" s="1080" t="s">
        <v>214</v>
      </c>
      <c r="D46" s="910"/>
      <c r="E46" s="29">
        <f>SA!$G214*'Other national data'!I452</f>
        <v>825.61198795486325</v>
      </c>
      <c r="F46" s="29">
        <f>SA!$G214*'Other national data'!J452</f>
        <v>0</v>
      </c>
      <c r="G46" s="29">
        <f t="shared" si="13"/>
        <v>825.61198795486325</v>
      </c>
      <c r="H46" s="272">
        <f t="shared" si="10"/>
        <v>0.48806428684879932</v>
      </c>
      <c r="I46" s="910"/>
      <c r="J46" s="29">
        <f>SA!$H214*'Other national data'!I452</f>
        <v>1750.7353535002871</v>
      </c>
      <c r="K46" s="29">
        <f>SA!$H214*'Other national data'!J452</f>
        <v>0</v>
      </c>
      <c r="L46" s="29">
        <f t="shared" si="14"/>
        <v>1750.7353535002871</v>
      </c>
      <c r="M46" s="272">
        <f t="shared" si="11"/>
        <v>1.0349551777751231</v>
      </c>
      <c r="N46" s="910"/>
      <c r="O46" s="910"/>
      <c r="P46" s="911"/>
      <c r="Q46" s="927"/>
      <c r="R46" s="29">
        <f>SA!$I214*'Other national data'!I452</f>
        <v>2.5763473414551763E-11</v>
      </c>
      <c r="S46" s="29">
        <f>SA!$I214*'Other national data'!J452</f>
        <v>0</v>
      </c>
      <c r="T46" s="29">
        <f>SUM(Q46:S46)</f>
        <v>2.5763473414551763E-11</v>
      </c>
      <c r="U46" s="272">
        <f>T46/Pop_SA*1000</f>
        <v>1.5230194646239377E-14</v>
      </c>
      <c r="V46" s="74"/>
    </row>
    <row r="47" spans="1:22" outlineLevel="1" x14ac:dyDescent="0.2">
      <c r="A47" s="459"/>
      <c r="B47" s="468" t="str">
        <f t="shared" si="12"/>
        <v>Hazardous</v>
      </c>
      <c r="C47" s="1080" t="s">
        <v>220</v>
      </c>
      <c r="D47" s="910"/>
      <c r="E47" s="29">
        <f>SA!$G215*'Other national data'!I453</f>
        <v>19.158801422052036</v>
      </c>
      <c r="F47" s="29">
        <f>SA!$G215*'Other national data'!J453</f>
        <v>0</v>
      </c>
      <c r="G47" s="29">
        <f t="shared" si="13"/>
        <v>19.158801422052036</v>
      </c>
      <c r="H47" s="272">
        <f t="shared" si="10"/>
        <v>1.1325812717538689E-2</v>
      </c>
      <c r="I47" s="910"/>
      <c r="J47" s="29">
        <f>SA!$H215*'Other national data'!I453</f>
        <v>206.28458733174136</v>
      </c>
      <c r="K47" s="29">
        <f>SA!$H215*'Other national data'!J453</f>
        <v>0</v>
      </c>
      <c r="L47" s="29">
        <f t="shared" si="14"/>
        <v>206.28458733174136</v>
      </c>
      <c r="M47" s="272">
        <f t="shared" si="11"/>
        <v>0.12194607330419416</v>
      </c>
      <c r="N47" s="910"/>
      <c r="O47" s="910"/>
      <c r="P47" s="911"/>
      <c r="Q47" s="927"/>
      <c r="R47" s="29">
        <f>SA!$I215*'Other national data'!I453</f>
        <v>2.2544338875379565E-12</v>
      </c>
      <c r="S47" s="29">
        <f>SA!$I215*'Other national data'!J453</f>
        <v>0</v>
      </c>
      <c r="T47" s="29">
        <f>SUM(Q47:S47)</f>
        <v>2.2544338875379565E-12</v>
      </c>
      <c r="U47" s="272">
        <f>T47/Pop_SA*1000</f>
        <v>1.3327188602173417E-15</v>
      </c>
      <c r="V47" s="74"/>
    </row>
    <row r="48" spans="1:22" outlineLevel="1" x14ac:dyDescent="0.2">
      <c r="A48" s="459"/>
      <c r="B48" s="468" t="str">
        <f t="shared" si="12"/>
        <v>Hazardous</v>
      </c>
      <c r="C48" s="1080" t="s">
        <v>230</v>
      </c>
      <c r="D48" s="910"/>
      <c r="E48" s="29">
        <f>SA!$G216*'Other national data'!I454</f>
        <v>24.738356757255939</v>
      </c>
      <c r="F48" s="29">
        <f>SA!$G216*'Other national data'!J454</f>
        <v>0</v>
      </c>
      <c r="G48" s="29">
        <f t="shared" si="13"/>
        <v>24.738356757255939</v>
      </c>
      <c r="H48" s="272">
        <f t="shared" si="10"/>
        <v>1.4624192265485109E-2</v>
      </c>
      <c r="I48" s="910"/>
      <c r="J48" s="29">
        <f>SA!$H216*'Other national data'!I454</f>
        <v>344.25357088969128</v>
      </c>
      <c r="K48" s="29">
        <f>SA!$H216*'Other national data'!J454</f>
        <v>0</v>
      </c>
      <c r="L48" s="29">
        <f t="shared" si="14"/>
        <v>344.25357088969128</v>
      </c>
      <c r="M48" s="272">
        <f t="shared" si="11"/>
        <v>0.20350706630075655</v>
      </c>
      <c r="N48" s="910"/>
      <c r="O48" s="910"/>
      <c r="P48" s="911"/>
      <c r="Q48" s="927"/>
      <c r="R48" s="913"/>
      <c r="S48" s="913"/>
      <c r="T48" s="928"/>
      <c r="U48" s="926"/>
      <c r="V48" s="74"/>
    </row>
    <row r="49" spans="1:47" outlineLevel="1" x14ac:dyDescent="0.2">
      <c r="A49" s="459"/>
      <c r="B49" s="468" t="str">
        <f t="shared" si="12"/>
        <v>Hazardous</v>
      </c>
      <c r="C49" s="1080" t="s">
        <v>238</v>
      </c>
      <c r="D49" s="910"/>
      <c r="E49" s="29">
        <f>SA!$G217*'Other national data'!I455</f>
        <v>682.43311344116773</v>
      </c>
      <c r="F49" s="29">
        <f>SA!$G217*'Other national data'!J455</f>
        <v>0</v>
      </c>
      <c r="G49" s="29">
        <f t="shared" si="13"/>
        <v>682.43311344116773</v>
      </c>
      <c r="H49" s="272">
        <f t="shared" si="10"/>
        <v>0.40342344308580769</v>
      </c>
      <c r="I49" s="910"/>
      <c r="J49" s="29">
        <f>SA!$H217*'Other national data'!I455</f>
        <v>5674.2621860350282</v>
      </c>
      <c r="K49" s="29">
        <f>SA!$H217*'Other national data'!J455</f>
        <v>0</v>
      </c>
      <c r="L49" s="29">
        <f t="shared" si="14"/>
        <v>5674.2621860350282</v>
      </c>
      <c r="M49" s="272">
        <f t="shared" si="11"/>
        <v>3.3543659341483552</v>
      </c>
      <c r="N49" s="910"/>
      <c r="O49" s="910"/>
      <c r="P49" s="911"/>
      <c r="Q49" s="927"/>
      <c r="R49" s="29">
        <f>SA!$I217*'Other national data'!I455</f>
        <v>6.3566952994762601E-11</v>
      </c>
      <c r="S49" s="29">
        <f>SA!$I217*'Other national data'!J455</f>
        <v>0</v>
      </c>
      <c r="T49" s="29">
        <f>SUM(Q49:S49)</f>
        <v>6.3566952994762601E-11</v>
      </c>
      <c r="U49" s="272">
        <f>T49/Pop_SA*1000</f>
        <v>3.757789377234201E-14</v>
      </c>
      <c r="V49" s="74"/>
    </row>
    <row r="50" spans="1:47" outlineLevel="1" x14ac:dyDescent="0.2">
      <c r="A50" s="459"/>
      <c r="B50" s="468" t="str">
        <f t="shared" si="12"/>
        <v>Hazardous</v>
      </c>
      <c r="C50" s="1080" t="s">
        <v>246</v>
      </c>
      <c r="D50" s="910"/>
      <c r="E50" s="29">
        <f>SA!$G218*'Other national data'!I456</f>
        <v>2825.3722825926047</v>
      </c>
      <c r="F50" s="29">
        <f>SA!$G218*'Other national data'!J456</f>
        <v>0</v>
      </c>
      <c r="G50" s="29">
        <f t="shared" si="13"/>
        <v>2825.3722825926047</v>
      </c>
      <c r="H50" s="272">
        <f t="shared" si="10"/>
        <v>1.670231692737137</v>
      </c>
      <c r="I50" s="910"/>
      <c r="J50" s="29">
        <f>SA!$H218*'Other national data'!I456</f>
        <v>53105.099493000977</v>
      </c>
      <c r="K50" s="29">
        <f>SA!$H218*'Other national data'!J456</f>
        <v>0</v>
      </c>
      <c r="L50" s="29">
        <f t="shared" si="14"/>
        <v>53105.099493000977</v>
      </c>
      <c r="M50" s="272">
        <f t="shared" si="11"/>
        <v>31.393321427284132</v>
      </c>
      <c r="N50" s="910"/>
      <c r="O50" s="910"/>
      <c r="P50" s="911"/>
      <c r="Q50" s="927"/>
      <c r="R50" s="29">
        <f>SA!$I218*'Other national data'!I456</f>
        <v>5.5930471775594136E-10</v>
      </c>
      <c r="S50" s="29">
        <f>SA!$I218*'Other national data'!J456</f>
        <v>0</v>
      </c>
      <c r="T50" s="29">
        <f>SUM(Q50:S50)</f>
        <v>5.5930471775594136E-10</v>
      </c>
      <c r="U50" s="272">
        <f>T50/Pop_SA*1000</f>
        <v>3.3063553120021597E-13</v>
      </c>
      <c r="V50" s="74"/>
    </row>
    <row r="51" spans="1:47" outlineLevel="1" x14ac:dyDescent="0.2">
      <c r="A51" s="459"/>
      <c r="B51" s="468" t="str">
        <f t="shared" si="12"/>
        <v>Hazardous</v>
      </c>
      <c r="C51" s="1080" t="s">
        <v>256</v>
      </c>
      <c r="D51" s="910"/>
      <c r="E51" s="29">
        <f>SA!$G219*'Other national data'!I457</f>
        <v>2014.8753030346681</v>
      </c>
      <c r="F51" s="29">
        <f>SA!$G219*'Other national data'!J457</f>
        <v>0</v>
      </c>
      <c r="G51" s="29">
        <f t="shared" si="13"/>
        <v>2014.8753030346681</v>
      </c>
      <c r="H51" s="272">
        <f t="shared" si="10"/>
        <v>1.1911027119420126</v>
      </c>
      <c r="I51" s="910"/>
      <c r="J51" s="29">
        <f>SA!$H219*'Other national data'!I457</f>
        <v>760.76589497185864</v>
      </c>
      <c r="K51" s="29">
        <f>SA!$H219*'Other national data'!J457</f>
        <v>0</v>
      </c>
      <c r="L51" s="29">
        <f t="shared" si="14"/>
        <v>760.76589497185864</v>
      </c>
      <c r="M51" s="272">
        <f t="shared" si="11"/>
        <v>0.4497302236466898</v>
      </c>
      <c r="N51" s="910"/>
      <c r="O51" s="910"/>
      <c r="P51" s="911"/>
      <c r="Q51" s="927"/>
      <c r="R51" s="29">
        <f>SA!$I219*'Other national data'!I457</f>
        <v>2.7756411980065545E-11</v>
      </c>
      <c r="S51" s="29">
        <f>SA!$I219*'Other national data'!J457</f>
        <v>0</v>
      </c>
      <c r="T51" s="29">
        <f>SUM(Q51:S51)</f>
        <v>2.7756411980065545E-11</v>
      </c>
      <c r="U51" s="272">
        <f>T51/Pop_SA*1000</f>
        <v>1.6408329355887186E-14</v>
      </c>
      <c r="V51" s="74"/>
    </row>
    <row r="52" spans="1:47" outlineLevel="1" x14ac:dyDescent="0.2">
      <c r="A52" s="459"/>
      <c r="B52" s="468" t="str">
        <f t="shared" si="12"/>
        <v>Hazardous</v>
      </c>
      <c r="C52" s="1081" t="s">
        <v>343</v>
      </c>
      <c r="D52" s="910"/>
      <c r="E52" s="29">
        <f>SA!$G220*'Other national data'!I458</f>
        <v>55041.434893225342</v>
      </c>
      <c r="F52" s="29">
        <f>SA!$G220*'Other national data'!J458</f>
        <v>141535.11829686514</v>
      </c>
      <c r="G52" s="29">
        <f t="shared" si="13"/>
        <v>196576.55319009049</v>
      </c>
      <c r="H52" s="272">
        <f t="shared" si="10"/>
        <v>116.20712470706252</v>
      </c>
      <c r="I52" s="910"/>
      <c r="J52" s="29">
        <f>SA!$H220*'Other national data'!I458</f>
        <v>851.36646459140695</v>
      </c>
      <c r="K52" s="29">
        <f>SA!$H220*'Other national data'!J458</f>
        <v>2189.2280518064749</v>
      </c>
      <c r="L52" s="29">
        <f t="shared" si="14"/>
        <v>3040.5945163978818</v>
      </c>
      <c r="M52" s="272">
        <f t="shared" si="11"/>
        <v>1.7974612964598011</v>
      </c>
      <c r="N52" s="910"/>
      <c r="O52" s="910"/>
      <c r="P52" s="911"/>
      <c r="Q52" s="927"/>
      <c r="R52" s="29">
        <f>SA!$I220*'Other national data'!I458</f>
        <v>5.589280135781731E-10</v>
      </c>
      <c r="S52" s="29">
        <f>SA!$I220*'Other national data'!J458</f>
        <v>1.4372434634867305E-9</v>
      </c>
      <c r="T52" s="29">
        <f>SUM(Q52:S52)</f>
        <v>1.9961714770649036E-9</v>
      </c>
      <c r="U52" s="272">
        <f>T52/Pop_SA*1000</f>
        <v>1.1800458600352349E-12</v>
      </c>
      <c r="V52" s="74"/>
    </row>
    <row r="53" spans="1:47" outlineLevel="1" x14ac:dyDescent="0.2">
      <c r="A53" s="459"/>
      <c r="B53" s="468" t="str">
        <f t="shared" si="12"/>
        <v>Hazardous</v>
      </c>
      <c r="C53" s="1081" t="s">
        <v>97</v>
      </c>
      <c r="D53" s="910"/>
      <c r="E53" s="29">
        <f>SA!$G221*'Other national data'!I459</f>
        <v>6601.4819352741979</v>
      </c>
      <c r="F53" s="29">
        <f>SA!$G221*'Other national data'!J459</f>
        <v>7749.5657501044934</v>
      </c>
      <c r="G53" s="29">
        <f t="shared" si="13"/>
        <v>14351.047685378691</v>
      </c>
      <c r="H53" s="272">
        <f t="shared" si="10"/>
        <v>8.4836871996587213</v>
      </c>
      <c r="I53" s="910"/>
      <c r="J53" s="29">
        <f>SA!$H221*'Other national data'!I459</f>
        <v>-6.6014819352741979E-11</v>
      </c>
      <c r="K53" s="29">
        <f>SA!$H221*'Other national data'!J459</f>
        <v>-7.7495657501044944E-11</v>
      </c>
      <c r="L53" s="29">
        <f t="shared" si="14"/>
        <v>-1.4351047685378692E-10</v>
      </c>
      <c r="M53" s="272">
        <f t="shared" si="11"/>
        <v>-8.4836871996587214E-14</v>
      </c>
      <c r="N53" s="910"/>
      <c r="O53" s="910"/>
      <c r="P53" s="911"/>
      <c r="Q53" s="927"/>
      <c r="R53" s="913"/>
      <c r="S53" s="913"/>
      <c r="T53" s="928"/>
      <c r="U53" s="926"/>
      <c r="V53" s="74"/>
    </row>
    <row r="54" spans="1:47" outlineLevel="1" x14ac:dyDescent="0.2">
      <c r="A54" s="459"/>
      <c r="B54" s="468" t="str">
        <f t="shared" si="12"/>
        <v>Hazardous</v>
      </c>
      <c r="C54" s="1081" t="s">
        <v>345</v>
      </c>
      <c r="D54" s="910"/>
      <c r="E54" s="29">
        <f>SA!$G222*'Other national data'!I460</f>
        <v>43525.87666913771</v>
      </c>
      <c r="F54" s="29">
        <f>SA!$G222*'Other national data'!J460</f>
        <v>0</v>
      </c>
      <c r="G54" s="29">
        <f t="shared" si="13"/>
        <v>43525.87666913771</v>
      </c>
      <c r="H54" s="272">
        <f t="shared" si="10"/>
        <v>25.730520227321218</v>
      </c>
      <c r="I54" s="910"/>
      <c r="J54" s="29">
        <f>SA!$H222*'Other national data'!I460</f>
        <v>157697.09822262535</v>
      </c>
      <c r="K54" s="29">
        <f>SA!$H222*'Other national data'!J460</f>
        <v>0</v>
      </c>
      <c r="L54" s="29">
        <f t="shared" si="14"/>
        <v>157697.09822262535</v>
      </c>
      <c r="M54" s="272">
        <f t="shared" si="11"/>
        <v>93.223357830359532</v>
      </c>
      <c r="N54" s="910"/>
      <c r="O54" s="910"/>
      <c r="P54" s="911"/>
      <c r="Q54" s="927"/>
      <c r="R54" s="29">
        <f>SA!$I222*'Other national data'!I460</f>
        <v>0</v>
      </c>
      <c r="S54" s="29">
        <f>SA!$I222*'Other national data'!J460</f>
        <v>0</v>
      </c>
      <c r="T54" s="29">
        <f t="shared" ref="T54:T59" si="15">SUM(Q54:S54)</f>
        <v>0</v>
      </c>
      <c r="U54" s="272">
        <f t="shared" ref="U54:U59" si="16">T54/Pop_SA*1000</f>
        <v>0</v>
      </c>
      <c r="V54" s="74"/>
    </row>
    <row r="55" spans="1:47" outlineLevel="1" x14ac:dyDescent="0.2">
      <c r="A55" s="459"/>
      <c r="B55" s="468" t="str">
        <f t="shared" si="12"/>
        <v>Hazardous</v>
      </c>
      <c r="C55" s="1080" t="s">
        <v>297</v>
      </c>
      <c r="D55" s="910"/>
      <c r="E55" s="29">
        <f>SA!$G223*'Other national data'!I461</f>
        <v>4345.9236137514536</v>
      </c>
      <c r="F55" s="29">
        <f>SA!$G223*'Other national data'!J461</f>
        <v>0</v>
      </c>
      <c r="G55" s="29">
        <f t="shared" si="13"/>
        <v>4345.9236137514536</v>
      </c>
      <c r="H55" s="272">
        <f t="shared" si="10"/>
        <v>2.5691125373544375</v>
      </c>
      <c r="I55" s="910"/>
      <c r="J55" s="29">
        <f>SA!$H223*'Other national data'!I461</f>
        <v>1285.0786958881176</v>
      </c>
      <c r="K55" s="29">
        <f>SA!$H223*'Other national data'!J461</f>
        <v>0</v>
      </c>
      <c r="L55" s="29">
        <f t="shared" si="14"/>
        <v>1285.0786958881176</v>
      </c>
      <c r="M55" s="272">
        <f t="shared" si="11"/>
        <v>0.75968012383985484</v>
      </c>
      <c r="N55" s="910"/>
      <c r="O55" s="910"/>
      <c r="P55" s="911"/>
      <c r="Q55" s="927"/>
      <c r="R55" s="29">
        <f>SA!$I223*'Other national data'!I461</f>
        <v>5.6310023096396272E-11</v>
      </c>
      <c r="S55" s="29">
        <f>SA!$I223*'Other national data'!J461</f>
        <v>0</v>
      </c>
      <c r="T55" s="29">
        <f t="shared" si="15"/>
        <v>5.6310023096396272E-11</v>
      </c>
      <c r="U55" s="272">
        <f t="shared" si="16"/>
        <v>3.3287926611943257E-14</v>
      </c>
      <c r="V55" s="74"/>
    </row>
    <row r="56" spans="1:47" outlineLevel="1" x14ac:dyDescent="0.2">
      <c r="A56" s="459"/>
      <c r="B56" s="468" t="str">
        <f t="shared" si="12"/>
        <v>Hazardous</v>
      </c>
      <c r="C56" s="1274" t="s">
        <v>39</v>
      </c>
      <c r="D56" s="910"/>
      <c r="E56" s="29">
        <f>SA!$G224*'Other national data'!I462</f>
        <v>21822.839392298265</v>
      </c>
      <c r="F56" s="29">
        <f>SA!$G224*'Other national data'!J462</f>
        <v>0</v>
      </c>
      <c r="G56" s="29">
        <f t="shared" ref="G56:G61" si="17">SUM(D56:F56)</f>
        <v>21822.839392298265</v>
      </c>
      <c r="H56" s="272">
        <f>G56/Pop_SA*1000</f>
        <v>12.900670896750876</v>
      </c>
      <c r="I56" s="910"/>
      <c r="J56" s="29">
        <f>SA!$H224*'Other national data'!I462</f>
        <v>38967.085721165575</v>
      </c>
      <c r="K56" s="29">
        <f>SA!$H224*'Other national data'!J462</f>
        <v>0</v>
      </c>
      <c r="L56" s="29">
        <f t="shared" ref="L56:L61" si="18">SUM(I56:K56)</f>
        <v>38967.085721165575</v>
      </c>
      <c r="M56" s="272">
        <f>L56/Pop_SA*1000</f>
        <v>23.03557019585871</v>
      </c>
      <c r="N56" s="910"/>
      <c r="O56" s="910"/>
      <c r="P56" s="911"/>
      <c r="Q56" s="927"/>
      <c r="R56" s="29">
        <f>SA!$I224*'Other national data'!I462</f>
        <v>6.0789925113464448E-10</v>
      </c>
      <c r="S56" s="29">
        <f>SA!$I224*'Other national data'!J462</f>
        <v>0</v>
      </c>
      <c r="T56" s="29">
        <f t="shared" si="15"/>
        <v>6.0789925113464448E-10</v>
      </c>
      <c r="U56" s="272">
        <f t="shared" si="16"/>
        <v>3.5936241092609948E-13</v>
      </c>
      <c r="V56" s="74"/>
    </row>
    <row r="57" spans="1:47" outlineLevel="1" x14ac:dyDescent="0.2">
      <c r="A57" s="459"/>
      <c r="B57" s="468" t="str">
        <f t="shared" si="12"/>
        <v>Hazardous</v>
      </c>
      <c r="C57" s="1274" t="s">
        <v>904</v>
      </c>
      <c r="D57" s="910"/>
      <c r="E57" s="29">
        <f>SA!$G225*'Other national data'!I463</f>
        <v>47.555653119529012</v>
      </c>
      <c r="F57" s="29">
        <f>SA!$G225*'Other national data'!J463</f>
        <v>0</v>
      </c>
      <c r="G57" s="29">
        <f t="shared" si="17"/>
        <v>47.555653119529012</v>
      </c>
      <c r="H57" s="272">
        <f>G57/Pop_SA*1000</f>
        <v>2.8112740929193879E-2</v>
      </c>
      <c r="I57" s="910"/>
      <c r="J57" s="29">
        <f>SA!$H225*'Other national data'!I463</f>
        <v>199.92028609417423</v>
      </c>
      <c r="K57" s="29">
        <f>SA!$H225*'Other national data'!J463</f>
        <v>0</v>
      </c>
      <c r="L57" s="29">
        <f t="shared" si="18"/>
        <v>199.92028609417423</v>
      </c>
      <c r="M57" s="272">
        <f>L57/Pop_SA*1000</f>
        <v>0.11818378764201704</v>
      </c>
      <c r="N57" s="910"/>
      <c r="O57" s="910"/>
      <c r="P57" s="911"/>
      <c r="Q57" s="927"/>
      <c r="R57" s="29">
        <f>SA!$I225*'Other national data'!I463</f>
        <v>2.4747593921370573E-12</v>
      </c>
      <c r="S57" s="29">
        <f>SA!$I225*'Other national data'!J463</f>
        <v>0</v>
      </c>
      <c r="T57" s="29">
        <f t="shared" si="15"/>
        <v>2.4747593921370573E-12</v>
      </c>
      <c r="U57" s="272">
        <f t="shared" si="16"/>
        <v>1.4629652857121237E-15</v>
      </c>
      <c r="V57" s="74"/>
    </row>
    <row r="58" spans="1:47" outlineLevel="1" x14ac:dyDescent="0.2">
      <c r="A58" s="459"/>
      <c r="B58" s="468" t="str">
        <f t="shared" si="12"/>
        <v>Hazardous</v>
      </c>
      <c r="C58" s="649" t="s">
        <v>567</v>
      </c>
      <c r="D58" s="1074"/>
      <c r="E58" s="30">
        <f>SUMIF(Hazstate,"Solid",E$41:E$57)</f>
        <v>178517.44065668678</v>
      </c>
      <c r="F58" s="30">
        <f>SUMIF(Hazstate,"Solid",F$41:F$57)</f>
        <v>149284.68404696963</v>
      </c>
      <c r="G58" s="30">
        <f t="shared" si="17"/>
        <v>327802.12470365642</v>
      </c>
      <c r="H58" s="285">
        <f t="shared" si="10"/>
        <v>193.78171896137479</v>
      </c>
      <c r="I58" s="1076"/>
      <c r="J58" s="30">
        <f>SUMIF(Hazstate,"Solid",J$41:J$57)</f>
        <v>320888.19712226285</v>
      </c>
      <c r="K58" s="30">
        <f>SUMIF(Hazstate,"Solid",K$41:K$57)</f>
        <v>2189.2280518063976</v>
      </c>
      <c r="L58" s="30">
        <f t="shared" si="18"/>
        <v>323077.42517406924</v>
      </c>
      <c r="M58" s="285">
        <f t="shared" si="11"/>
        <v>190.98869131627612</v>
      </c>
      <c r="N58" s="930"/>
      <c r="O58" s="930"/>
      <c r="P58" s="931"/>
      <c r="Q58" s="927"/>
      <c r="R58" s="30">
        <f>SUMIF(Hazstate,"Solid",R$41:R$57)</f>
        <v>1.2256120472013509E-9</v>
      </c>
      <c r="S58" s="30">
        <f>SUMIF(Hazstate,"Solid",S$41:S$57)</f>
        <v>1.4372434634867305E-9</v>
      </c>
      <c r="T58" s="30">
        <f t="shared" si="15"/>
        <v>2.6628555106880816E-9</v>
      </c>
      <c r="U58" s="924">
        <f t="shared" si="16"/>
        <v>1.5741591628589899E-12</v>
      </c>
      <c r="V58" s="74"/>
    </row>
    <row r="59" spans="1:47" outlineLevel="1" x14ac:dyDescent="0.2">
      <c r="A59" s="459"/>
      <c r="B59" s="468" t="str">
        <f t="shared" si="12"/>
        <v>Hazardous</v>
      </c>
      <c r="C59" s="649" t="s">
        <v>459</v>
      </c>
      <c r="D59" s="1074"/>
      <c r="E59" s="30">
        <f>SUMIF(Hazstate,"Liquid",E$41:E$57)</f>
        <v>10593.594533290729</v>
      </c>
      <c r="F59" s="30">
        <f>SUMIF(Hazstate,"Liquid",F$41:F$57)</f>
        <v>0</v>
      </c>
      <c r="G59" s="30">
        <f t="shared" si="17"/>
        <v>10593.594533290729</v>
      </c>
      <c r="H59" s="285">
        <f t="shared" si="10"/>
        <v>6.2624516558479844</v>
      </c>
      <c r="I59" s="1076"/>
      <c r="J59" s="30">
        <f>SUMIF(Hazstate,"Liquid",J$41:J$57)</f>
        <v>74819.756062840665</v>
      </c>
      <c r="K59" s="30">
        <f>SUMIF(Hazstate,"Liquid",K$41:K$57)</f>
        <v>0</v>
      </c>
      <c r="L59" s="30">
        <f t="shared" si="18"/>
        <v>74819.756062840665</v>
      </c>
      <c r="M59" s="285">
        <f t="shared" si="11"/>
        <v>44.230039555830508</v>
      </c>
      <c r="N59" s="930"/>
      <c r="O59" s="930"/>
      <c r="P59" s="931"/>
      <c r="Q59" s="927"/>
      <c r="R59" s="30">
        <f>SUMIF(Hazstate,"Liquid",R$41:R$57)</f>
        <v>6.792194345553221E-10</v>
      </c>
      <c r="S59" s="30">
        <f>SUMIF(Hazstate,"Liquid",S$41:S$57)</f>
        <v>0</v>
      </c>
      <c r="T59" s="30">
        <f t="shared" si="15"/>
        <v>6.792194345553221E-10</v>
      </c>
      <c r="U59" s="924">
        <f t="shared" si="16"/>
        <v>4.01523662176053E-13</v>
      </c>
      <c r="V59" s="74"/>
    </row>
    <row r="60" spans="1:47" s="76" customFormat="1" outlineLevel="1" x14ac:dyDescent="0.2">
      <c r="A60" s="459"/>
      <c r="B60" s="468" t="str">
        <f t="shared" si="12"/>
        <v>Hazardous</v>
      </c>
      <c r="C60" s="827" t="s">
        <v>2</v>
      </c>
      <c r="D60" s="932"/>
      <c r="E60" s="237">
        <f>SA!G20</f>
        <v>0</v>
      </c>
      <c r="F60" s="932"/>
      <c r="G60" s="237">
        <f t="shared" si="17"/>
        <v>0</v>
      </c>
      <c r="H60" s="275">
        <f t="shared" si="10"/>
        <v>0</v>
      </c>
      <c r="I60" s="913"/>
      <c r="J60" s="237">
        <f>SA!H172</f>
        <v>146000</v>
      </c>
      <c r="K60" s="913"/>
      <c r="L60" s="237">
        <f t="shared" si="18"/>
        <v>146000</v>
      </c>
      <c r="M60" s="273">
        <f t="shared" si="11"/>
        <v>86.30856494276145</v>
      </c>
      <c r="N60" s="932"/>
      <c r="O60" s="932"/>
      <c r="P60" s="933"/>
      <c r="Q60" s="927"/>
      <c r="R60" s="913"/>
      <c r="S60" s="913"/>
      <c r="T60" s="928"/>
      <c r="U60" s="929"/>
      <c r="X60" s="74"/>
      <c r="Y60" s="74"/>
      <c r="Z60" s="74"/>
      <c r="AA60" s="74"/>
      <c r="AB60" s="74"/>
      <c r="AC60" s="74"/>
      <c r="AD60" s="74"/>
      <c r="AI60" s="74"/>
      <c r="AJ60" s="74"/>
      <c r="AK60" s="74"/>
      <c r="AL60" s="74"/>
      <c r="AM60" s="74"/>
      <c r="AN60" s="74"/>
      <c r="AO60" s="74"/>
      <c r="AP60" s="74"/>
      <c r="AQ60" s="74"/>
      <c r="AR60" s="74"/>
      <c r="AS60" s="74"/>
      <c r="AT60" s="74"/>
      <c r="AU60" s="74"/>
    </row>
    <row r="61" spans="1:47" s="247" customFormat="1" x14ac:dyDescent="0.2">
      <c r="A61" s="459"/>
      <c r="B61" s="498" t="str">
        <f>B59</f>
        <v>Hazardous</v>
      </c>
      <c r="C61" s="650" t="s">
        <v>115</v>
      </c>
      <c r="D61" s="1075"/>
      <c r="E61" s="966">
        <f>SUM(E58:E60)</f>
        <v>189111.0351899775</v>
      </c>
      <c r="F61" s="966">
        <f>SUM(F58:F60)</f>
        <v>149284.68404696963</v>
      </c>
      <c r="G61" s="966">
        <f t="shared" si="17"/>
        <v>338395.71923694713</v>
      </c>
      <c r="H61" s="967">
        <f t="shared" si="10"/>
        <v>200.04417061722276</v>
      </c>
      <c r="I61" s="1077"/>
      <c r="J61" s="966">
        <f>SUM(J58:J60)</f>
        <v>541707.95318510348</v>
      </c>
      <c r="K61" s="966">
        <f>SUM(K58:K60)</f>
        <v>2189.2280518063976</v>
      </c>
      <c r="L61" s="966">
        <f t="shared" si="18"/>
        <v>543897.18123690994</v>
      </c>
      <c r="M61" s="968">
        <f t="shared" si="11"/>
        <v>321.52729581486813</v>
      </c>
      <c r="N61" s="934"/>
      <c r="O61" s="934"/>
      <c r="P61" s="935"/>
      <c r="Q61" s="927"/>
      <c r="R61" s="966">
        <f>SUM(R59,R58)</f>
        <v>1.904831481756673E-9</v>
      </c>
      <c r="S61" s="966">
        <f>SUM(S59,S58)</f>
        <v>1.4372434634867305E-9</v>
      </c>
      <c r="T61" s="966">
        <f>SUM(Q61:S61)</f>
        <v>3.3420749452434035E-9</v>
      </c>
      <c r="U61" s="968">
        <f>T61/Pop_SA*1000</f>
        <v>1.9756828250350428E-12</v>
      </c>
      <c r="V61" s="957" t="s">
        <v>847</v>
      </c>
      <c r="X61" s="957" t="str">
        <f>IF(ROUND(SUM(G58:G59,L58:L59,T58:T59),0)=ROUND(SUM(SA!G209:I225),0),"OK","Error")</f>
        <v>OK</v>
      </c>
      <c r="Y61" s="74"/>
      <c r="AI61" s="249"/>
      <c r="AJ61" s="249"/>
      <c r="AK61" s="249"/>
      <c r="AL61" s="249"/>
      <c r="AM61" s="249"/>
      <c r="AN61" s="249"/>
      <c r="AO61" s="249"/>
      <c r="AP61" s="249"/>
      <c r="AQ61" s="249"/>
      <c r="AR61" s="249"/>
      <c r="AS61" s="249"/>
      <c r="AT61" s="249"/>
      <c r="AU61" s="249"/>
    </row>
    <row r="62" spans="1:47" ht="14.25" customHeight="1" x14ac:dyDescent="0.2">
      <c r="C62" s="951" t="s">
        <v>98</v>
      </c>
      <c r="D62" s="905"/>
      <c r="E62" s="286"/>
      <c r="F62" s="286"/>
      <c r="G62" s="286"/>
      <c r="H62" s="287"/>
      <c r="I62" s="977"/>
      <c r="J62" s="977"/>
      <c r="K62" s="977"/>
      <c r="L62" s="977"/>
      <c r="M62" s="291"/>
      <c r="N62" s="934"/>
      <c r="O62" s="934"/>
      <c r="P62" s="935"/>
      <c r="Q62" s="905"/>
      <c r="R62" s="27"/>
      <c r="S62" s="27"/>
      <c r="T62" s="27"/>
      <c r="U62" s="287"/>
      <c r="Y62" s="75"/>
    </row>
    <row r="63" spans="1:47" x14ac:dyDescent="0.2">
      <c r="C63" s="303" t="s">
        <v>1350</v>
      </c>
      <c r="D63" s="288">
        <f>SUM(D61,D40,D37,D36,D26,D21,D15,D11,D62)</f>
        <v>204616.19482692346</v>
      </c>
      <c r="E63" s="987">
        <f t="shared" ref="E63:F63" si="19">SUM(E61,E40,E37,E36,E26,E21,E15,E11,E62)</f>
        <v>299663.23295105639</v>
      </c>
      <c r="F63" s="289">
        <f t="shared" si="19"/>
        <v>463505.91503130703</v>
      </c>
      <c r="G63" s="294">
        <f>SUM(G61,G40,G37,G36,G26,G21,G15,G11,G62)</f>
        <v>967785.34280928678</v>
      </c>
      <c r="H63" s="290">
        <f>G63/Pop_SA*1000</f>
        <v>572.11071308567114</v>
      </c>
      <c r="I63" s="288">
        <f>SA!G177+I61</f>
        <v>435382.16439471714</v>
      </c>
      <c r="J63" s="987">
        <f>SA!H177+J61</f>
        <v>1659529.7875141245</v>
      </c>
      <c r="K63" s="289">
        <f>SA!I177+K61</f>
        <v>1209385.2293280684</v>
      </c>
      <c r="L63" s="294">
        <f>SUM(L61,L40,L37,L36,L26,L21,L15,L11,L62)</f>
        <v>3304297.1812369097</v>
      </c>
      <c r="M63" s="2423">
        <f>L63/Pop_SA*1000</f>
        <v>1953.350327787462</v>
      </c>
      <c r="N63" s="288">
        <f>SUM(N40,N26,N21)</f>
        <v>55956.125173076478</v>
      </c>
      <c r="O63" s="289">
        <f>SUM(O40,O26,O21)</f>
        <v>26972.082238921099</v>
      </c>
      <c r="P63" s="298">
        <f>SUM(P40,P26,P21)</f>
        <v>11494.169015662676</v>
      </c>
      <c r="Q63" s="288">
        <f>SUM(Q62,Q61,Q40,Q36,Q26,Q21)</f>
        <v>55956.125173076478</v>
      </c>
      <c r="R63" s="289">
        <f>SUM(R62,R61,R40,R36,R26,R21)</f>
        <v>81972.082238923002</v>
      </c>
      <c r="S63" s="289">
        <f>SUM(S62,S61,S40,S36,S26,S21)</f>
        <v>11494.169015664114</v>
      </c>
      <c r="T63" s="294">
        <f>SUM(T62,T61,T40,T36,T26,T21)</f>
        <v>149422.37642766358</v>
      </c>
      <c r="U63" s="2342">
        <f>T63/Pop_SA*1000</f>
        <v>88.331718354854459</v>
      </c>
      <c r="V63" s="74"/>
      <c r="Y63" s="75"/>
    </row>
    <row r="64" spans="1:47" x14ac:dyDescent="0.2">
      <c r="C64" s="2414" t="s">
        <v>1314</v>
      </c>
      <c r="E64" s="2413">
        <f>E63-E60</f>
        <v>299663.23295105639</v>
      </c>
      <c r="G64" s="272">
        <f>G63-G60</f>
        <v>967785.34280928678</v>
      </c>
      <c r="H64" s="283">
        <f>G64/Pop_SA*1000</f>
        <v>572.11071308567114</v>
      </c>
      <c r="J64" s="2413">
        <f>J63-J60</f>
        <v>1513529.7875141245</v>
      </c>
      <c r="L64" s="272">
        <f>L63-L60</f>
        <v>3158297.1812369097</v>
      </c>
      <c r="M64" s="272">
        <f>L64/Pop_SA*1000</f>
        <v>1867.0417628447005</v>
      </c>
      <c r="T64" s="272">
        <f>T63-T60</f>
        <v>149422.37642766358</v>
      </c>
      <c r="U64" s="283">
        <f>U63+U49</f>
        <v>88.331718354854502</v>
      </c>
      <c r="V64" s="74"/>
    </row>
    <row r="65" spans="1:44" x14ac:dyDescent="0.2">
      <c r="C65" s="304" t="s">
        <v>1351</v>
      </c>
      <c r="E65" s="955" t="s">
        <v>397</v>
      </c>
      <c r="F65" s="956" t="str">
        <f>IF(ROUND(SUM(D63:F63),0)=ROUND(G63,0),"Ok","Error")</f>
        <v>Ok</v>
      </c>
      <c r="G65" s="2415">
        <f>G64-SUM(G58:G59)</f>
        <v>629389.62357233965</v>
      </c>
      <c r="H65" s="292">
        <f>G65/Pop_SA*1000</f>
        <v>372.0665424684484</v>
      </c>
      <c r="J65" s="955" t="s">
        <v>397</v>
      </c>
      <c r="K65" s="956" t="str">
        <f>IF(ROUND(SUM(I63:K63),0)=ROUND(L63,0),"Ok","Error")</f>
        <v>Ok</v>
      </c>
      <c r="L65" s="2415">
        <f>L64-SUM(L58:L59)</f>
        <v>2760400</v>
      </c>
      <c r="M65" s="291">
        <f>L65/Pop_SA*1000</f>
        <v>1631.8230319725942</v>
      </c>
      <c r="R65" s="955" t="s">
        <v>397</v>
      </c>
      <c r="S65" s="956" t="str">
        <f>IF(ROUND(SUM(Q63:S63),0)=ROUND(T63,0),"Ok","Error")</f>
        <v>Ok</v>
      </c>
      <c r="T65" s="2415">
        <f>T64-SUM(T58:T59)</f>
        <v>149422.37642766023</v>
      </c>
      <c r="U65" s="292">
        <f>T65/Pop_SA*1000</f>
        <v>88.331718354852484</v>
      </c>
    </row>
    <row r="66" spans="1:44" x14ac:dyDescent="0.2">
      <c r="B66" s="253"/>
      <c r="C66" s="138"/>
      <c r="F66" s="250"/>
      <c r="G66" s="251"/>
    </row>
    <row r="67" spans="1:44" ht="15" customHeight="1" x14ac:dyDescent="0.2">
      <c r="C67" s="2444" t="s">
        <v>410</v>
      </c>
      <c r="D67" s="2440" t="s">
        <v>16</v>
      </c>
      <c r="E67" s="2441" t="s">
        <v>17</v>
      </c>
      <c r="F67" s="2441" t="s">
        <v>1354</v>
      </c>
      <c r="G67" s="2441" t="s">
        <v>18</v>
      </c>
      <c r="H67" s="2547" t="s">
        <v>88</v>
      </c>
      <c r="I67" s="2442" t="s">
        <v>1368</v>
      </c>
      <c r="J67" s="2443" t="s">
        <v>1369</v>
      </c>
      <c r="K67" s="2788" t="s">
        <v>1423</v>
      </c>
      <c r="L67" s="2775"/>
      <c r="M67" s="2776"/>
    </row>
    <row r="68" spans="1:44" ht="15" customHeight="1" x14ac:dyDescent="0.2">
      <c r="C68" s="936"/>
      <c r="D68" s="930"/>
      <c r="E68" s="2280" t="s">
        <v>455</v>
      </c>
      <c r="F68" s="2280" t="s">
        <v>454</v>
      </c>
      <c r="G68" s="2280"/>
      <c r="H68" s="2279" t="s">
        <v>88</v>
      </c>
      <c r="I68" s="2280" t="s">
        <v>454</v>
      </c>
      <c r="J68" s="2341" t="s">
        <v>1352</v>
      </c>
      <c r="K68" s="943" t="s">
        <v>455</v>
      </c>
      <c r="L68" s="2280" t="s">
        <v>454</v>
      </c>
      <c r="M68" s="2341" t="s">
        <v>1352</v>
      </c>
    </row>
    <row r="69" spans="1:44" ht="12.75" customHeight="1" x14ac:dyDescent="0.2">
      <c r="C69" s="937"/>
      <c r="D69" s="944" t="s">
        <v>16</v>
      </c>
      <c r="E69" s="945" t="s">
        <v>17</v>
      </c>
      <c r="F69" s="945" t="s">
        <v>17</v>
      </c>
      <c r="G69" s="945" t="s">
        <v>18</v>
      </c>
      <c r="H69" s="944" t="s">
        <v>112</v>
      </c>
      <c r="I69" s="945" t="s">
        <v>112</v>
      </c>
      <c r="J69" s="946" t="s">
        <v>112</v>
      </c>
      <c r="K69" s="944" t="s">
        <v>112</v>
      </c>
      <c r="L69" s="945" t="s">
        <v>112</v>
      </c>
      <c r="M69" s="946" t="s">
        <v>112</v>
      </c>
    </row>
    <row r="70" spans="1:44" s="76" customFormat="1" x14ac:dyDescent="0.2">
      <c r="A70" s="74"/>
      <c r="B70" s="74"/>
      <c r="C70" s="252" t="s">
        <v>113</v>
      </c>
      <c r="D70" s="253">
        <f>D63/1000</f>
        <v>204.61619482692345</v>
      </c>
      <c r="E70" s="253">
        <f>E63/1000</f>
        <v>299.66323295105639</v>
      </c>
      <c r="F70" s="253">
        <f>E64/1000</f>
        <v>299.66323295105639</v>
      </c>
      <c r="G70" s="253">
        <f>F63/1000</f>
        <v>463.50591503130704</v>
      </c>
      <c r="H70" s="255">
        <f>G63/1000</f>
        <v>967.78534280928682</v>
      </c>
      <c r="I70" s="253">
        <f>G64/1000</f>
        <v>967.78534280928682</v>
      </c>
      <c r="J70" s="254">
        <f>G65/1000</f>
        <v>629.3896235723397</v>
      </c>
      <c r="K70" s="255">
        <f>H63</f>
        <v>572.11071308567114</v>
      </c>
      <c r="L70" s="253">
        <f>H64</f>
        <v>572.11071308567114</v>
      </c>
      <c r="M70" s="254">
        <f>H65</f>
        <v>372.0665424684484</v>
      </c>
      <c r="N70" s="2149"/>
      <c r="O70" s="2149">
        <f t="shared" ref="O70:O72" si="20">H70/1000</f>
        <v>0.96778534280928685</v>
      </c>
      <c r="P70" s="2149">
        <f t="shared" ref="P70:P72" si="21">I70/1000</f>
        <v>0.96778534280928685</v>
      </c>
      <c r="Q70" s="2149">
        <f t="shared" ref="Q70:Q72" si="22">J70/1000</f>
        <v>0.62938962357233974</v>
      </c>
      <c r="R70" s="74"/>
      <c r="S70" s="74"/>
      <c r="T70" s="74"/>
      <c r="U70" s="74"/>
      <c r="V70" s="75"/>
      <c r="W70" s="74"/>
      <c r="X70" s="74"/>
      <c r="Y70" s="74"/>
      <c r="Z70" s="74"/>
      <c r="AA70" s="74"/>
      <c r="AB70" s="74"/>
      <c r="AC70" s="74"/>
      <c r="AD70" s="74"/>
      <c r="AE70" s="74"/>
      <c r="AF70" s="74"/>
      <c r="AG70" s="74"/>
      <c r="AH70" s="74"/>
      <c r="AI70" s="74"/>
      <c r="AJ70" s="74"/>
      <c r="AK70" s="74"/>
      <c r="AL70" s="74"/>
      <c r="AM70" s="74"/>
      <c r="AN70" s="74"/>
      <c r="AO70" s="74"/>
      <c r="AP70" s="74"/>
      <c r="AQ70" s="74"/>
      <c r="AR70" s="74"/>
    </row>
    <row r="71" spans="1:44" x14ac:dyDescent="0.2">
      <c r="C71" s="256" t="s">
        <v>114</v>
      </c>
      <c r="D71" s="253">
        <f>I63/1000</f>
        <v>435.38216439471717</v>
      </c>
      <c r="E71" s="253">
        <f>J63/1000</f>
        <v>1659.5297875141246</v>
      </c>
      <c r="F71" s="253">
        <f>J64/1000</f>
        <v>1513.5297875141246</v>
      </c>
      <c r="G71" s="253">
        <f>K63/1000</f>
        <v>1209.3852293280684</v>
      </c>
      <c r="H71" s="255">
        <f>L63/1000</f>
        <v>3304.2971812369096</v>
      </c>
      <c r="I71" s="253">
        <f>L64/1000</f>
        <v>3158.2971812369096</v>
      </c>
      <c r="J71" s="254">
        <f>L65/1000</f>
        <v>2760.4</v>
      </c>
      <c r="K71" s="255">
        <f>M63</f>
        <v>1953.350327787462</v>
      </c>
      <c r="L71" s="253">
        <f>M64</f>
        <v>1867.0417628447005</v>
      </c>
      <c r="M71" s="254">
        <f>M65</f>
        <v>1631.8230319725942</v>
      </c>
      <c r="N71" s="2149"/>
      <c r="O71" s="2149">
        <f t="shared" si="20"/>
        <v>3.3042971812369095</v>
      </c>
      <c r="P71" s="2149">
        <f t="shared" si="21"/>
        <v>3.1582971812369096</v>
      </c>
      <c r="Q71" s="2149">
        <f t="shared" si="22"/>
        <v>2.7604000000000002</v>
      </c>
    </row>
    <row r="72" spans="1:44" x14ac:dyDescent="0.2">
      <c r="C72" s="256" t="s">
        <v>38</v>
      </c>
      <c r="D72" s="253">
        <f>Q63/1000</f>
        <v>55.956125173076479</v>
      </c>
      <c r="E72" s="253">
        <f>R63/1000</f>
        <v>81.972082238923008</v>
      </c>
      <c r="F72" s="253">
        <f>E72</f>
        <v>81.972082238923008</v>
      </c>
      <c r="G72" s="253">
        <f>S63/1000</f>
        <v>11.494169015664115</v>
      </c>
      <c r="H72" s="255">
        <f>T63/1000</f>
        <v>149.42237642766358</v>
      </c>
      <c r="I72" s="253">
        <f>T64/1000</f>
        <v>149.42237642766358</v>
      </c>
      <c r="J72" s="254">
        <f>T65/1000</f>
        <v>149.42237642766023</v>
      </c>
      <c r="K72" s="255">
        <f>U63</f>
        <v>88.331718354854459</v>
      </c>
      <c r="L72" s="253">
        <f>U64</f>
        <v>88.331718354854502</v>
      </c>
      <c r="M72" s="254">
        <f>U65</f>
        <v>88.331718354852484</v>
      </c>
      <c r="N72" s="2149"/>
      <c r="O72" s="2149">
        <f t="shared" si="20"/>
        <v>0.14942237642766357</v>
      </c>
      <c r="P72" s="2149">
        <f t="shared" si="21"/>
        <v>0.14942237642766357</v>
      </c>
      <c r="Q72" s="2149">
        <f t="shared" si="22"/>
        <v>0.14942237642766024</v>
      </c>
    </row>
    <row r="73" spans="1:44" x14ac:dyDescent="0.2">
      <c r="C73" s="252" t="s">
        <v>116</v>
      </c>
      <c r="D73" s="257">
        <f t="shared" ref="D73:J73" si="23">SUM(D71:D72)/D74</f>
        <v>0.70599198738566726</v>
      </c>
      <c r="E73" s="257">
        <f t="shared" si="23"/>
        <v>0.85319010571263099</v>
      </c>
      <c r="F73" s="257">
        <f t="shared" si="23"/>
        <v>0.84188014409748069</v>
      </c>
      <c r="G73" s="257">
        <f t="shared" si="23"/>
        <v>0.72482192088069797</v>
      </c>
      <c r="H73" s="259">
        <f t="shared" si="23"/>
        <v>0.78111856379361522</v>
      </c>
      <c r="I73" s="257">
        <f t="shared" si="23"/>
        <v>0.77364419750705327</v>
      </c>
      <c r="J73" s="258">
        <f t="shared" si="23"/>
        <v>0.82216673554103581</v>
      </c>
      <c r="K73" s="259">
        <f>SUM(K71:K72)/K74</f>
        <v>0.78111856379361533</v>
      </c>
      <c r="L73" s="257">
        <f>SUM(L71:L72)/L74</f>
        <v>0.77364419750705327</v>
      </c>
      <c r="M73" s="258">
        <f>SUM(M71:M72)/M74</f>
        <v>0.8221667355410357</v>
      </c>
      <c r="N73" s="2150"/>
      <c r="O73" s="2150">
        <f>H73*1000</f>
        <v>781.11856379361518</v>
      </c>
      <c r="P73" s="2150">
        <f t="shared" ref="P73:Q73" si="24">I73*1000</f>
        <v>773.64419750705326</v>
      </c>
      <c r="Q73" s="2150">
        <f t="shared" si="24"/>
        <v>822.16673554103579</v>
      </c>
    </row>
    <row r="74" spans="1:44" x14ac:dyDescent="0.2">
      <c r="C74" s="260" t="s">
        <v>117</v>
      </c>
      <c r="D74" s="261">
        <f t="shared" ref="D74:J74" si="25">SUM(D70:D72)</f>
        <v>695.95448439471704</v>
      </c>
      <c r="E74" s="261">
        <f t="shared" si="25"/>
        <v>2041.1651027041039</v>
      </c>
      <c r="F74" s="261">
        <f t="shared" si="25"/>
        <v>1895.1651027041039</v>
      </c>
      <c r="G74" s="261">
        <f t="shared" si="25"/>
        <v>1684.3853133750395</v>
      </c>
      <c r="H74" s="263">
        <f t="shared" si="25"/>
        <v>4421.5049004738603</v>
      </c>
      <c r="I74" s="2412">
        <f t="shared" si="25"/>
        <v>4275.5049004738603</v>
      </c>
      <c r="J74" s="262">
        <f t="shared" si="25"/>
        <v>3539.212</v>
      </c>
      <c r="K74" s="263">
        <f>SUM(K70:K72)</f>
        <v>2613.7927592279875</v>
      </c>
      <c r="L74" s="2412">
        <f>SUM(L70:L72)</f>
        <v>2527.4841942852263</v>
      </c>
      <c r="M74" s="262">
        <f>SUM(M70:M72)</f>
        <v>2092.2212927958954</v>
      </c>
      <c r="N74" s="2149"/>
      <c r="O74" s="2149">
        <f>H74/1000</f>
        <v>4.4215049004738605</v>
      </c>
      <c r="P74" s="2149">
        <f t="shared" ref="P74:Q74" si="26">I74/1000</f>
        <v>4.2755049004738606</v>
      </c>
      <c r="Q74" s="2149">
        <f t="shared" si="26"/>
        <v>3.539212</v>
      </c>
    </row>
    <row r="75" spans="1:44" s="76" customFormat="1" x14ac:dyDescent="0.2">
      <c r="A75" s="74"/>
      <c r="B75" s="74"/>
      <c r="C75" s="2076" t="s">
        <v>1308</v>
      </c>
      <c r="D75" s="2439">
        <f>D74/Pop_SA*1000000</f>
        <v>411.41666310676374</v>
      </c>
      <c r="E75" s="2439">
        <f>E74/Pop_SA*1000000</f>
        <v>1206.6440467509283</v>
      </c>
      <c r="F75" s="2439">
        <f>F74/Pop_SA*1000000</f>
        <v>1120.3354818081668</v>
      </c>
      <c r="G75" s="2439">
        <f>G74/Pop_SA*1000000</f>
        <v>995.73204937029584</v>
      </c>
      <c r="H75" s="74"/>
      <c r="I75" s="74"/>
      <c r="J75" s="74"/>
      <c r="K75" s="74"/>
      <c r="L75" s="74"/>
      <c r="M75" s="74"/>
      <c r="N75" s="2076" t="s">
        <v>1146</v>
      </c>
      <c r="O75" s="2076" t="s">
        <v>1147</v>
      </c>
      <c r="P75" s="2076" t="s">
        <v>1148</v>
      </c>
      <c r="Q75" s="2076" t="s">
        <v>1149</v>
      </c>
      <c r="R75" s="2076" t="s">
        <v>1312</v>
      </c>
      <c r="S75" s="74"/>
      <c r="T75" s="74"/>
      <c r="U75" s="74"/>
      <c r="V75" s="75"/>
      <c r="W75" s="74"/>
      <c r="X75" s="74"/>
      <c r="Y75" s="74"/>
      <c r="Z75" s="74"/>
      <c r="AA75" s="74"/>
      <c r="AB75" s="74"/>
      <c r="AC75" s="74"/>
      <c r="AD75" s="74"/>
      <c r="AE75" s="74"/>
      <c r="AF75" s="74"/>
      <c r="AG75" s="74"/>
      <c r="AH75" s="74"/>
      <c r="AI75" s="74"/>
      <c r="AJ75" s="74"/>
      <c r="AK75" s="74"/>
      <c r="AL75" s="74"/>
      <c r="AM75" s="74"/>
      <c r="AN75" s="74"/>
      <c r="AO75" s="74"/>
      <c r="AP75" s="74"/>
      <c r="AQ75" s="74"/>
      <c r="AR75" s="74"/>
    </row>
    <row r="76" spans="1:44" x14ac:dyDescent="0.2">
      <c r="C76" s="76"/>
      <c r="D76" s="76"/>
      <c r="E76" s="76"/>
      <c r="F76" s="76"/>
      <c r="G76" s="76"/>
      <c r="H76" s="76"/>
      <c r="I76" s="76"/>
      <c r="J76" s="76"/>
      <c r="N76" s="2076" t="s">
        <v>1367</v>
      </c>
      <c r="O76" s="2076" t="s">
        <v>1309</v>
      </c>
      <c r="P76" s="2076" t="s">
        <v>1367</v>
      </c>
      <c r="Q76" s="2076" t="s">
        <v>1309</v>
      </c>
      <c r="R76" s="2076" t="s">
        <v>1367</v>
      </c>
      <c r="S76" s="2076" t="s">
        <v>1309</v>
      </c>
    </row>
    <row r="77" spans="1:44" x14ac:dyDescent="0.2">
      <c r="C77" s="941"/>
      <c r="D77" s="2775" t="s">
        <v>410</v>
      </c>
      <c r="E77" s="2775"/>
      <c r="F77" s="2775"/>
      <c r="G77" s="2776"/>
      <c r="H77" s="942"/>
      <c r="I77" s="2788" t="s">
        <v>1311</v>
      </c>
      <c r="J77" s="2775"/>
      <c r="K77" s="2775"/>
      <c r="L77" s="2776"/>
    </row>
    <row r="78" spans="1:44" ht="25.5" x14ac:dyDescent="0.2">
      <c r="C78" s="940"/>
      <c r="D78" s="947" t="s">
        <v>113</v>
      </c>
      <c r="E78" s="947" t="s">
        <v>114</v>
      </c>
      <c r="F78" s="947" t="s">
        <v>38</v>
      </c>
      <c r="G78" s="948" t="s">
        <v>117</v>
      </c>
      <c r="H78" s="949" t="s">
        <v>116</v>
      </c>
      <c r="I78" s="2148" t="s">
        <v>113</v>
      </c>
      <c r="J78" s="947" t="s">
        <v>114</v>
      </c>
      <c r="K78" s="947" t="s">
        <v>38</v>
      </c>
      <c r="L78" s="948" t="s">
        <v>117</v>
      </c>
    </row>
    <row r="79" spans="1:44" s="77" customFormat="1" x14ac:dyDescent="0.2">
      <c r="A79" s="74"/>
      <c r="B79" s="2130" t="s">
        <v>1121</v>
      </c>
      <c r="C79" s="264" t="s">
        <v>25</v>
      </c>
      <c r="D79" s="253">
        <f>G11/1000</f>
        <v>216.51349157526997</v>
      </c>
      <c r="E79" s="253">
        <f>L11/1000</f>
        <v>1086.9000000000001</v>
      </c>
      <c r="F79" s="253">
        <f>T11/1000</f>
        <v>0</v>
      </c>
      <c r="G79" s="254">
        <f t="shared" ref="G79:G87" si="27">SUM(D79:F79)</f>
        <v>1303.41349157527</v>
      </c>
      <c r="H79" s="938">
        <f t="shared" ref="H79:H87" si="28">SUM(E79:F79)/G79</f>
        <v>0.83388733278063776</v>
      </c>
      <c r="I79" s="255">
        <f>H11</f>
        <v>127.99293663430289</v>
      </c>
      <c r="J79" s="253">
        <f>M11</f>
        <v>642.52588518005098</v>
      </c>
      <c r="K79" s="253">
        <f>U11</f>
        <v>0</v>
      </c>
      <c r="L79" s="254">
        <f>SUM(I79:K79)</f>
        <v>770.51882181435383</v>
      </c>
      <c r="M79" s="74"/>
      <c r="N79" s="74"/>
      <c r="O79" s="74"/>
      <c r="P79" s="74"/>
      <c r="Q79" s="74"/>
      <c r="R79" s="74"/>
      <c r="S79" s="74"/>
      <c r="T79" s="74"/>
      <c r="U79" s="74"/>
      <c r="V79" s="75"/>
      <c r="W79" s="74"/>
      <c r="X79" s="74"/>
      <c r="Y79" s="74"/>
      <c r="Z79" s="74"/>
      <c r="AA79" s="74"/>
      <c r="AB79" s="74"/>
      <c r="AC79" s="74"/>
      <c r="AD79" s="74"/>
      <c r="AE79" s="74"/>
      <c r="AF79" s="74"/>
      <c r="AG79" s="74"/>
      <c r="AH79" s="74"/>
      <c r="AI79" s="74"/>
      <c r="AJ79" s="74"/>
      <c r="AK79" s="74"/>
      <c r="AL79" s="74"/>
      <c r="AM79" s="74"/>
      <c r="AN79" s="74"/>
      <c r="AO79" s="74"/>
      <c r="AP79" s="74"/>
      <c r="AQ79" s="74"/>
      <c r="AR79" s="74"/>
    </row>
    <row r="80" spans="1:44" x14ac:dyDescent="0.2">
      <c r="B80" s="2130" t="s">
        <v>28</v>
      </c>
      <c r="C80" s="264" t="s">
        <v>28</v>
      </c>
      <c r="D80" s="253">
        <f>G15/1000</f>
        <v>22.368026567064788</v>
      </c>
      <c r="E80" s="253">
        <f>L15/1000</f>
        <v>318</v>
      </c>
      <c r="F80" s="253">
        <f>T15/1000</f>
        <v>0</v>
      </c>
      <c r="G80" s="254">
        <f t="shared" si="27"/>
        <v>340.36802656706482</v>
      </c>
      <c r="H80" s="938">
        <f t="shared" si="28"/>
        <v>0.93428282088459469</v>
      </c>
      <c r="I80" s="255">
        <f>H15</f>
        <v>13.222960778115924</v>
      </c>
      <c r="J80" s="253">
        <f>M15</f>
        <v>187.98714829998727</v>
      </c>
      <c r="K80" s="253">
        <f>U15</f>
        <v>0</v>
      </c>
      <c r="L80" s="254">
        <f t="shared" ref="L80:L87" si="29">SUM(I80:K80)</f>
        <v>201.21010907810319</v>
      </c>
    </row>
    <row r="81" spans="1:50" x14ac:dyDescent="0.2">
      <c r="B81" s="2130" t="s">
        <v>22</v>
      </c>
      <c r="C81" s="264" t="s">
        <v>22</v>
      </c>
      <c r="D81" s="253">
        <f>G21/1000</f>
        <v>262.10476497981568</v>
      </c>
      <c r="E81" s="253">
        <f>L21/1000</f>
        <v>1018</v>
      </c>
      <c r="F81" s="253">
        <f>T21/1000</f>
        <v>98.679187789410875</v>
      </c>
      <c r="G81" s="254">
        <f t="shared" si="27"/>
        <v>1378.7839527692265</v>
      </c>
      <c r="H81" s="938">
        <f t="shared" si="28"/>
        <v>0.80990149729158811</v>
      </c>
      <c r="I81" s="255">
        <f>H21</f>
        <v>154.94442554840856</v>
      </c>
      <c r="J81" s="253">
        <f>M21</f>
        <v>601.79533638172029</v>
      </c>
      <c r="K81" s="253">
        <f>U21</f>
        <v>58.334651286447418</v>
      </c>
      <c r="L81" s="254">
        <f t="shared" si="29"/>
        <v>815.07441321657632</v>
      </c>
    </row>
    <row r="82" spans="1:50" x14ac:dyDescent="0.2">
      <c r="B82" s="2130" t="s">
        <v>1120</v>
      </c>
      <c r="C82" s="264" t="s">
        <v>20</v>
      </c>
      <c r="D82" s="253">
        <f>G26/1000</f>
        <v>47.743322809341784</v>
      </c>
      <c r="E82" s="253">
        <f>L26/1000</f>
        <v>232.8</v>
      </c>
      <c r="F82" s="253">
        <f>T26/1000</f>
        <v>19.953485060532593</v>
      </c>
      <c r="G82" s="254">
        <f t="shared" si="27"/>
        <v>300.49680786987443</v>
      </c>
      <c r="H82" s="938">
        <f t="shared" si="28"/>
        <v>0.8411187022325497</v>
      </c>
      <c r="I82" s="255">
        <f>H26</f>
        <v>28.22368272105</v>
      </c>
      <c r="J82" s="253">
        <f>M26</f>
        <v>137.62078026489635</v>
      </c>
      <c r="K82" s="253">
        <f>U26</f>
        <v>11.795593569735601</v>
      </c>
      <c r="L82" s="254">
        <f t="shared" si="29"/>
        <v>177.64005655568195</v>
      </c>
    </row>
    <row r="83" spans="1:50" x14ac:dyDescent="0.2">
      <c r="B83" s="2130" t="s">
        <v>32</v>
      </c>
      <c r="C83" s="264" t="s">
        <v>32</v>
      </c>
      <c r="D83" s="253">
        <f>G36/1000</f>
        <v>46.994602273572326</v>
      </c>
      <c r="E83" s="253">
        <f>L36/1000</f>
        <v>21.2</v>
      </c>
      <c r="F83" s="253">
        <f>T36/1000</f>
        <v>16.5</v>
      </c>
      <c r="G83" s="254">
        <f t="shared" si="27"/>
        <v>84.694602273572329</v>
      </c>
      <c r="H83" s="938">
        <f t="shared" si="28"/>
        <v>0.44512872116956287</v>
      </c>
      <c r="I83" s="255">
        <f>H36</f>
        <v>27.78107316635522</v>
      </c>
      <c r="J83" s="253">
        <f>M36</f>
        <v>12.532476553332486</v>
      </c>
      <c r="K83" s="253">
        <f>U36</f>
        <v>0</v>
      </c>
      <c r="L83" s="254">
        <f t="shared" si="29"/>
        <v>40.313549719687707</v>
      </c>
      <c r="AE83" s="79"/>
      <c r="AF83" s="79"/>
      <c r="AG83" s="79"/>
      <c r="AH83" s="79"/>
      <c r="AI83" s="79"/>
      <c r="AJ83" s="79"/>
    </row>
    <row r="84" spans="1:50" s="77" customFormat="1" x14ac:dyDescent="0.2">
      <c r="A84" s="74"/>
      <c r="B84" s="2130" t="s">
        <v>30</v>
      </c>
      <c r="C84" s="264" t="s">
        <v>30</v>
      </c>
      <c r="D84" s="253">
        <f>G37/1000</f>
        <v>12.481090176911927</v>
      </c>
      <c r="E84" s="253">
        <f>L37/1000</f>
        <v>61</v>
      </c>
      <c r="F84" s="253">
        <f>T37/1000</f>
        <v>0</v>
      </c>
      <c r="G84" s="254">
        <f t="shared" si="27"/>
        <v>73.48109017691192</v>
      </c>
      <c r="H84" s="938">
        <f t="shared" si="28"/>
        <v>0.83014554973446031</v>
      </c>
      <c r="I84" s="255">
        <f>H37</f>
        <v>7.3782533019894867</v>
      </c>
      <c r="J84" s="253">
        <f>M37</f>
        <v>36.06042781855102</v>
      </c>
      <c r="K84" s="253">
        <f>U37</f>
        <v>0</v>
      </c>
      <c r="L84" s="254">
        <f t="shared" si="29"/>
        <v>43.438681120540508</v>
      </c>
      <c r="M84" s="74"/>
      <c r="N84" s="74"/>
      <c r="O84" s="74"/>
      <c r="P84" s="74"/>
      <c r="Q84" s="74"/>
      <c r="R84" s="74"/>
      <c r="S84" s="74"/>
      <c r="AB84" s="74"/>
      <c r="AC84" s="74"/>
      <c r="AD84" s="74"/>
      <c r="AE84" s="80"/>
      <c r="AF84" s="80"/>
      <c r="AG84" s="80"/>
      <c r="AH84" s="81"/>
      <c r="AI84" s="81"/>
      <c r="AJ84" s="82"/>
      <c r="AK84" s="74"/>
      <c r="AL84" s="74"/>
      <c r="AM84" s="74"/>
      <c r="AN84" s="74"/>
      <c r="AO84" s="74"/>
      <c r="AP84" s="74"/>
      <c r="AQ84" s="74"/>
      <c r="AR84" s="74"/>
      <c r="AS84" s="74"/>
      <c r="AT84" s="74"/>
      <c r="AU84" s="74"/>
      <c r="AV84" s="74"/>
      <c r="AW84" s="74"/>
      <c r="AX84" s="74"/>
    </row>
    <row r="85" spans="1:50" s="76" customFormat="1" x14ac:dyDescent="0.2">
      <c r="A85" s="74"/>
      <c r="B85" s="2130" t="s">
        <v>27</v>
      </c>
      <c r="C85" s="264" t="s">
        <v>27</v>
      </c>
      <c r="D85" s="253">
        <f>G40/1000</f>
        <v>21.184325190363271</v>
      </c>
      <c r="E85" s="253">
        <f>L40/1000</f>
        <v>22.5</v>
      </c>
      <c r="F85" s="253">
        <f>T40/1000</f>
        <v>14.28970357771677</v>
      </c>
      <c r="G85" s="254">
        <f t="shared" si="27"/>
        <v>57.974028768080039</v>
      </c>
      <c r="H85" s="938">
        <f t="shared" si="28"/>
        <v>0.63458939044741425</v>
      </c>
      <c r="I85" s="255">
        <f>H40</f>
        <v>12.52321031822634</v>
      </c>
      <c r="J85" s="253">
        <f>M40</f>
        <v>13.300977474055705</v>
      </c>
      <c r="K85" s="253">
        <f>U40</f>
        <v>8.4474233510286201</v>
      </c>
      <c r="L85" s="254">
        <f t="shared" si="29"/>
        <v>34.271611143310665</v>
      </c>
      <c r="M85" s="74"/>
      <c r="N85" s="74"/>
      <c r="O85" s="74"/>
      <c r="P85" s="74"/>
      <c r="Q85" s="74"/>
      <c r="R85" s="74"/>
      <c r="S85" s="74"/>
      <c r="AB85" s="74"/>
      <c r="AC85" s="74"/>
      <c r="AD85" s="74"/>
      <c r="AE85" s="80"/>
      <c r="AF85" s="80"/>
      <c r="AG85" s="80"/>
      <c r="AH85" s="81"/>
      <c r="AI85" s="81"/>
      <c r="AJ85" s="82"/>
      <c r="AK85" s="74"/>
      <c r="AL85" s="74"/>
      <c r="AM85" s="74"/>
      <c r="AN85" s="74"/>
      <c r="AO85" s="74"/>
      <c r="AP85" s="74"/>
      <c r="AQ85" s="74"/>
      <c r="AR85" s="74"/>
      <c r="AS85" s="74"/>
      <c r="AT85" s="74"/>
      <c r="AU85" s="74"/>
      <c r="AV85" s="74"/>
      <c r="AW85" s="74"/>
      <c r="AX85" s="74"/>
    </row>
    <row r="86" spans="1:50" s="76" customFormat="1" x14ac:dyDescent="0.2">
      <c r="A86" s="74"/>
      <c r="B86" s="2130" t="s">
        <v>1370</v>
      </c>
      <c r="C86" s="264" t="s">
        <v>35</v>
      </c>
      <c r="D86" s="253">
        <f>SUM(G58:G59)/1000</f>
        <v>338.39571923694712</v>
      </c>
      <c r="E86" s="253">
        <f>SUM(L58:L59)/1000</f>
        <v>397.89718123690994</v>
      </c>
      <c r="F86" s="253">
        <f>SUM(T58:T59)/1000</f>
        <v>3.3420749452434039E-12</v>
      </c>
      <c r="G86" s="254">
        <f t="shared" si="27"/>
        <v>736.29290047386041</v>
      </c>
      <c r="H86" s="938">
        <f t="shared" si="28"/>
        <v>0.54040610873856887</v>
      </c>
      <c r="I86" s="255">
        <f>SUM(H58:H59)</f>
        <v>200.04417061722279</v>
      </c>
      <c r="J86" s="253">
        <f>SUM(M58:M59)</f>
        <v>235.21873087210662</v>
      </c>
      <c r="K86" s="253">
        <f>SUM(U58:U59)</f>
        <v>1.9756828250350428E-12</v>
      </c>
      <c r="L86" s="254">
        <f t="shared" si="29"/>
        <v>435.2629014893314</v>
      </c>
      <c r="M86" s="74"/>
      <c r="N86" s="74"/>
      <c r="O86" s="74"/>
      <c r="P86" s="74"/>
      <c r="Q86" s="74"/>
      <c r="R86" s="74"/>
      <c r="S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row>
    <row r="87" spans="1:50" x14ac:dyDescent="0.2">
      <c r="B87" s="2130" t="s">
        <v>2</v>
      </c>
      <c r="C87" s="265" t="s">
        <v>2</v>
      </c>
      <c r="D87" s="261">
        <f>G60/1000</f>
        <v>0</v>
      </c>
      <c r="E87" s="261">
        <f>L60/1000</f>
        <v>146</v>
      </c>
      <c r="F87" s="261">
        <f>T60/1000</f>
        <v>0</v>
      </c>
      <c r="G87" s="266">
        <f t="shared" si="27"/>
        <v>146</v>
      </c>
      <c r="H87" s="939">
        <f t="shared" si="28"/>
        <v>1</v>
      </c>
      <c r="I87" s="1677">
        <f>H60</f>
        <v>0</v>
      </c>
      <c r="J87" s="261">
        <f>M60</f>
        <v>86.30856494276145</v>
      </c>
      <c r="K87" s="261">
        <f>U60</f>
        <v>0</v>
      </c>
      <c r="L87" s="266">
        <f t="shared" si="29"/>
        <v>86.30856494276145</v>
      </c>
      <c r="AB87" s="76"/>
      <c r="AC87" s="76"/>
      <c r="AE87" s="76"/>
      <c r="AF87" s="76"/>
      <c r="AG87" s="76"/>
      <c r="AH87" s="76"/>
      <c r="AI87" s="76"/>
      <c r="AJ87" s="76"/>
      <c r="AK87" s="76"/>
      <c r="AL87" s="76"/>
      <c r="AM87" s="76"/>
      <c r="AN87" s="76"/>
      <c r="AO87" s="76"/>
      <c r="AP87" s="76"/>
      <c r="AQ87" s="76"/>
      <c r="AR87" s="76"/>
      <c r="AS87" s="76"/>
      <c r="AT87" s="76"/>
      <c r="AU87" s="76"/>
      <c r="AV87" s="76"/>
      <c r="AW87" s="76"/>
      <c r="AX87" s="76"/>
    </row>
    <row r="88" spans="1:50" x14ac:dyDescent="0.2">
      <c r="C88" s="2240" t="s">
        <v>1438</v>
      </c>
      <c r="D88" s="2331">
        <f>D16/1000</f>
        <v>88.15221026393256</v>
      </c>
      <c r="E88" s="2331">
        <f>I16/1000</f>
        <v>8</v>
      </c>
      <c r="F88" s="2331">
        <f>Q16/1000</f>
        <v>38.352252059193361</v>
      </c>
      <c r="G88" s="2422">
        <f t="shared" ref="G88" si="30">SUM(D88:F88)</f>
        <v>134.50446232312592</v>
      </c>
      <c r="H88" s="2566">
        <f>SUM(E88:F88)/G88</f>
        <v>0.34461497602837393</v>
      </c>
      <c r="I88" s="2567"/>
      <c r="J88" s="2331"/>
      <c r="K88" s="2331"/>
      <c r="L88" s="1652"/>
    </row>
    <row r="89" spans="1:50" s="76" customFormat="1" x14ac:dyDescent="0.2">
      <c r="A89" s="74"/>
      <c r="B89" s="74"/>
      <c r="C89" s="1641" t="s">
        <v>1439</v>
      </c>
      <c r="D89" s="2314">
        <f>G16/1000</f>
        <v>121.95074927414022</v>
      </c>
      <c r="E89" s="2314">
        <f>L16/1000</f>
        <v>8</v>
      </c>
      <c r="F89" s="2314">
        <f>T16/1000</f>
        <v>53.056932559783419</v>
      </c>
      <c r="G89" s="254">
        <f t="shared" ref="G89:G91" si="31">SUM(D89:F89)</f>
        <v>183.00768183392364</v>
      </c>
      <c r="H89" s="938">
        <f>SUM(E89:F89)/G89</f>
        <v>0.33363043533435688</v>
      </c>
      <c r="I89" s="2568"/>
      <c r="J89" s="2314"/>
      <c r="K89" s="2314"/>
      <c r="L89" s="253"/>
      <c r="M89" s="74"/>
      <c r="N89" s="74"/>
      <c r="O89" s="74"/>
      <c r="P89" s="74"/>
      <c r="Q89" s="74"/>
      <c r="R89" s="74"/>
      <c r="S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row>
    <row r="90" spans="1:50" x14ac:dyDescent="0.2">
      <c r="C90" s="1641" t="s">
        <v>1437</v>
      </c>
      <c r="D90" s="2314">
        <f>(SUMIFS('Basel data'!$E$8:$E$604,'Basel data'!$C$8:$C$604,"K100",'Basel data'!$G$8:$G$604,"south australia")+SUMIFS('Basel data'!$F$8:$F$604,'Basel data'!$C$8:$C$604,"K100",'Basel data'!$G$8:$G$604,"south australia")+SUMIFS('Basel data'!$E$8:$E$604,'Basel data'!$C$8:$C$604,"K110",'Basel data'!$G$8:$G$604,"south australia")+SUMIFS('Basel data'!$F$8:$F$604,'Basel data'!$C$8:$C$604,"K110",'Basel data'!$G$8:$G$604,"south australia"))*(1-SUM('Other national data'!M432:N432))/1000</f>
        <v>2.825372282592606</v>
      </c>
      <c r="E90" s="2314">
        <f>(SUMIFS('Basel data'!$E$8:$E$604,'Basel data'!$C$8:$C$604,"K100",'Basel data'!$G$8:$G$604,"south australia")+SUMIFS('Basel data'!$F$8:$F$604,'Basel data'!$C$8:$C$604,"K100",'Basel data'!$G$8:$G$604,"south australia")+SUMIFS('Basel data'!$E$8:$E$604,'Basel data'!$C$8:$C$604,"K110",'Basel data'!$G$8:$G$604,"south australia")+SUMIFS('Basel data'!$F$8:$F$604,'Basel data'!$C$8:$C$604,"K110",'Basel data'!$G$8:$G$604,"south australia"))*'Other national data'!M432/1000</f>
        <v>53.105099493000971</v>
      </c>
      <c r="F90" s="2314">
        <f>(SUMIFS('Basel data'!$E$8:$E$604,'Basel data'!$C$8:$C$604,"K100",'Basel data'!$G$8:$G$604,"south australia")+SUMIFS('Basel data'!$F$8:$F$604,'Basel data'!$C$8:$C$604,"K100",'Basel data'!$G$8:$G$604,"south australia")+SUMIFS('Basel data'!$E$8:$E$604,'Basel data'!$C$8:$C$604,"K110",'Basel data'!$G$8:$G$604,"south australia")+SUMIFS('Basel data'!$F$8:$F$604,'Basel data'!$C$8:$C$604,"K110",'Basel data'!$G$8:$G$604,"south australia"))*'Other national data'!N432/1000</f>
        <v>5.593047177559413E-13</v>
      </c>
      <c r="G90" s="254">
        <f t="shared" si="31"/>
        <v>55.930471775594135</v>
      </c>
      <c r="H90" s="938">
        <f>SUM(E90:F90)/G90</f>
        <v>0.94948420435413727</v>
      </c>
      <c r="I90" s="2568"/>
      <c r="J90" s="2314"/>
      <c r="K90" s="2314"/>
      <c r="L90" s="253"/>
    </row>
    <row r="91" spans="1:50" x14ac:dyDescent="0.2">
      <c r="C91" s="2049" t="s">
        <v>1436</v>
      </c>
      <c r="D91" s="2315">
        <f>SUM(D89:D90)</f>
        <v>124.77612155673283</v>
      </c>
      <c r="E91" s="2315">
        <f t="shared" ref="E91:F91" si="32">SUM(E89:E90)</f>
        <v>61.105099493000971</v>
      </c>
      <c r="F91" s="2315">
        <f t="shared" si="32"/>
        <v>53.056932559783981</v>
      </c>
      <c r="G91" s="266">
        <f t="shared" si="31"/>
        <v>238.93815360951777</v>
      </c>
      <c r="H91" s="939">
        <f>SUM(E91:F91)/G91</f>
        <v>0.47778904427023022</v>
      </c>
      <c r="AB91" s="76"/>
      <c r="AC91" s="76"/>
      <c r="AE91" s="76"/>
      <c r="AF91" s="76"/>
      <c r="AG91" s="76"/>
      <c r="AH91" s="76"/>
      <c r="AI91" s="76"/>
      <c r="AJ91" s="76"/>
      <c r="AK91" s="76"/>
      <c r="AL91" s="76"/>
      <c r="AM91" s="76"/>
      <c r="AN91" s="76"/>
      <c r="AO91" s="76"/>
      <c r="AP91" s="76"/>
      <c r="AQ91" s="76"/>
      <c r="AR91" s="76"/>
      <c r="AS91" s="76"/>
      <c r="AT91" s="76"/>
      <c r="AU91" s="76"/>
      <c r="AV91" s="76"/>
      <c r="AW91" s="76"/>
      <c r="AX91" s="76"/>
    </row>
    <row r="93" spans="1:50" x14ac:dyDescent="0.2">
      <c r="C93" s="1629" t="s">
        <v>342</v>
      </c>
      <c r="D93" s="253">
        <f>SUM(G11,G15,G21,G26,G36,G37,G40,G52:G53,N63:P63)/1000</f>
        <v>934.73960087546914</v>
      </c>
    </row>
    <row r="94" spans="1:50" s="76" customFormat="1" x14ac:dyDescent="0.2">
      <c r="A94" s="74"/>
      <c r="B94" s="74"/>
      <c r="C94" s="74"/>
      <c r="D94" s="74"/>
      <c r="E94" s="74"/>
      <c r="F94" s="74"/>
      <c r="G94" s="74"/>
      <c r="H94" s="74"/>
      <c r="I94" s="74"/>
      <c r="J94" s="74"/>
      <c r="K94" s="74"/>
      <c r="L94" s="74"/>
      <c r="M94" s="74"/>
      <c r="N94" s="74"/>
      <c r="O94" s="74"/>
      <c r="P94" s="74"/>
      <c r="Q94" s="74"/>
      <c r="R94" s="74"/>
      <c r="S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row>
    <row r="95" spans="1:50" s="76" customFormat="1" x14ac:dyDescent="0.2">
      <c r="A95" s="74"/>
      <c r="B95" s="74"/>
      <c r="C95" s="74"/>
      <c r="D95" s="74"/>
      <c r="E95" s="74"/>
      <c r="F95" s="74"/>
      <c r="G95" s="74"/>
      <c r="H95" s="74"/>
      <c r="I95" s="74"/>
      <c r="J95" s="74"/>
      <c r="K95" s="74"/>
      <c r="L95" s="74"/>
      <c r="M95" s="74"/>
      <c r="N95" s="74"/>
      <c r="O95" s="74"/>
      <c r="P95" s="74"/>
      <c r="Q95" s="74"/>
      <c r="R95" s="74"/>
      <c r="S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row>
    <row r="97" spans="1:50" x14ac:dyDescent="0.2">
      <c r="AB97" s="76"/>
      <c r="AC97" s="76"/>
      <c r="AE97" s="76"/>
      <c r="AF97" s="76"/>
      <c r="AG97" s="76"/>
      <c r="AH97" s="76"/>
      <c r="AI97" s="76"/>
      <c r="AJ97" s="76"/>
      <c r="AK97" s="76"/>
      <c r="AL97" s="76"/>
      <c r="AM97" s="76"/>
      <c r="AN97" s="76"/>
      <c r="AO97" s="76"/>
      <c r="AP97" s="76"/>
      <c r="AQ97" s="76"/>
      <c r="AR97" s="76"/>
      <c r="AS97" s="76"/>
      <c r="AT97" s="76"/>
      <c r="AU97" s="76"/>
      <c r="AV97" s="76"/>
      <c r="AW97" s="76"/>
      <c r="AX97" s="76"/>
    </row>
    <row r="102" spans="1:50" ht="12.75" customHeight="1" x14ac:dyDescent="0.2">
      <c r="AB102" s="76"/>
      <c r="AC102" s="76"/>
      <c r="AE102" s="76"/>
      <c r="AF102" s="76"/>
      <c r="AG102" s="76"/>
      <c r="AH102" s="76"/>
      <c r="AI102" s="76"/>
      <c r="AJ102" s="76"/>
      <c r="AK102" s="76"/>
      <c r="AL102" s="76"/>
      <c r="AM102" s="76"/>
      <c r="AN102" s="76"/>
      <c r="AO102" s="76"/>
      <c r="AP102" s="76"/>
      <c r="AQ102" s="76"/>
      <c r="AR102" s="76"/>
      <c r="AS102" s="76"/>
      <c r="AT102" s="76"/>
      <c r="AU102" s="76"/>
      <c r="AV102" s="76"/>
      <c r="AW102" s="76"/>
      <c r="AX102" s="76"/>
    </row>
    <row r="103" spans="1:50" x14ac:dyDescent="0.2">
      <c r="V103" s="74"/>
    </row>
    <row r="104" spans="1:50" x14ac:dyDescent="0.2">
      <c r="V104" s="74"/>
    </row>
    <row r="105" spans="1:50" x14ac:dyDescent="0.2">
      <c r="V105" s="74"/>
    </row>
    <row r="106" spans="1:50" x14ac:dyDescent="0.2">
      <c r="T106" s="77"/>
      <c r="U106" s="77"/>
      <c r="V106" s="77"/>
      <c r="W106" s="77"/>
      <c r="X106" s="77"/>
      <c r="Y106" s="77"/>
      <c r="Z106" s="77"/>
      <c r="AA106" s="77"/>
      <c r="AB106" s="77"/>
      <c r="AC106" s="77"/>
      <c r="AE106" s="77"/>
      <c r="AF106" s="77"/>
      <c r="AG106" s="77"/>
      <c r="AH106" s="77"/>
      <c r="AI106" s="77"/>
      <c r="AJ106" s="77"/>
      <c r="AK106" s="77"/>
      <c r="AL106" s="77"/>
      <c r="AM106" s="77"/>
      <c r="AN106" s="77"/>
      <c r="AO106" s="77"/>
      <c r="AP106" s="77"/>
      <c r="AQ106" s="77"/>
      <c r="AR106" s="77"/>
      <c r="AS106" s="77"/>
      <c r="AT106" s="77"/>
      <c r="AU106" s="77"/>
      <c r="AV106" s="77"/>
      <c r="AW106" s="77"/>
      <c r="AX106" s="77"/>
    </row>
    <row r="107" spans="1:50" s="76" customFormat="1" x14ac:dyDescent="0.2">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row>
    <row r="108" spans="1:50" x14ac:dyDescent="0.2">
      <c r="V108" s="74"/>
    </row>
    <row r="109" spans="1:50" x14ac:dyDescent="0.2">
      <c r="V109" s="74"/>
    </row>
    <row r="110" spans="1:50" x14ac:dyDescent="0.2">
      <c r="V110" s="74"/>
    </row>
    <row r="111" spans="1:50" s="76" customFormat="1" x14ac:dyDescent="0.2">
      <c r="A111" s="74"/>
      <c r="B111" s="74"/>
      <c r="C111" s="74"/>
      <c r="D111" s="74"/>
      <c r="E111" s="74"/>
      <c r="F111" s="74"/>
      <c r="G111" s="74"/>
      <c r="H111" s="74"/>
      <c r="I111" s="74"/>
      <c r="J111" s="74"/>
      <c r="K111" s="74"/>
      <c r="L111" s="74"/>
      <c r="M111" s="74"/>
      <c r="N111" s="74"/>
      <c r="O111" s="74"/>
      <c r="P111" s="74"/>
      <c r="Q111" s="74"/>
      <c r="R111" s="74"/>
      <c r="S111" s="74"/>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row>
    <row r="112" spans="1:50" x14ac:dyDescent="0.2">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row>
    <row r="113" spans="1:50" x14ac:dyDescent="0.2">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row>
    <row r="114" spans="1:50" x14ac:dyDescent="0.2">
      <c r="V114" s="74"/>
    </row>
    <row r="115" spans="1:50" x14ac:dyDescent="0.2">
      <c r="V115" s="74"/>
    </row>
    <row r="116" spans="1:50" x14ac:dyDescent="0.2">
      <c r="T116" s="76"/>
      <c r="U116" s="76"/>
      <c r="V116" s="76"/>
      <c r="W116" s="76"/>
      <c r="X116" s="76"/>
      <c r="Y116" s="76"/>
      <c r="Z116" s="76"/>
      <c r="AA116" s="76"/>
      <c r="AB116" s="76"/>
      <c r="AC116" s="76"/>
      <c r="AD116" s="76"/>
      <c r="AE116" s="76"/>
      <c r="AS116" s="76"/>
      <c r="AT116" s="76"/>
      <c r="AU116" s="76"/>
      <c r="AV116" s="76"/>
      <c r="AW116" s="76"/>
      <c r="AX116" s="76"/>
    </row>
    <row r="117" spans="1:50" s="76" customFormat="1" x14ac:dyDescent="0.2">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row>
    <row r="118" spans="1:50" x14ac:dyDescent="0.2">
      <c r="V118" s="74"/>
    </row>
    <row r="119" spans="1:50" x14ac:dyDescent="0.2">
      <c r="V119" s="74"/>
    </row>
    <row r="120" spans="1:50" x14ac:dyDescent="0.2">
      <c r="V120" s="74"/>
    </row>
    <row r="122" spans="1:50" s="76" customFormat="1" x14ac:dyDescent="0.2">
      <c r="A122" s="74"/>
      <c r="B122" s="74"/>
      <c r="C122" s="74"/>
      <c r="D122" s="74"/>
      <c r="E122" s="74"/>
      <c r="F122" s="74"/>
      <c r="G122" s="74"/>
      <c r="H122" s="74"/>
      <c r="I122" s="74"/>
      <c r="J122" s="74"/>
      <c r="K122" s="74"/>
      <c r="L122" s="74"/>
      <c r="M122" s="74"/>
      <c r="N122" s="74"/>
      <c r="O122" s="74"/>
      <c r="P122" s="74"/>
      <c r="Q122" s="74"/>
      <c r="R122" s="74"/>
      <c r="S122" s="74"/>
      <c r="T122" s="74"/>
      <c r="U122" s="74"/>
      <c r="V122" s="75"/>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6" spans="1:50" s="77" customFormat="1" x14ac:dyDescent="0.2">
      <c r="A126" s="74"/>
      <c r="B126" s="74"/>
      <c r="C126" s="74"/>
      <c r="D126" s="74"/>
      <c r="E126" s="74"/>
      <c r="F126" s="74"/>
      <c r="G126" s="74"/>
      <c r="H126" s="74"/>
      <c r="I126" s="74"/>
      <c r="J126" s="74"/>
      <c r="K126" s="74"/>
      <c r="L126" s="74"/>
      <c r="M126" s="74"/>
      <c r="N126" s="74"/>
      <c r="O126" s="74"/>
      <c r="P126" s="74"/>
      <c r="Q126" s="74"/>
      <c r="R126" s="74"/>
      <c r="S126" s="74"/>
      <c r="T126" s="74"/>
      <c r="U126" s="74"/>
      <c r="V126" s="75"/>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31" spans="1:44" s="77" customFormat="1" x14ac:dyDescent="0.2">
      <c r="A131" s="74"/>
      <c r="B131" s="74"/>
      <c r="C131" s="74"/>
      <c r="D131" s="74"/>
      <c r="E131" s="74"/>
      <c r="F131" s="74"/>
      <c r="G131" s="74"/>
      <c r="H131" s="74"/>
      <c r="I131" s="74"/>
      <c r="J131" s="74"/>
      <c r="K131" s="74"/>
      <c r="L131" s="74"/>
      <c r="M131" s="74"/>
      <c r="N131" s="74"/>
      <c r="O131" s="74"/>
      <c r="P131" s="74"/>
      <c r="Q131" s="74"/>
      <c r="R131" s="74"/>
      <c r="S131" s="74"/>
      <c r="T131" s="74"/>
      <c r="U131" s="74"/>
      <c r="V131" s="75"/>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spans="1:44" s="76" customFormat="1" x14ac:dyDescent="0.2">
      <c r="A132" s="74"/>
      <c r="B132" s="74"/>
      <c r="C132" s="74"/>
      <c r="D132" s="74"/>
      <c r="E132" s="74"/>
      <c r="F132" s="74"/>
      <c r="G132" s="74"/>
      <c r="H132" s="74"/>
      <c r="I132" s="74"/>
      <c r="J132" s="74"/>
      <c r="K132" s="74"/>
      <c r="L132" s="74"/>
      <c r="M132" s="74"/>
      <c r="N132" s="74"/>
      <c r="O132" s="74"/>
      <c r="P132" s="74"/>
      <c r="Q132" s="74"/>
      <c r="R132" s="74"/>
      <c r="S132" s="74"/>
      <c r="T132" s="74"/>
      <c r="U132" s="74"/>
      <c r="V132" s="75"/>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spans="1:44" s="76" customFormat="1" x14ac:dyDescent="0.2">
      <c r="A133" s="74"/>
      <c r="B133" s="74"/>
      <c r="C133" s="74"/>
      <c r="D133" s="74"/>
      <c r="E133" s="74"/>
      <c r="F133" s="74"/>
      <c r="G133" s="74"/>
      <c r="H133" s="74"/>
      <c r="I133" s="74"/>
      <c r="J133" s="74"/>
      <c r="K133" s="74"/>
      <c r="L133" s="74"/>
      <c r="M133" s="74"/>
      <c r="N133" s="74"/>
      <c r="O133" s="74"/>
      <c r="P133" s="74"/>
      <c r="Q133" s="74"/>
      <c r="R133" s="74"/>
      <c r="S133" s="74"/>
      <c r="T133" s="74"/>
      <c r="U133" s="74"/>
      <c r="V133" s="75"/>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6" spans="1:44" s="76" customFormat="1" x14ac:dyDescent="0.2">
      <c r="A136" s="74"/>
      <c r="B136" s="74"/>
      <c r="C136" s="74"/>
      <c r="D136" s="74"/>
      <c r="E136" s="74"/>
      <c r="F136" s="74"/>
      <c r="G136" s="74"/>
      <c r="H136" s="74"/>
      <c r="I136" s="74"/>
      <c r="J136" s="74"/>
      <c r="K136" s="74"/>
      <c r="L136" s="74"/>
      <c r="M136" s="74"/>
      <c r="N136" s="74"/>
      <c r="O136" s="74"/>
      <c r="P136" s="74"/>
      <c r="Q136" s="74"/>
      <c r="R136" s="74"/>
      <c r="S136" s="74"/>
      <c r="T136" s="74"/>
      <c r="U136" s="74"/>
      <c r="V136" s="75"/>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spans="1:44" x14ac:dyDescent="0.2">
      <c r="AJ137" s="76"/>
      <c r="AK137" s="76"/>
      <c r="AL137" s="76"/>
      <c r="AM137" s="76"/>
      <c r="AN137" s="76"/>
      <c r="AO137" s="76"/>
      <c r="AP137" s="76"/>
      <c r="AQ137" s="76"/>
    </row>
    <row r="141" spans="1:44" s="76" customFormat="1" x14ac:dyDescent="0.2">
      <c r="A141" s="74"/>
      <c r="B141" s="74"/>
      <c r="C141" s="74"/>
      <c r="D141" s="74"/>
      <c r="E141" s="74"/>
      <c r="F141" s="74"/>
      <c r="G141" s="74"/>
      <c r="H141" s="74"/>
      <c r="I141" s="74"/>
      <c r="J141" s="74"/>
      <c r="K141" s="74"/>
      <c r="L141" s="74"/>
      <c r="M141" s="74"/>
      <c r="N141" s="74"/>
      <c r="O141" s="74"/>
      <c r="P141" s="74"/>
      <c r="Q141" s="74"/>
      <c r="R141" s="74"/>
      <c r="S141" s="74"/>
      <c r="T141" s="74"/>
      <c r="U141" s="74"/>
      <c r="V141" s="75"/>
      <c r="W141" s="74"/>
      <c r="X141" s="74"/>
      <c r="Y141" s="74"/>
      <c r="Z141" s="74"/>
      <c r="AA141" s="74"/>
      <c r="AB141" s="74"/>
      <c r="AC141" s="74"/>
      <c r="AD141" s="74"/>
      <c r="AE141" s="74"/>
      <c r="AJ141" s="74"/>
      <c r="AK141" s="74"/>
      <c r="AL141" s="74"/>
      <c r="AM141" s="74"/>
      <c r="AN141" s="74"/>
      <c r="AO141" s="74"/>
      <c r="AP141" s="74"/>
      <c r="AQ141" s="74"/>
    </row>
    <row r="142" spans="1:44" s="76" customFormat="1" x14ac:dyDescent="0.2">
      <c r="A142" s="74"/>
      <c r="B142" s="74"/>
      <c r="C142" s="74"/>
      <c r="D142" s="74"/>
      <c r="E142" s="74"/>
      <c r="F142" s="74"/>
      <c r="G142" s="74"/>
      <c r="H142" s="74"/>
      <c r="I142" s="74"/>
      <c r="J142" s="74"/>
      <c r="K142" s="74"/>
      <c r="L142" s="74"/>
      <c r="M142" s="74"/>
      <c r="N142" s="74"/>
      <c r="O142" s="74"/>
      <c r="P142" s="74"/>
      <c r="Q142" s="74"/>
      <c r="R142" s="74"/>
      <c r="S142" s="74"/>
      <c r="T142" s="74"/>
      <c r="U142" s="74"/>
      <c r="V142" s="75"/>
      <c r="W142" s="74"/>
      <c r="X142" s="74"/>
      <c r="Y142" s="74"/>
      <c r="Z142" s="74"/>
      <c r="AA142" s="74"/>
      <c r="AB142" s="74"/>
      <c r="AC142" s="74"/>
      <c r="AD142" s="74"/>
      <c r="AE142" s="74"/>
    </row>
    <row r="143" spans="1:44" x14ac:dyDescent="0.2">
      <c r="AJ143" s="76"/>
      <c r="AK143" s="76"/>
      <c r="AL143" s="76"/>
      <c r="AM143" s="76"/>
      <c r="AN143" s="76"/>
      <c r="AO143" s="76"/>
      <c r="AP143" s="76"/>
      <c r="AQ143" s="76"/>
    </row>
    <row r="149" spans="1:43" ht="12.75" customHeight="1" x14ac:dyDescent="0.2">
      <c r="AF149" s="78"/>
      <c r="AG149" s="78"/>
      <c r="AH149" s="78"/>
      <c r="AI149" s="78"/>
    </row>
    <row r="150" spans="1:43" x14ac:dyDescent="0.2">
      <c r="AF150" s="79"/>
      <c r="AG150" s="79"/>
      <c r="AH150" s="79"/>
      <c r="AI150" s="79"/>
      <c r="AJ150" s="78"/>
    </row>
    <row r="151" spans="1:43" x14ac:dyDescent="0.2">
      <c r="AF151" s="80"/>
      <c r="AG151" s="80"/>
      <c r="AH151" s="81"/>
      <c r="AI151" s="81"/>
      <c r="AJ151" s="79"/>
    </row>
    <row r="152" spans="1:43" x14ac:dyDescent="0.2">
      <c r="AF152" s="80"/>
      <c r="AG152" s="80"/>
      <c r="AH152" s="81"/>
      <c r="AI152" s="81"/>
      <c r="AJ152" s="82"/>
    </row>
    <row r="153" spans="1:43" x14ac:dyDescent="0.2">
      <c r="AJ153" s="82"/>
    </row>
    <row r="154" spans="1:43" s="76" customFormat="1" x14ac:dyDescent="0.2">
      <c r="A154" s="74"/>
      <c r="B154" s="74"/>
      <c r="C154" s="74"/>
      <c r="D154" s="74"/>
      <c r="E154" s="74"/>
      <c r="F154" s="74"/>
      <c r="G154" s="74"/>
      <c r="H154" s="74"/>
      <c r="I154" s="74"/>
      <c r="J154" s="74"/>
      <c r="K154" s="74"/>
      <c r="L154" s="74"/>
      <c r="M154" s="74"/>
      <c r="N154" s="74"/>
      <c r="O154" s="74"/>
      <c r="P154" s="74"/>
      <c r="Q154" s="74"/>
      <c r="R154" s="74"/>
      <c r="S154" s="74"/>
      <c r="T154" s="74"/>
      <c r="U154" s="74"/>
      <c r="V154" s="75"/>
      <c r="W154" s="74"/>
      <c r="X154" s="74"/>
      <c r="Y154" s="74"/>
      <c r="Z154" s="74"/>
      <c r="AA154" s="74"/>
      <c r="AB154" s="74"/>
      <c r="AC154" s="74"/>
      <c r="AD154" s="74"/>
      <c r="AE154" s="74"/>
      <c r="AJ154" s="74"/>
      <c r="AK154" s="74"/>
      <c r="AL154" s="74"/>
      <c r="AM154" s="74"/>
      <c r="AN154" s="74"/>
      <c r="AO154" s="74"/>
      <c r="AP154" s="74"/>
      <c r="AQ154" s="74"/>
    </row>
    <row r="155" spans="1:43" x14ac:dyDescent="0.2">
      <c r="AJ155" s="76"/>
      <c r="AK155" s="76"/>
      <c r="AL155" s="76"/>
      <c r="AM155" s="76"/>
      <c r="AN155" s="76"/>
      <c r="AO155" s="76"/>
      <c r="AP155" s="76"/>
      <c r="AQ155" s="76"/>
    </row>
    <row r="158" spans="1:43" s="76" customFormat="1" x14ac:dyDescent="0.2">
      <c r="A158" s="74"/>
      <c r="B158" s="74"/>
      <c r="C158" s="74"/>
      <c r="D158" s="74"/>
      <c r="E158" s="74"/>
      <c r="F158" s="74"/>
      <c r="G158" s="74"/>
      <c r="H158" s="74"/>
      <c r="I158" s="74"/>
      <c r="J158" s="74"/>
      <c r="K158" s="74"/>
      <c r="L158" s="74"/>
      <c r="M158" s="74"/>
      <c r="N158" s="74"/>
      <c r="O158" s="74"/>
      <c r="P158" s="74"/>
      <c r="Q158" s="74"/>
      <c r="R158" s="74"/>
      <c r="S158" s="74"/>
      <c r="T158" s="74"/>
      <c r="U158" s="74"/>
      <c r="V158" s="75"/>
      <c r="W158" s="74"/>
      <c r="X158" s="74"/>
      <c r="Y158" s="74"/>
      <c r="Z158" s="74"/>
      <c r="AA158" s="74"/>
      <c r="AB158" s="74"/>
      <c r="AC158" s="74"/>
      <c r="AD158" s="74"/>
      <c r="AE158" s="74"/>
      <c r="AJ158" s="74"/>
      <c r="AK158" s="74"/>
      <c r="AL158" s="74"/>
      <c r="AM158" s="74"/>
      <c r="AN158" s="74"/>
      <c r="AO158" s="74"/>
      <c r="AP158" s="74"/>
      <c r="AQ158" s="74"/>
    </row>
    <row r="159" spans="1:43" x14ac:dyDescent="0.2">
      <c r="AJ159" s="76"/>
      <c r="AK159" s="76"/>
      <c r="AL159" s="76"/>
      <c r="AM159" s="76"/>
      <c r="AN159" s="76"/>
      <c r="AO159" s="76"/>
      <c r="AP159" s="76"/>
      <c r="AQ159" s="76"/>
    </row>
    <row r="164" spans="1:43" s="76" customFormat="1" x14ac:dyDescent="0.2">
      <c r="A164" s="74"/>
      <c r="B164" s="74"/>
      <c r="C164" s="74"/>
      <c r="D164" s="74"/>
      <c r="E164" s="74"/>
      <c r="F164" s="74"/>
      <c r="G164" s="74"/>
      <c r="H164" s="74"/>
      <c r="I164" s="74"/>
      <c r="J164" s="74"/>
      <c r="K164" s="74"/>
      <c r="L164" s="74"/>
      <c r="M164" s="74"/>
      <c r="N164" s="74"/>
      <c r="O164" s="74"/>
      <c r="P164" s="74"/>
      <c r="Q164" s="74"/>
      <c r="R164" s="74"/>
      <c r="S164" s="74"/>
      <c r="T164" s="74"/>
      <c r="U164" s="74"/>
      <c r="V164" s="75"/>
      <c r="W164" s="74"/>
      <c r="X164" s="74"/>
      <c r="Y164" s="74"/>
      <c r="Z164" s="74"/>
      <c r="AA164" s="74"/>
      <c r="AB164" s="74"/>
      <c r="AC164" s="74"/>
      <c r="AD164" s="74"/>
      <c r="AE164" s="74"/>
      <c r="AJ164" s="74"/>
      <c r="AK164" s="74"/>
      <c r="AL164" s="74"/>
      <c r="AM164" s="74"/>
      <c r="AN164" s="74"/>
      <c r="AO164" s="74"/>
      <c r="AP164" s="74"/>
      <c r="AQ164" s="74"/>
    </row>
    <row r="165" spans="1:43" x14ac:dyDescent="0.2">
      <c r="AJ165" s="76"/>
      <c r="AK165" s="76"/>
      <c r="AL165" s="76"/>
      <c r="AM165" s="76"/>
      <c r="AN165" s="76"/>
      <c r="AO165" s="76"/>
      <c r="AP165" s="76"/>
      <c r="AQ165" s="76"/>
    </row>
    <row r="169" spans="1:43" s="76" customFormat="1" x14ac:dyDescent="0.2">
      <c r="A169" s="74"/>
      <c r="B169" s="74"/>
      <c r="C169" s="74"/>
      <c r="D169" s="74"/>
      <c r="E169" s="74"/>
      <c r="F169" s="74"/>
      <c r="G169" s="74"/>
      <c r="H169" s="74"/>
      <c r="I169" s="74"/>
      <c r="J169" s="74"/>
      <c r="K169" s="74"/>
      <c r="L169" s="74"/>
      <c r="M169" s="74"/>
      <c r="N169" s="74"/>
      <c r="O169" s="74"/>
      <c r="P169" s="74"/>
      <c r="Q169" s="74"/>
      <c r="R169" s="74"/>
      <c r="S169" s="74"/>
      <c r="T169" s="74"/>
      <c r="U169" s="74"/>
      <c r="V169" s="75"/>
      <c r="W169" s="74"/>
      <c r="X169" s="74"/>
      <c r="Y169" s="74"/>
      <c r="Z169" s="74"/>
      <c r="AA169" s="74"/>
      <c r="AB169" s="74"/>
      <c r="AC169" s="74"/>
      <c r="AD169" s="74"/>
      <c r="AE169" s="74"/>
      <c r="AJ169" s="74"/>
      <c r="AK169" s="74"/>
      <c r="AL169" s="74"/>
      <c r="AM169" s="74"/>
      <c r="AN169" s="74"/>
      <c r="AO169" s="74"/>
      <c r="AP169" s="74"/>
      <c r="AQ169" s="74"/>
    </row>
    <row r="170" spans="1:43" x14ac:dyDescent="0.2">
      <c r="AJ170" s="76"/>
      <c r="AK170" s="76"/>
      <c r="AL170" s="76"/>
      <c r="AM170" s="76"/>
      <c r="AN170" s="76"/>
      <c r="AO170" s="76"/>
      <c r="AP170" s="76"/>
      <c r="AQ170" s="76"/>
    </row>
    <row r="173" spans="1:43" s="77" customFormat="1" x14ac:dyDescent="0.2">
      <c r="A173" s="74"/>
      <c r="B173" s="74"/>
      <c r="C173" s="74"/>
      <c r="D173" s="74"/>
      <c r="E173" s="74"/>
      <c r="F173" s="74"/>
      <c r="G173" s="74"/>
      <c r="H173" s="74"/>
      <c r="I173" s="74"/>
      <c r="J173" s="74"/>
      <c r="K173" s="74"/>
      <c r="L173" s="74"/>
      <c r="M173" s="74"/>
      <c r="N173" s="74"/>
      <c r="O173" s="74"/>
      <c r="P173" s="74"/>
      <c r="Q173" s="74"/>
      <c r="R173" s="74"/>
      <c r="S173" s="74"/>
      <c r="T173" s="74"/>
      <c r="U173" s="74"/>
      <c r="V173" s="75"/>
      <c r="W173" s="74"/>
      <c r="X173" s="74"/>
      <c r="Y173" s="74"/>
      <c r="Z173" s="74"/>
      <c r="AA173" s="74"/>
      <c r="AB173" s="74"/>
      <c r="AC173" s="74"/>
      <c r="AD173" s="74"/>
      <c r="AE173" s="74"/>
      <c r="AJ173" s="74"/>
      <c r="AK173" s="74"/>
      <c r="AL173" s="74"/>
      <c r="AM173" s="74"/>
      <c r="AN173" s="74"/>
      <c r="AO173" s="74"/>
      <c r="AP173" s="74"/>
      <c r="AQ173" s="74"/>
    </row>
    <row r="174" spans="1:43" x14ac:dyDescent="0.2">
      <c r="AJ174" s="77"/>
      <c r="AK174" s="77"/>
      <c r="AL174" s="77"/>
      <c r="AM174" s="77"/>
      <c r="AN174" s="77"/>
      <c r="AO174" s="77"/>
      <c r="AP174" s="77"/>
      <c r="AQ174" s="77"/>
    </row>
    <row r="178" spans="1:43" s="77" customFormat="1" x14ac:dyDescent="0.2">
      <c r="A178" s="74"/>
      <c r="B178" s="74"/>
      <c r="C178" s="74"/>
      <c r="D178" s="74"/>
      <c r="E178" s="74"/>
      <c r="F178" s="74"/>
      <c r="G178" s="74"/>
      <c r="H178" s="74"/>
      <c r="I178" s="74"/>
      <c r="J178" s="74"/>
      <c r="K178" s="74"/>
      <c r="L178" s="74"/>
      <c r="M178" s="74"/>
      <c r="N178" s="74"/>
      <c r="O178" s="74"/>
      <c r="P178" s="74"/>
      <c r="Q178" s="74"/>
      <c r="R178" s="74"/>
      <c r="S178" s="74"/>
      <c r="T178" s="74"/>
      <c r="U178" s="74"/>
      <c r="V178" s="75"/>
      <c r="W178" s="74"/>
      <c r="X178" s="74"/>
      <c r="Y178" s="74"/>
      <c r="Z178" s="74"/>
      <c r="AA178" s="74"/>
      <c r="AB178" s="74"/>
      <c r="AC178" s="74"/>
      <c r="AD178" s="74"/>
      <c r="AE178" s="74"/>
      <c r="AJ178" s="74"/>
      <c r="AK178" s="74"/>
      <c r="AL178" s="74"/>
      <c r="AM178" s="74"/>
      <c r="AN178" s="74"/>
      <c r="AO178" s="74"/>
      <c r="AP178" s="74"/>
      <c r="AQ178" s="74"/>
    </row>
    <row r="179" spans="1:43" s="76" customFormat="1" x14ac:dyDescent="0.2">
      <c r="A179" s="74"/>
      <c r="B179" s="74"/>
      <c r="C179" s="74"/>
      <c r="D179" s="74"/>
      <c r="E179" s="74"/>
      <c r="F179" s="74"/>
      <c r="G179" s="74"/>
      <c r="H179" s="74"/>
      <c r="I179" s="74"/>
      <c r="J179" s="74"/>
      <c r="K179" s="74"/>
      <c r="L179" s="74"/>
      <c r="M179" s="74"/>
      <c r="N179" s="74"/>
      <c r="O179" s="74"/>
      <c r="P179" s="74"/>
      <c r="Q179" s="74"/>
      <c r="R179" s="74"/>
      <c r="S179" s="74"/>
      <c r="T179" s="74"/>
      <c r="U179" s="74"/>
      <c r="V179" s="75"/>
      <c r="W179" s="74"/>
      <c r="X179" s="74"/>
      <c r="Y179" s="74"/>
      <c r="Z179" s="74"/>
      <c r="AA179" s="74"/>
      <c r="AB179" s="74"/>
      <c r="AC179" s="74"/>
      <c r="AD179" s="74"/>
      <c r="AE179" s="74"/>
      <c r="AJ179" s="77"/>
      <c r="AK179" s="77"/>
      <c r="AL179" s="77"/>
      <c r="AM179" s="77"/>
      <c r="AN179" s="77"/>
      <c r="AO179" s="77"/>
      <c r="AP179" s="77"/>
      <c r="AQ179" s="77"/>
    </row>
    <row r="180" spans="1:43" s="76" customFormat="1" x14ac:dyDescent="0.2">
      <c r="A180" s="74"/>
      <c r="B180" s="74"/>
      <c r="C180" s="74"/>
      <c r="D180" s="74"/>
      <c r="E180" s="74"/>
      <c r="F180" s="74"/>
      <c r="G180" s="74"/>
      <c r="H180" s="74"/>
      <c r="I180" s="74"/>
      <c r="J180" s="74"/>
      <c r="K180" s="74"/>
      <c r="L180" s="74"/>
      <c r="M180" s="74"/>
      <c r="N180" s="74"/>
      <c r="O180" s="74"/>
      <c r="P180" s="74"/>
      <c r="Q180" s="74"/>
      <c r="R180" s="74"/>
      <c r="S180" s="74"/>
      <c r="T180" s="74"/>
      <c r="U180" s="74"/>
      <c r="V180" s="75"/>
      <c r="W180" s="74"/>
      <c r="X180" s="74"/>
      <c r="Y180" s="74"/>
      <c r="Z180" s="74"/>
      <c r="AA180" s="74"/>
      <c r="AB180" s="74"/>
      <c r="AC180" s="74"/>
      <c r="AD180" s="74"/>
      <c r="AE180" s="74"/>
    </row>
    <row r="181" spans="1:43" x14ac:dyDescent="0.2">
      <c r="AJ181" s="76"/>
      <c r="AK181" s="76"/>
      <c r="AL181" s="76"/>
      <c r="AM181" s="76"/>
      <c r="AN181" s="76"/>
      <c r="AO181" s="76"/>
      <c r="AP181" s="76"/>
      <c r="AQ181" s="76"/>
    </row>
    <row r="183" spans="1:43" s="76" customFormat="1" x14ac:dyDescent="0.2">
      <c r="A183" s="74"/>
      <c r="B183" s="74"/>
      <c r="C183" s="74"/>
      <c r="D183" s="74"/>
      <c r="E183" s="74"/>
      <c r="F183" s="74"/>
      <c r="G183" s="74"/>
      <c r="H183" s="74"/>
      <c r="I183" s="74"/>
      <c r="J183" s="74"/>
      <c r="K183" s="74"/>
      <c r="L183" s="74"/>
      <c r="M183" s="74"/>
      <c r="N183" s="74"/>
      <c r="O183" s="74"/>
      <c r="P183" s="74"/>
      <c r="Q183" s="74"/>
      <c r="R183" s="74"/>
      <c r="S183" s="74"/>
      <c r="T183" s="74"/>
      <c r="U183" s="74"/>
      <c r="V183" s="75"/>
      <c r="W183" s="74"/>
      <c r="X183" s="74"/>
      <c r="Y183" s="74"/>
      <c r="Z183" s="74"/>
      <c r="AA183" s="74"/>
      <c r="AB183" s="74"/>
      <c r="AC183" s="74"/>
      <c r="AD183" s="74"/>
      <c r="AE183" s="74"/>
      <c r="AJ183" s="74"/>
      <c r="AK183" s="74"/>
      <c r="AL183" s="74"/>
      <c r="AM183" s="74"/>
      <c r="AN183" s="74"/>
      <c r="AO183" s="74"/>
      <c r="AP183" s="74"/>
      <c r="AQ183" s="74"/>
    </row>
    <row r="184" spans="1:43" x14ac:dyDescent="0.2">
      <c r="AJ184" s="76"/>
      <c r="AK184" s="76"/>
      <c r="AL184" s="76"/>
      <c r="AM184" s="76"/>
      <c r="AN184" s="76"/>
      <c r="AO184" s="76"/>
      <c r="AP184" s="76"/>
      <c r="AQ184" s="76"/>
    </row>
    <row r="188" spans="1:43" s="76" customFormat="1" x14ac:dyDescent="0.2">
      <c r="A188" s="74"/>
      <c r="B188" s="74"/>
      <c r="C188" s="74"/>
      <c r="D188" s="74"/>
      <c r="E188" s="74"/>
      <c r="F188" s="74"/>
      <c r="G188" s="74"/>
      <c r="H188" s="74"/>
      <c r="I188" s="74"/>
      <c r="J188" s="74"/>
      <c r="K188" s="74"/>
      <c r="L188" s="74"/>
      <c r="M188" s="74"/>
      <c r="N188" s="74"/>
      <c r="O188" s="74"/>
      <c r="P188" s="74"/>
      <c r="Q188" s="74"/>
      <c r="R188" s="74"/>
      <c r="S188" s="74"/>
      <c r="T188" s="74"/>
      <c r="U188" s="74"/>
      <c r="V188" s="75"/>
      <c r="W188" s="74"/>
      <c r="X188" s="74"/>
      <c r="Y188" s="74"/>
      <c r="Z188" s="74"/>
      <c r="AA188" s="74"/>
      <c r="AB188" s="74"/>
      <c r="AC188" s="74"/>
      <c r="AD188" s="74"/>
      <c r="AE188" s="74"/>
      <c r="AJ188" s="74"/>
      <c r="AK188" s="74"/>
      <c r="AL188" s="74"/>
      <c r="AM188" s="74"/>
      <c r="AN188" s="74"/>
      <c r="AO188" s="74"/>
      <c r="AP188" s="74"/>
      <c r="AQ188" s="74"/>
    </row>
    <row r="189" spans="1:43" s="76" customFormat="1" x14ac:dyDescent="0.2">
      <c r="A189" s="74"/>
      <c r="B189" s="74"/>
      <c r="C189" s="74"/>
      <c r="D189" s="74"/>
      <c r="E189" s="74"/>
      <c r="F189" s="74"/>
      <c r="G189" s="74"/>
      <c r="H189" s="74"/>
      <c r="I189" s="74"/>
      <c r="J189" s="74"/>
      <c r="K189" s="74"/>
      <c r="L189" s="74"/>
      <c r="M189" s="74"/>
      <c r="N189" s="74"/>
      <c r="O189" s="74"/>
      <c r="P189" s="74"/>
      <c r="Q189" s="74"/>
      <c r="R189" s="74"/>
      <c r="S189" s="74"/>
      <c r="T189" s="74"/>
      <c r="U189" s="74"/>
      <c r="V189" s="75"/>
      <c r="W189" s="74"/>
      <c r="X189" s="74"/>
      <c r="Y189" s="74"/>
      <c r="Z189" s="74"/>
      <c r="AA189" s="74"/>
      <c r="AB189" s="74"/>
      <c r="AC189" s="74"/>
      <c r="AD189" s="74"/>
      <c r="AE189" s="74"/>
    </row>
    <row r="190" spans="1:43" x14ac:dyDescent="0.2">
      <c r="AJ190" s="76"/>
      <c r="AK190" s="76"/>
      <c r="AL190" s="76"/>
      <c r="AM190" s="76"/>
      <c r="AN190" s="76"/>
      <c r="AO190" s="76"/>
      <c r="AP190" s="76"/>
      <c r="AQ190" s="76"/>
    </row>
  </sheetData>
  <sheetProtection sheet="1" objects="1" scenarios="1"/>
  <mergeCells count="13">
    <mergeCell ref="D77:G77"/>
    <mergeCell ref="N3:U3"/>
    <mergeCell ref="B4:B5"/>
    <mergeCell ref="C4:C5"/>
    <mergeCell ref="D4:G4"/>
    <mergeCell ref="H4:H5"/>
    <mergeCell ref="I4:L4"/>
    <mergeCell ref="M4:M5"/>
    <mergeCell ref="N4:P4"/>
    <mergeCell ref="Q4:T4"/>
    <mergeCell ref="U4:U5"/>
    <mergeCell ref="I77:L77"/>
    <mergeCell ref="K67:M67"/>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X190"/>
  <sheetViews>
    <sheetView zoomScale="85" zoomScaleNormal="85" workbookViewId="0">
      <pane xSplit="3" ySplit="5" topLeftCell="D6" activePane="bottomRight" state="frozen"/>
      <selection pane="topRight" activeCell="D1" sqref="D1"/>
      <selection pane="bottomLeft" activeCell="A6" sqref="A6"/>
      <selection pane="bottomRight" activeCell="D6" sqref="D6"/>
    </sheetView>
  </sheetViews>
  <sheetFormatPr defaultColWidth="9.140625" defaultRowHeight="12.75" outlineLevelRow="1" x14ac:dyDescent="0.2"/>
  <cols>
    <col min="1" max="1" width="4.28515625" style="74" customWidth="1"/>
    <col min="2" max="2" width="19.28515625" style="74" customWidth="1"/>
    <col min="3" max="3" width="35.5703125" style="74" customWidth="1"/>
    <col min="4" max="6" width="9.7109375" style="74" customWidth="1"/>
    <col min="7" max="7" width="10.85546875" style="74" customWidth="1"/>
    <col min="8" max="8" width="9.85546875" style="74" customWidth="1"/>
    <col min="9" max="9" width="10.5703125" style="74" customWidth="1"/>
    <col min="10" max="12" width="9.7109375" style="74" customWidth="1"/>
    <col min="13" max="13" width="7.85546875" style="74" customWidth="1"/>
    <col min="14" max="20" width="9.42578125" style="74" customWidth="1"/>
    <col min="21" max="21" width="9.140625" style="74"/>
    <col min="22" max="22" width="9.140625" style="75"/>
    <col min="23" max="24" width="9.140625" style="74"/>
    <col min="25" max="25" width="11" style="74" customWidth="1"/>
    <col min="26" max="26" width="10.42578125" style="74" customWidth="1"/>
    <col min="27" max="27" width="10" style="74" customWidth="1"/>
    <col min="28" max="16384" width="9.140625" style="74"/>
  </cols>
  <sheetData>
    <row r="1" spans="1:39" s="1692" customFormat="1" ht="21" x14ac:dyDescent="0.35">
      <c r="A1" s="1692" t="s">
        <v>846</v>
      </c>
      <c r="F1" s="1693" t="s">
        <v>958</v>
      </c>
      <c r="V1" s="1694"/>
    </row>
    <row r="2" spans="1:39" s="239" customFormat="1" x14ac:dyDescent="0.2">
      <c r="V2" s="240"/>
    </row>
    <row r="3" spans="1:39" s="241" customFormat="1" ht="18.75" x14ac:dyDescent="0.3">
      <c r="B3" s="268"/>
      <c r="C3" s="904" t="s">
        <v>845</v>
      </c>
      <c r="D3" s="277" t="s">
        <v>113</v>
      </c>
      <c r="E3" s="269"/>
      <c r="F3" s="269"/>
      <c r="G3" s="269"/>
      <c r="H3" s="278"/>
      <c r="I3" s="276" t="s">
        <v>114</v>
      </c>
      <c r="J3" s="270"/>
      <c r="K3" s="270"/>
      <c r="L3" s="270"/>
      <c r="M3" s="276"/>
      <c r="N3" s="2778" t="s">
        <v>38</v>
      </c>
      <c r="O3" s="2779"/>
      <c r="P3" s="2779"/>
      <c r="Q3" s="2779"/>
      <c r="R3" s="2779"/>
      <c r="S3" s="2779"/>
      <c r="T3" s="2779"/>
      <c r="U3" s="2780"/>
      <c r="Y3" s="242"/>
    </row>
    <row r="4" spans="1:39" ht="15" customHeight="1" x14ac:dyDescent="0.3">
      <c r="B4" s="2789" t="s">
        <v>843</v>
      </c>
      <c r="C4" s="2791" t="s">
        <v>844</v>
      </c>
      <c r="D4" s="2781" t="s">
        <v>453</v>
      </c>
      <c r="E4" s="2793"/>
      <c r="F4" s="2793"/>
      <c r="G4" s="2794"/>
      <c r="H4" s="2786" t="s">
        <v>110</v>
      </c>
      <c r="I4" s="2793" t="s">
        <v>111</v>
      </c>
      <c r="J4" s="2795"/>
      <c r="K4" s="2795"/>
      <c r="L4" s="2796"/>
      <c r="M4" s="2781" t="s">
        <v>110</v>
      </c>
      <c r="N4" s="2783" t="s">
        <v>456</v>
      </c>
      <c r="O4" s="2784"/>
      <c r="P4" s="2785"/>
      <c r="Q4" s="2784" t="s">
        <v>457</v>
      </c>
      <c r="R4" s="2784"/>
      <c r="S4" s="2784"/>
      <c r="T4" s="2785"/>
      <c r="U4" s="2786" t="s">
        <v>110</v>
      </c>
      <c r="V4" s="78"/>
      <c r="W4" s="241"/>
      <c r="X4" s="247"/>
      <c r="Y4" s="75"/>
    </row>
    <row r="5" spans="1:39" x14ac:dyDescent="0.2">
      <c r="B5" s="2790"/>
      <c r="C5" s="2792"/>
      <c r="D5" s="883" t="s">
        <v>16</v>
      </c>
      <c r="E5" s="300" t="s">
        <v>17</v>
      </c>
      <c r="F5" s="300" t="s">
        <v>18</v>
      </c>
      <c r="G5" s="300" t="s">
        <v>88</v>
      </c>
      <c r="H5" s="2787"/>
      <c r="I5" s="300" t="s">
        <v>16</v>
      </c>
      <c r="J5" s="300" t="s">
        <v>17</v>
      </c>
      <c r="K5" s="300" t="s">
        <v>18</v>
      </c>
      <c r="L5" s="300" t="s">
        <v>88</v>
      </c>
      <c r="M5" s="2782"/>
      <c r="N5" s="883" t="s">
        <v>16</v>
      </c>
      <c r="O5" s="300" t="s">
        <v>17</v>
      </c>
      <c r="P5" s="301" t="s">
        <v>18</v>
      </c>
      <c r="Q5" s="300" t="s">
        <v>16</v>
      </c>
      <c r="R5" s="300" t="s">
        <v>17</v>
      </c>
      <c r="S5" s="300" t="s">
        <v>18</v>
      </c>
      <c r="T5" s="300" t="s">
        <v>88</v>
      </c>
      <c r="U5" s="2787"/>
      <c r="V5" s="243"/>
      <c r="Y5" s="75"/>
    </row>
    <row r="6" spans="1:39" ht="12.75" customHeight="1" outlineLevel="1" x14ac:dyDescent="0.2">
      <c r="A6" s="459"/>
      <c r="B6" s="466" t="s">
        <v>25</v>
      </c>
      <c r="C6" s="642" t="s">
        <v>42</v>
      </c>
      <c r="D6" s="641"/>
      <c r="E6" s="27"/>
      <c r="F6" s="27"/>
      <c r="G6" s="27"/>
      <c r="H6" s="271"/>
      <c r="I6" s="29"/>
      <c r="J6" s="29"/>
      <c r="K6" s="29"/>
      <c r="L6" s="29"/>
      <c r="M6" s="282"/>
      <c r="N6" s="906"/>
      <c r="O6" s="907"/>
      <c r="P6" s="908"/>
      <c r="Q6" s="916"/>
      <c r="R6" s="917"/>
      <c r="S6" s="917"/>
      <c r="T6" s="918"/>
      <c r="U6" s="922"/>
      <c r="V6" s="78"/>
      <c r="AH6" s="245"/>
      <c r="AI6" s="78"/>
      <c r="AJ6" s="78"/>
      <c r="AK6" s="78"/>
      <c r="AL6" s="78"/>
      <c r="AM6" s="78"/>
    </row>
    <row r="7" spans="1:39" ht="12.75" customHeight="1" outlineLevel="1" x14ac:dyDescent="0.2">
      <c r="A7" s="459"/>
      <c r="B7" s="467" t="str">
        <f>B6</f>
        <v>Masonry materials</v>
      </c>
      <c r="C7" s="643" t="s">
        <v>44</v>
      </c>
      <c r="D7" s="27"/>
      <c r="E7" s="27"/>
      <c r="F7" s="27"/>
      <c r="G7" s="27"/>
      <c r="H7" s="271"/>
      <c r="I7" s="29"/>
      <c r="J7" s="29"/>
      <c r="K7" s="29"/>
      <c r="L7" s="29"/>
      <c r="M7" s="282"/>
      <c r="N7" s="906"/>
      <c r="O7" s="907"/>
      <c r="P7" s="908"/>
      <c r="Q7" s="465"/>
      <c r="R7" s="914"/>
      <c r="S7" s="914"/>
      <c r="T7" s="919"/>
      <c r="U7" s="922"/>
      <c r="V7" s="78"/>
    </row>
    <row r="8" spans="1:39" ht="12.75" customHeight="1" outlineLevel="1" x14ac:dyDescent="0.2">
      <c r="A8" s="459"/>
      <c r="B8" s="467" t="str">
        <f t="shared" ref="B8:B15" si="0">B7</f>
        <v>Masonry materials</v>
      </c>
      <c r="C8" s="643" t="s">
        <v>46</v>
      </c>
      <c r="D8" s="27"/>
      <c r="E8" s="27"/>
      <c r="F8" s="27"/>
      <c r="G8" s="27"/>
      <c r="H8" s="271"/>
      <c r="I8" s="29"/>
      <c r="J8" s="29"/>
      <c r="K8" s="29"/>
      <c r="L8" s="29"/>
      <c r="M8" s="282"/>
      <c r="N8" s="906"/>
      <c r="O8" s="907"/>
      <c r="P8" s="908"/>
      <c r="Q8" s="465"/>
      <c r="R8" s="914"/>
      <c r="S8" s="914"/>
      <c r="T8" s="919"/>
      <c r="U8" s="922"/>
      <c r="V8" s="80"/>
    </row>
    <row r="9" spans="1:39" ht="12.75" customHeight="1" outlineLevel="1" x14ac:dyDescent="0.2">
      <c r="A9" s="459"/>
      <c r="B9" s="467" t="str">
        <f t="shared" si="0"/>
        <v>Masonry materials</v>
      </c>
      <c r="C9" s="643" t="s">
        <v>47</v>
      </c>
      <c r="D9" s="27"/>
      <c r="E9" s="27"/>
      <c r="F9" s="27"/>
      <c r="G9" s="27"/>
      <c r="H9" s="271"/>
      <c r="I9" s="29"/>
      <c r="J9" s="29"/>
      <c r="K9" s="29"/>
      <c r="L9" s="29"/>
      <c r="M9" s="282"/>
      <c r="N9" s="906"/>
      <c r="O9" s="907"/>
      <c r="P9" s="908"/>
      <c r="Q9" s="465"/>
      <c r="R9" s="914"/>
      <c r="S9" s="914"/>
      <c r="T9" s="919"/>
      <c r="U9" s="922"/>
      <c r="V9" s="80"/>
    </row>
    <row r="10" spans="1:39" ht="12.75" customHeight="1" outlineLevel="1" x14ac:dyDescent="0.2">
      <c r="A10" s="459"/>
      <c r="B10" s="467" t="str">
        <f t="shared" si="0"/>
        <v>Masonry materials</v>
      </c>
      <c r="C10" s="643" t="s">
        <v>49</v>
      </c>
      <c r="D10" s="27"/>
      <c r="E10" s="27"/>
      <c r="F10" s="27"/>
      <c r="G10" s="27"/>
      <c r="H10" s="280"/>
      <c r="I10" s="29"/>
      <c r="J10" s="29"/>
      <c r="K10" s="29"/>
      <c r="L10" s="29"/>
      <c r="M10" s="282"/>
      <c r="N10" s="906"/>
      <c r="O10" s="907"/>
      <c r="P10" s="908"/>
      <c r="Q10" s="465"/>
      <c r="R10" s="914"/>
      <c r="S10" s="914"/>
      <c r="T10" s="919"/>
      <c r="U10" s="922"/>
      <c r="V10" s="80"/>
    </row>
    <row r="11" spans="1:39" s="501" customFormat="1" ht="15" x14ac:dyDescent="0.25">
      <c r="A11" s="499"/>
      <c r="B11" s="465" t="str">
        <f t="shared" si="0"/>
        <v>Masonry materials</v>
      </c>
      <c r="C11" s="644" t="s">
        <v>115</v>
      </c>
      <c r="D11" s="237">
        <f>Tas!G40</f>
        <v>3928.478896287173</v>
      </c>
      <c r="E11" s="237">
        <f>Tas!H40</f>
        <v>31550.12533691102</v>
      </c>
      <c r="F11" s="237">
        <f>Tas!I40</f>
        <v>27284.808303106554</v>
      </c>
      <c r="G11" s="237">
        <f>SUM(D11:F11)</f>
        <v>62763.41253630475</v>
      </c>
      <c r="H11" s="275">
        <f>G11/Pop_Tas*1000</f>
        <v>121.80117085839296</v>
      </c>
      <c r="I11" s="237">
        <f>Tas!G88</f>
        <v>0</v>
      </c>
      <c r="J11" s="237">
        <f>Tas!H88</f>
        <v>3477.840656687591</v>
      </c>
      <c r="K11" s="237">
        <f>Tas!I88</f>
        <v>0</v>
      </c>
      <c r="L11" s="237">
        <f t="shared" ref="L11:L26" si="1">SUM(I11:K11)</f>
        <v>3477.840656687591</v>
      </c>
      <c r="M11" s="281">
        <f>L11/Pop_Tas*1000</f>
        <v>6.7492356920274466</v>
      </c>
      <c r="N11" s="906"/>
      <c r="O11" s="907"/>
      <c r="P11" s="908"/>
      <c r="Q11" s="920"/>
      <c r="R11" s="915"/>
      <c r="S11" s="915"/>
      <c r="T11" s="921"/>
      <c r="U11" s="923"/>
      <c r="V11" s="500"/>
    </row>
    <row r="12" spans="1:39" ht="12.75" customHeight="1" outlineLevel="1" x14ac:dyDescent="0.2">
      <c r="A12" s="459"/>
      <c r="B12" s="464" t="s">
        <v>28</v>
      </c>
      <c r="C12" s="645" t="s">
        <v>56</v>
      </c>
      <c r="D12" s="960"/>
      <c r="E12" s="961"/>
      <c r="F12" s="961"/>
      <c r="G12" s="961"/>
      <c r="H12" s="962"/>
      <c r="I12" s="963">
        <f>Tas!G89</f>
        <v>771</v>
      </c>
      <c r="J12" s="963">
        <f>Tas!H89</f>
        <v>12451.911636890392</v>
      </c>
      <c r="K12" s="963">
        <f>Tas!I89</f>
        <v>0</v>
      </c>
      <c r="L12" s="963">
        <f t="shared" si="1"/>
        <v>13222.911636890392</v>
      </c>
      <c r="M12" s="964">
        <f>L12/Pop_Tas*1000</f>
        <v>25.660907437094927</v>
      </c>
      <c r="N12" s="909"/>
      <c r="O12" s="910"/>
      <c r="P12" s="911"/>
      <c r="Q12" s="464"/>
      <c r="R12" s="912"/>
      <c r="S12" s="912"/>
      <c r="T12" s="925"/>
      <c r="U12" s="926"/>
      <c r="V12" s="80"/>
    </row>
    <row r="13" spans="1:39" ht="12.75" customHeight="1" outlineLevel="1" x14ac:dyDescent="0.2">
      <c r="A13" s="459"/>
      <c r="B13" s="468" t="str">
        <f t="shared" si="0"/>
        <v>Metals</v>
      </c>
      <c r="C13" s="645" t="s">
        <v>52</v>
      </c>
      <c r="D13" s="279"/>
      <c r="E13" s="27"/>
      <c r="F13" s="27"/>
      <c r="G13" s="27"/>
      <c r="H13" s="280"/>
      <c r="I13" s="29">
        <f>Tas!G90</f>
        <v>427</v>
      </c>
      <c r="J13" s="29">
        <f>Tas!H90</f>
        <v>1397.3466924191214</v>
      </c>
      <c r="K13" s="29">
        <f>Tas!I90</f>
        <v>0</v>
      </c>
      <c r="L13" s="29">
        <f t="shared" si="1"/>
        <v>1824.3466924191214</v>
      </c>
      <c r="M13" s="272">
        <f>L13/Pop_Tas*1000</f>
        <v>3.5403996406306328</v>
      </c>
      <c r="N13" s="909"/>
      <c r="O13" s="910"/>
      <c r="P13" s="911"/>
      <c r="Q13" s="464"/>
      <c r="R13" s="912"/>
      <c r="S13" s="912"/>
      <c r="T13" s="925"/>
      <c r="U13" s="926"/>
      <c r="V13" s="80"/>
    </row>
    <row r="14" spans="1:39" ht="12.75" customHeight="1" outlineLevel="1" x14ac:dyDescent="0.2">
      <c r="A14" s="459"/>
      <c r="B14" s="468" t="str">
        <f t="shared" si="0"/>
        <v>Metals</v>
      </c>
      <c r="C14" s="645" t="s">
        <v>54</v>
      </c>
      <c r="D14" s="279"/>
      <c r="E14" s="27"/>
      <c r="F14" s="27"/>
      <c r="G14" s="27"/>
      <c r="H14" s="280"/>
      <c r="I14" s="29">
        <f>Tas!G91</f>
        <v>0</v>
      </c>
      <c r="J14" s="29">
        <f>Tas!H91</f>
        <v>0</v>
      </c>
      <c r="K14" s="29">
        <f>Tas!I91</f>
        <v>0</v>
      </c>
      <c r="L14" s="29">
        <f t="shared" si="1"/>
        <v>0</v>
      </c>
      <c r="M14" s="272">
        <f>L14/Pop_Tas*1000</f>
        <v>0</v>
      </c>
      <c r="N14" s="909"/>
      <c r="O14" s="910"/>
      <c r="P14" s="911"/>
      <c r="Q14" s="464"/>
      <c r="R14" s="912"/>
      <c r="S14" s="912"/>
      <c r="T14" s="925"/>
      <c r="U14" s="926"/>
      <c r="V14" s="80"/>
    </row>
    <row r="15" spans="1:39" s="247" customFormat="1" x14ac:dyDescent="0.2">
      <c r="A15" s="459"/>
      <c r="B15" s="464" t="str">
        <f t="shared" si="0"/>
        <v>Metals</v>
      </c>
      <c r="C15" s="646" t="s">
        <v>115</v>
      </c>
      <c r="D15" s="965">
        <f>Tas!G41</f>
        <v>6599.8166578578384</v>
      </c>
      <c r="E15" s="966">
        <f>Tas!H41</f>
        <v>6116.8162994701097</v>
      </c>
      <c r="F15" s="966">
        <f>Tas!I41</f>
        <v>1528.9260107815935</v>
      </c>
      <c r="G15" s="966">
        <f t="shared" ref="G15:G21" si="2">SUM(D15:F15)</f>
        <v>14245.558968109541</v>
      </c>
      <c r="H15" s="967">
        <f t="shared" ref="H15:H21" si="3">G15/Pop_Tas*1000</f>
        <v>27.645497459915195</v>
      </c>
      <c r="I15" s="966">
        <f>SUM(I12:I14)</f>
        <v>1198</v>
      </c>
      <c r="J15" s="966">
        <f>SUM(J12:J14)</f>
        <v>13849.258329309514</v>
      </c>
      <c r="K15" s="966">
        <f>SUM(K12:K14)</f>
        <v>0</v>
      </c>
      <c r="L15" s="966">
        <f t="shared" si="1"/>
        <v>15047.258329309514</v>
      </c>
      <c r="M15" s="968">
        <f>L15/Pop_Tas*1000</f>
        <v>29.201307077725559</v>
      </c>
      <c r="N15" s="909"/>
      <c r="O15" s="910"/>
      <c r="P15" s="911"/>
      <c r="Q15" s="927"/>
      <c r="R15" s="913"/>
      <c r="S15" s="913"/>
      <c r="T15" s="928"/>
      <c r="U15" s="929"/>
      <c r="V15" s="246"/>
    </row>
    <row r="16" spans="1:39" ht="12.75" customHeight="1" outlineLevel="1" x14ac:dyDescent="0.2">
      <c r="A16" s="459"/>
      <c r="B16" s="465" t="s">
        <v>22</v>
      </c>
      <c r="C16" s="643" t="s">
        <v>61</v>
      </c>
      <c r="D16" s="29">
        <f>Tas!G42</f>
        <v>46959.152280861643</v>
      </c>
      <c r="E16" s="29">
        <f>Tas!H42</f>
        <v>33117.701132207047</v>
      </c>
      <c r="F16" s="29">
        <f>Tas!I42</f>
        <v>0</v>
      </c>
      <c r="G16" s="29">
        <f t="shared" si="2"/>
        <v>80076.853413068689</v>
      </c>
      <c r="H16" s="283">
        <f t="shared" si="3"/>
        <v>155.40032178342594</v>
      </c>
      <c r="I16" s="29"/>
      <c r="J16" s="29"/>
      <c r="K16" s="29"/>
      <c r="L16" s="29"/>
      <c r="M16" s="282"/>
      <c r="N16" s="282">
        <f>'Other national data'!K338</f>
        <v>17716.997719138351</v>
      </c>
      <c r="O16" s="29">
        <f>'Other national data'!L338</f>
        <v>12494.821710432541</v>
      </c>
      <c r="P16" s="28">
        <f>'Other national data'!M338</f>
        <v>0</v>
      </c>
      <c r="Q16" s="29">
        <f>N16</f>
        <v>17716.997719138351</v>
      </c>
      <c r="R16" s="29">
        <f>O16</f>
        <v>12494.821710432541</v>
      </c>
      <c r="S16" s="29">
        <f>P16</f>
        <v>0</v>
      </c>
      <c r="T16" s="29">
        <f>SUM(Q16:S16)</f>
        <v>30211.819429570893</v>
      </c>
      <c r="U16" s="272">
        <f t="shared" ref="U16:U21" si="4">T16/Pop_Tas*1000</f>
        <v>58.630256571143647</v>
      </c>
      <c r="V16" s="80"/>
    </row>
    <row r="17" spans="1:22" ht="12.75" customHeight="1" outlineLevel="1" x14ac:dyDescent="0.2">
      <c r="A17" s="459"/>
      <c r="B17" s="467" t="str">
        <f>B16</f>
        <v>Organics</v>
      </c>
      <c r="C17" s="643" t="s">
        <v>63</v>
      </c>
      <c r="D17" s="29">
        <f>Tas!G43</f>
        <v>27864.539385006083</v>
      </c>
      <c r="E17" s="29">
        <f>Tas!H43</f>
        <v>7755.2791386731578</v>
      </c>
      <c r="F17" s="29">
        <f>Tas!I43</f>
        <v>614.1310873228249</v>
      </c>
      <c r="G17" s="29">
        <f t="shared" si="2"/>
        <v>36233.94961100207</v>
      </c>
      <c r="H17" s="283">
        <f t="shared" si="3"/>
        <v>70.31704155492217</v>
      </c>
      <c r="I17" s="29"/>
      <c r="J17" s="29"/>
      <c r="K17" s="29"/>
      <c r="L17" s="29"/>
      <c r="M17" s="282"/>
      <c r="N17" s="282">
        <f>'Other national data'!K339</f>
        <v>2625.6456149939177</v>
      </c>
      <c r="O17" s="29">
        <f>'Other national data'!L339</f>
        <v>730.7716227481626</v>
      </c>
      <c r="P17" s="28">
        <f>'Other national data'!M339</f>
        <v>57.868912677175054</v>
      </c>
      <c r="Q17" s="29">
        <f t="shared" ref="Q17:S19" si="5">N17</f>
        <v>2625.6456149939177</v>
      </c>
      <c r="R17" s="29">
        <f t="shared" si="5"/>
        <v>730.7716227481626</v>
      </c>
      <c r="S17" s="29">
        <f t="shared" si="5"/>
        <v>57.868912677175054</v>
      </c>
      <c r="T17" s="29">
        <f>SUM(Q17:S17)</f>
        <v>3414.2861504192551</v>
      </c>
      <c r="U17" s="272">
        <f t="shared" si="4"/>
        <v>6.625899293256384</v>
      </c>
      <c r="V17" s="248"/>
    </row>
    <row r="18" spans="1:22" ht="12.75" customHeight="1" outlineLevel="1" x14ac:dyDescent="0.2">
      <c r="A18" s="459"/>
      <c r="B18" s="467" t="str">
        <f>B17</f>
        <v>Organics</v>
      </c>
      <c r="C18" s="643" t="s">
        <v>67</v>
      </c>
      <c r="D18" s="29">
        <f>Tas!G44</f>
        <v>1755.8104108441562</v>
      </c>
      <c r="E18" s="29">
        <f>Tas!H44</f>
        <v>25197.482456097783</v>
      </c>
      <c r="F18" s="29">
        <f>Tas!I44</f>
        <v>1915.5435595526892</v>
      </c>
      <c r="G18" s="29">
        <f t="shared" si="2"/>
        <v>28868.836426494629</v>
      </c>
      <c r="H18" s="283">
        <f t="shared" si="3"/>
        <v>56.024010422195154</v>
      </c>
      <c r="I18" s="29"/>
      <c r="J18" s="29"/>
      <c r="K18" s="29"/>
      <c r="L18" s="29"/>
      <c r="M18" s="282"/>
      <c r="N18" s="282">
        <f>'Other national data'!K340</f>
        <v>92.079589155843919</v>
      </c>
      <c r="O18" s="29">
        <f>'Other national data'!L340</f>
        <v>1321.4261733438398</v>
      </c>
      <c r="P18" s="28">
        <f>'Other national data'!M340</f>
        <v>100.4564404473109</v>
      </c>
      <c r="Q18" s="29">
        <f t="shared" si="5"/>
        <v>92.079589155843919</v>
      </c>
      <c r="R18" s="29">
        <f t="shared" si="5"/>
        <v>1321.4261733438398</v>
      </c>
      <c r="S18" s="29">
        <f t="shared" si="5"/>
        <v>100.4564404473109</v>
      </c>
      <c r="T18" s="29">
        <f>SUM(Q18:S18)</f>
        <v>1513.9622029469945</v>
      </c>
      <c r="U18" s="272">
        <f t="shared" si="4"/>
        <v>2.9380551742248007</v>
      </c>
      <c r="V18" s="74"/>
    </row>
    <row r="19" spans="1:22" ht="12.75" customHeight="1" outlineLevel="1" x14ac:dyDescent="0.2">
      <c r="A19" s="459"/>
      <c r="B19" s="467" t="str">
        <f>B18</f>
        <v>Organics</v>
      </c>
      <c r="C19" s="643" t="s">
        <v>65</v>
      </c>
      <c r="D19" s="29">
        <f>Tas!G45</f>
        <v>6545.388787883101</v>
      </c>
      <c r="E19" s="29">
        <f>Tas!H45</f>
        <v>0</v>
      </c>
      <c r="F19" s="29">
        <f>Tas!I45</f>
        <v>0</v>
      </c>
      <c r="G19" s="29">
        <f t="shared" si="2"/>
        <v>6545.388787883101</v>
      </c>
      <c r="H19" s="283">
        <f t="shared" si="3"/>
        <v>12.702241415353372</v>
      </c>
      <c r="I19" s="29"/>
      <c r="J19" s="29"/>
      <c r="K19" s="29"/>
      <c r="L19" s="29"/>
      <c r="M19" s="282"/>
      <c r="N19" s="282">
        <f>'Other national data'!K341</f>
        <v>846.17121211689903</v>
      </c>
      <c r="O19" s="29">
        <f>'Other national data'!L341</f>
        <v>0</v>
      </c>
      <c r="P19" s="28">
        <f>'Other national data'!M341</f>
        <v>0</v>
      </c>
      <c r="Q19" s="29">
        <f t="shared" si="5"/>
        <v>846.17121211689903</v>
      </c>
      <c r="R19" s="29">
        <f t="shared" si="5"/>
        <v>0</v>
      </c>
      <c r="S19" s="29">
        <f t="shared" si="5"/>
        <v>0</v>
      </c>
      <c r="T19" s="29">
        <f>SUM(Q19:S19)</f>
        <v>846.17121211689903</v>
      </c>
      <c r="U19" s="272">
        <f t="shared" si="4"/>
        <v>1.6421134577870089</v>
      </c>
      <c r="V19" s="74"/>
    </row>
    <row r="20" spans="1:22" ht="12.75" customHeight="1" outlineLevel="1" x14ac:dyDescent="0.2">
      <c r="A20" s="459"/>
      <c r="B20" s="467" t="str">
        <f>B19</f>
        <v>Organics</v>
      </c>
      <c r="C20" s="643" t="s">
        <v>903</v>
      </c>
      <c r="D20" s="29">
        <v>0</v>
      </c>
      <c r="E20" s="29">
        <v>0</v>
      </c>
      <c r="F20" s="29">
        <v>0</v>
      </c>
      <c r="G20" s="29">
        <f>SUM(D20:F20)</f>
        <v>0</v>
      </c>
      <c r="H20" s="283">
        <f t="shared" si="3"/>
        <v>0</v>
      </c>
      <c r="I20" s="29">
        <v>0</v>
      </c>
      <c r="J20" s="29">
        <v>0</v>
      </c>
      <c r="K20" s="29">
        <v>0</v>
      </c>
      <c r="L20" s="29">
        <f>SUM(I20:K20)</f>
        <v>0</v>
      </c>
      <c r="M20" s="282">
        <f>L20/Pop_Tas*1000</f>
        <v>0</v>
      </c>
      <c r="N20" s="282">
        <v>0</v>
      </c>
      <c r="O20" s="29">
        <v>0</v>
      </c>
      <c r="P20" s="28">
        <v>0</v>
      </c>
      <c r="Q20" s="27">
        <v>0</v>
      </c>
      <c r="R20" s="27">
        <v>0</v>
      </c>
      <c r="S20" s="27">
        <v>0</v>
      </c>
      <c r="T20" s="29">
        <f>SUM(Q20:S20)</f>
        <v>0</v>
      </c>
      <c r="U20" s="272">
        <f t="shared" si="4"/>
        <v>0</v>
      </c>
      <c r="V20" s="74"/>
    </row>
    <row r="21" spans="1:22" s="247" customFormat="1" x14ac:dyDescent="0.2">
      <c r="A21" s="459"/>
      <c r="B21" s="465" t="str">
        <f>B20</f>
        <v>Organics</v>
      </c>
      <c r="C21" s="644" t="s">
        <v>115</v>
      </c>
      <c r="D21" s="237">
        <f>SUM(D16:D20)</f>
        <v>83124.890864594985</v>
      </c>
      <c r="E21" s="237">
        <f>SUM(E16:E20)</f>
        <v>66070.462726977988</v>
      </c>
      <c r="F21" s="237">
        <f>SUM(F16:F20)</f>
        <v>2529.6746468755141</v>
      </c>
      <c r="G21" s="237">
        <f t="shared" si="2"/>
        <v>151725.02823844846</v>
      </c>
      <c r="H21" s="275">
        <f t="shared" si="3"/>
        <v>294.44361517589664</v>
      </c>
      <c r="I21" s="237">
        <f>Tas!G92</f>
        <v>21331.252238513051</v>
      </c>
      <c r="J21" s="237">
        <f>Tas!H92</f>
        <v>22599.747761486953</v>
      </c>
      <c r="K21" s="237">
        <f>Tas!I92</f>
        <v>0</v>
      </c>
      <c r="L21" s="237">
        <f t="shared" si="1"/>
        <v>43931</v>
      </c>
      <c r="M21" s="281">
        <f t="shared" ref="M21:M26" si="6">L21/Pop_Tas*1000</f>
        <v>85.254243208731324</v>
      </c>
      <c r="N21" s="281">
        <f t="shared" ref="N21:S21" si="7">SUM(N16:N20)</f>
        <v>21280.894135405015</v>
      </c>
      <c r="O21" s="237">
        <f t="shared" si="7"/>
        <v>14547.019506524544</v>
      </c>
      <c r="P21" s="238">
        <f t="shared" si="7"/>
        <v>158.32535312448596</v>
      </c>
      <c r="Q21" s="281">
        <f t="shared" si="7"/>
        <v>21280.894135405015</v>
      </c>
      <c r="R21" s="237">
        <f t="shared" si="7"/>
        <v>14547.019506524544</v>
      </c>
      <c r="S21" s="237">
        <f t="shared" si="7"/>
        <v>158.32535312448596</v>
      </c>
      <c r="T21" s="237">
        <f>SUM(N21:P21)</f>
        <v>35986.238995054046</v>
      </c>
      <c r="U21" s="273">
        <f t="shared" si="4"/>
        <v>69.836324496411848</v>
      </c>
      <c r="V21" s="246"/>
    </row>
    <row r="22" spans="1:22" ht="12.75" customHeight="1" outlineLevel="1" x14ac:dyDescent="0.2">
      <c r="A22" s="459"/>
      <c r="B22" s="464" t="s">
        <v>20</v>
      </c>
      <c r="C22" s="645" t="s">
        <v>74</v>
      </c>
      <c r="D22" s="960"/>
      <c r="E22" s="961"/>
      <c r="F22" s="961"/>
      <c r="G22" s="961"/>
      <c r="H22" s="962"/>
      <c r="I22" s="963"/>
      <c r="J22" s="963">
        <f>Tas!H93</f>
        <v>28474.82037662965</v>
      </c>
      <c r="K22" s="963">
        <f>Tas!I159</f>
        <v>0</v>
      </c>
      <c r="L22" s="963">
        <f t="shared" si="1"/>
        <v>28474.82037662965</v>
      </c>
      <c r="M22" s="976">
        <f t="shared" si="6"/>
        <v>55.259367228474716</v>
      </c>
      <c r="N22" s="960"/>
      <c r="O22" s="961"/>
      <c r="P22" s="969"/>
      <c r="Q22" s="961"/>
      <c r="R22" s="961"/>
      <c r="S22" s="961"/>
      <c r="T22" s="961"/>
      <c r="U22" s="970"/>
      <c r="V22" s="74"/>
    </row>
    <row r="23" spans="1:22" ht="12.75" customHeight="1" outlineLevel="1" x14ac:dyDescent="0.2">
      <c r="A23" s="459"/>
      <c r="B23" s="468" t="str">
        <f>B22</f>
        <v>Paper &amp; cardboard</v>
      </c>
      <c r="C23" s="645" t="s">
        <v>89</v>
      </c>
      <c r="D23" s="279"/>
      <c r="E23" s="27"/>
      <c r="F23" s="27"/>
      <c r="G23" s="27"/>
      <c r="H23" s="280"/>
      <c r="I23" s="29"/>
      <c r="J23" s="29">
        <f>Tas!H94</f>
        <v>10930.356349589572</v>
      </c>
      <c r="K23" s="29">
        <f>Tas!I160</f>
        <v>0</v>
      </c>
      <c r="L23" s="29">
        <f t="shared" si="1"/>
        <v>10930.356349589572</v>
      </c>
      <c r="M23" s="282">
        <f t="shared" si="6"/>
        <v>21.211883603514831</v>
      </c>
      <c r="N23" s="279"/>
      <c r="O23" s="27"/>
      <c r="P23" s="297"/>
      <c r="Q23" s="27"/>
      <c r="R23" s="27"/>
      <c r="S23" s="27"/>
      <c r="T23" s="27"/>
      <c r="U23" s="271"/>
      <c r="V23" s="74"/>
    </row>
    <row r="24" spans="1:22" ht="12.75" customHeight="1" outlineLevel="1" x14ac:dyDescent="0.2">
      <c r="A24" s="459"/>
      <c r="B24" s="468" t="str">
        <f>B23</f>
        <v>Paper &amp; cardboard</v>
      </c>
      <c r="C24" s="645" t="s">
        <v>76</v>
      </c>
      <c r="D24" s="279"/>
      <c r="E24" s="27"/>
      <c r="F24" s="27"/>
      <c r="G24" s="27"/>
      <c r="H24" s="280"/>
      <c r="I24" s="29"/>
      <c r="J24" s="29">
        <f>Tas!H95</f>
        <v>4378.3529695799134</v>
      </c>
      <c r="K24" s="29">
        <f>Tas!I161</f>
        <v>0</v>
      </c>
      <c r="L24" s="29">
        <f t="shared" si="1"/>
        <v>4378.3529695799134</v>
      </c>
      <c r="M24" s="282">
        <f t="shared" si="6"/>
        <v>8.4968056479988388</v>
      </c>
      <c r="N24" s="279"/>
      <c r="O24" s="27"/>
      <c r="P24" s="297"/>
      <c r="Q24" s="27"/>
      <c r="R24" s="27"/>
      <c r="S24" s="27"/>
      <c r="T24" s="27"/>
      <c r="U24" s="271"/>
      <c r="V24" s="74"/>
    </row>
    <row r="25" spans="1:22" ht="12.75" customHeight="1" outlineLevel="1" x14ac:dyDescent="0.2">
      <c r="A25" s="459"/>
      <c r="B25" s="468" t="str">
        <f>B24</f>
        <v>Paper &amp; cardboard</v>
      </c>
      <c r="C25" s="645" t="s">
        <v>79</v>
      </c>
      <c r="D25" s="279"/>
      <c r="E25" s="27"/>
      <c r="F25" s="27"/>
      <c r="G25" s="27"/>
      <c r="H25" s="280"/>
      <c r="I25" s="29"/>
      <c r="J25" s="29">
        <f>Tas!H96</f>
        <v>0</v>
      </c>
      <c r="K25" s="29">
        <f>Tas!I162</f>
        <v>0</v>
      </c>
      <c r="L25" s="29">
        <f t="shared" si="1"/>
        <v>0</v>
      </c>
      <c r="M25" s="282">
        <f t="shared" si="6"/>
        <v>0</v>
      </c>
      <c r="N25" s="279"/>
      <c r="O25" s="27"/>
      <c r="P25" s="297"/>
      <c r="Q25" s="27"/>
      <c r="R25" s="27"/>
      <c r="S25" s="27"/>
      <c r="T25" s="27"/>
      <c r="U25" s="271"/>
      <c r="V25" s="74"/>
    </row>
    <row r="26" spans="1:22" s="247" customFormat="1" x14ac:dyDescent="0.2">
      <c r="A26" s="459"/>
      <c r="B26" s="464" t="str">
        <f>B25</f>
        <v>Paper &amp; cardboard</v>
      </c>
      <c r="C26" s="646" t="s">
        <v>115</v>
      </c>
      <c r="D26" s="965">
        <f>Tas!G46</f>
        <v>18244.955081859953</v>
      </c>
      <c r="E26" s="966">
        <f>Tas!H46</f>
        <v>24974.722021311514</v>
      </c>
      <c r="F26" s="966">
        <f>Tas!I46</f>
        <v>765.56816038062675</v>
      </c>
      <c r="G26" s="966">
        <f>SUM(D26:F26)</f>
        <v>43985.245263552097</v>
      </c>
      <c r="H26" s="967">
        <f>G26/Pop_Tas*1000</f>
        <v>85.359513721394194</v>
      </c>
      <c r="I26" s="966">
        <f>Tas!G97</f>
        <v>25443</v>
      </c>
      <c r="J26" s="966">
        <f>SUM(J22:J25)</f>
        <v>43783.529695799138</v>
      </c>
      <c r="K26" s="966">
        <f>SUM(K22:K25)</f>
        <v>0</v>
      </c>
      <c r="L26" s="966">
        <f t="shared" si="1"/>
        <v>69226.529695799138</v>
      </c>
      <c r="M26" s="965">
        <f t="shared" si="6"/>
        <v>134.34375268448522</v>
      </c>
      <c r="N26" s="965">
        <f>'Other national data'!K342</f>
        <v>5777.6149181400469</v>
      </c>
      <c r="O26" s="966">
        <f>'Other national data'!L342</f>
        <v>7908.7246791961015</v>
      </c>
      <c r="P26" s="971">
        <f>'Other national data'!M342</f>
        <v>242.43183961937325</v>
      </c>
      <c r="Q26" s="966">
        <f>N26</f>
        <v>5777.6149181400469</v>
      </c>
      <c r="R26" s="966">
        <f>O26</f>
        <v>7908.7246791961015</v>
      </c>
      <c r="S26" s="966">
        <f>P26</f>
        <v>242.43183961937325</v>
      </c>
      <c r="T26" s="966">
        <f>SUM(N26:P26)</f>
        <v>13928.771436955521</v>
      </c>
      <c r="U26" s="968">
        <f>T26/Pop_Tas*1000</f>
        <v>27.030726996540853</v>
      </c>
      <c r="V26" s="246"/>
    </row>
    <row r="27" spans="1:22" ht="12.75" customHeight="1" outlineLevel="1" x14ac:dyDescent="0.2">
      <c r="A27" s="459"/>
      <c r="B27" s="465" t="s">
        <v>32</v>
      </c>
      <c r="C27" s="643" t="s">
        <v>90</v>
      </c>
      <c r="D27" s="27"/>
      <c r="E27" s="27"/>
      <c r="F27" s="27"/>
      <c r="G27" s="27"/>
      <c r="H27" s="280"/>
      <c r="I27" s="29"/>
      <c r="J27" s="29"/>
      <c r="K27" s="29"/>
      <c r="L27" s="29"/>
      <c r="M27" s="282"/>
      <c r="N27" s="906"/>
      <c r="O27" s="907"/>
      <c r="P27" s="908"/>
      <c r="Q27" s="27"/>
      <c r="R27" s="27"/>
      <c r="S27" s="27"/>
      <c r="T27" s="27"/>
      <c r="U27" s="271"/>
      <c r="V27" s="74"/>
    </row>
    <row r="28" spans="1:22" ht="12.75" customHeight="1" outlineLevel="1" x14ac:dyDescent="0.2">
      <c r="A28" s="459"/>
      <c r="B28" s="467" t="str">
        <f t="shared" ref="B28:B36" si="8">B27</f>
        <v>Plastics</v>
      </c>
      <c r="C28" s="643" t="s">
        <v>91</v>
      </c>
      <c r="D28" s="27"/>
      <c r="E28" s="27"/>
      <c r="F28" s="27"/>
      <c r="G28" s="27"/>
      <c r="H28" s="280"/>
      <c r="I28" s="29"/>
      <c r="J28" s="29"/>
      <c r="K28" s="29"/>
      <c r="L28" s="29"/>
      <c r="M28" s="282"/>
      <c r="N28" s="906"/>
      <c r="O28" s="907"/>
      <c r="P28" s="908"/>
      <c r="Q28" s="27"/>
      <c r="R28" s="27"/>
      <c r="S28" s="27"/>
      <c r="T28" s="27"/>
      <c r="U28" s="271"/>
      <c r="V28" s="74"/>
    </row>
    <row r="29" spans="1:22" ht="12.75" customHeight="1" outlineLevel="1" x14ac:dyDescent="0.2">
      <c r="A29" s="459"/>
      <c r="B29" s="467" t="str">
        <f t="shared" si="8"/>
        <v>Plastics</v>
      </c>
      <c r="C29" s="643" t="s">
        <v>92</v>
      </c>
      <c r="D29" s="27"/>
      <c r="E29" s="27"/>
      <c r="F29" s="27"/>
      <c r="G29" s="27"/>
      <c r="H29" s="280"/>
      <c r="I29" s="29"/>
      <c r="J29" s="29"/>
      <c r="K29" s="29"/>
      <c r="L29" s="29"/>
      <c r="M29" s="282"/>
      <c r="N29" s="906"/>
      <c r="O29" s="907"/>
      <c r="P29" s="908"/>
      <c r="Q29" s="27"/>
      <c r="R29" s="27"/>
      <c r="S29" s="27"/>
      <c r="T29" s="27"/>
      <c r="U29" s="271"/>
      <c r="V29" s="74"/>
    </row>
    <row r="30" spans="1:22" s="76" customFormat="1" ht="12.75" customHeight="1" outlineLevel="1" x14ac:dyDescent="0.2">
      <c r="A30" s="459"/>
      <c r="B30" s="467" t="str">
        <f t="shared" si="8"/>
        <v>Plastics</v>
      </c>
      <c r="C30" s="647" t="s">
        <v>118</v>
      </c>
      <c r="D30" s="30"/>
      <c r="E30" s="30"/>
      <c r="F30" s="30"/>
      <c r="G30" s="30"/>
      <c r="H30" s="285">
        <f>G30/Pop_Tas*1000</f>
        <v>0</v>
      </c>
      <c r="I30" s="30"/>
      <c r="J30" s="30"/>
      <c r="K30" s="30"/>
      <c r="L30" s="30"/>
      <c r="M30" s="284"/>
      <c r="N30" s="906"/>
      <c r="O30" s="907"/>
      <c r="P30" s="908"/>
      <c r="Q30" s="30"/>
      <c r="R30" s="30"/>
      <c r="S30" s="30"/>
      <c r="T30" s="30"/>
      <c r="U30" s="274"/>
    </row>
    <row r="31" spans="1:22" ht="12.75" customHeight="1" outlineLevel="1" x14ac:dyDescent="0.2">
      <c r="A31" s="459"/>
      <c r="B31" s="467" t="str">
        <f t="shared" si="8"/>
        <v>Plastics</v>
      </c>
      <c r="C31" s="643" t="s">
        <v>93</v>
      </c>
      <c r="D31" s="27"/>
      <c r="E31" s="27"/>
      <c r="F31" s="27"/>
      <c r="G31" s="27"/>
      <c r="H31" s="280"/>
      <c r="I31" s="29"/>
      <c r="J31" s="29"/>
      <c r="K31" s="29"/>
      <c r="L31" s="29"/>
      <c r="M31" s="282"/>
      <c r="N31" s="906"/>
      <c r="O31" s="907"/>
      <c r="P31" s="908"/>
      <c r="Q31" s="27"/>
      <c r="R31" s="27"/>
      <c r="S31" s="27"/>
      <c r="T31" s="27"/>
      <c r="U31" s="271"/>
      <c r="V31" s="74"/>
    </row>
    <row r="32" spans="1:22" ht="12.75" customHeight="1" outlineLevel="1" x14ac:dyDescent="0.2">
      <c r="A32" s="459"/>
      <c r="B32" s="467" t="str">
        <f t="shared" si="8"/>
        <v>Plastics</v>
      </c>
      <c r="C32" s="643" t="s">
        <v>94</v>
      </c>
      <c r="D32" s="27"/>
      <c r="E32" s="27"/>
      <c r="F32" s="27"/>
      <c r="G32" s="27"/>
      <c r="H32" s="280"/>
      <c r="I32" s="29"/>
      <c r="J32" s="29"/>
      <c r="K32" s="29"/>
      <c r="L32" s="29"/>
      <c r="M32" s="282"/>
      <c r="N32" s="906"/>
      <c r="O32" s="907"/>
      <c r="P32" s="908"/>
      <c r="Q32" s="27"/>
      <c r="R32" s="27"/>
      <c r="S32" s="27"/>
      <c r="T32" s="27"/>
      <c r="U32" s="271"/>
      <c r="V32" s="74"/>
    </row>
    <row r="33" spans="1:22" ht="12.75" customHeight="1" outlineLevel="1" x14ac:dyDescent="0.2">
      <c r="A33" s="459"/>
      <c r="B33" s="467" t="str">
        <f t="shared" si="8"/>
        <v>Plastics</v>
      </c>
      <c r="C33" s="643" t="s">
        <v>95</v>
      </c>
      <c r="D33" s="27"/>
      <c r="E33" s="27"/>
      <c r="F33" s="27"/>
      <c r="G33" s="27"/>
      <c r="H33" s="280"/>
      <c r="I33" s="29"/>
      <c r="J33" s="29"/>
      <c r="K33" s="29"/>
      <c r="L33" s="29"/>
      <c r="M33" s="282"/>
      <c r="N33" s="906"/>
      <c r="O33" s="907"/>
      <c r="P33" s="908"/>
      <c r="Q33" s="27"/>
      <c r="R33" s="27"/>
      <c r="S33" s="27"/>
      <c r="T33" s="27"/>
      <c r="U33" s="271"/>
      <c r="V33" s="74"/>
    </row>
    <row r="34" spans="1:22" ht="12.75" customHeight="1" outlineLevel="1" x14ac:dyDescent="0.2">
      <c r="A34" s="459"/>
      <c r="B34" s="467" t="str">
        <f t="shared" si="8"/>
        <v>Plastics</v>
      </c>
      <c r="C34" s="643" t="s">
        <v>96</v>
      </c>
      <c r="D34" s="27"/>
      <c r="E34" s="27"/>
      <c r="F34" s="27"/>
      <c r="G34" s="27"/>
      <c r="H34" s="280"/>
      <c r="I34" s="29"/>
      <c r="J34" s="29"/>
      <c r="K34" s="29"/>
      <c r="L34" s="29"/>
      <c r="M34" s="282"/>
      <c r="N34" s="906"/>
      <c r="O34" s="907"/>
      <c r="P34" s="908"/>
      <c r="Q34" s="27"/>
      <c r="R34" s="27"/>
      <c r="S34" s="27"/>
      <c r="T34" s="27"/>
      <c r="U34" s="271"/>
      <c r="V34" s="74"/>
    </row>
    <row r="35" spans="1:22" s="76" customFormat="1" ht="12.75" customHeight="1" outlineLevel="1" x14ac:dyDescent="0.2">
      <c r="A35" s="459"/>
      <c r="B35" s="467" t="str">
        <f t="shared" si="8"/>
        <v>Plastics</v>
      </c>
      <c r="C35" s="647" t="s">
        <v>119</v>
      </c>
      <c r="D35" s="30"/>
      <c r="E35" s="30"/>
      <c r="F35" s="30"/>
      <c r="G35" s="30"/>
      <c r="H35" s="285">
        <f>G35/Pop_Tas*1000</f>
        <v>0</v>
      </c>
      <c r="I35" s="30"/>
      <c r="J35" s="30"/>
      <c r="K35" s="30"/>
      <c r="L35" s="30"/>
      <c r="M35" s="284"/>
      <c r="N35" s="906"/>
      <c r="O35" s="907"/>
      <c r="P35" s="908"/>
      <c r="Q35" s="30"/>
      <c r="R35" s="30"/>
      <c r="S35" s="30"/>
      <c r="T35" s="30"/>
      <c r="U35" s="274"/>
    </row>
    <row r="36" spans="1:22" s="247" customFormat="1" x14ac:dyDescent="0.2">
      <c r="A36" s="459"/>
      <c r="B36" s="465" t="str">
        <f t="shared" si="8"/>
        <v>Plastics</v>
      </c>
      <c r="C36" s="644" t="s">
        <v>115</v>
      </c>
      <c r="D36" s="237">
        <f>Tas!G47</f>
        <v>30807.232855351365</v>
      </c>
      <c r="E36" s="237">
        <f>Tas!H47</f>
        <v>37227.008157162927</v>
      </c>
      <c r="F36" s="237">
        <f>Tas!I47</f>
        <v>1089.299132044458</v>
      </c>
      <c r="G36" s="237">
        <f>SUM(D36:F36)</f>
        <v>69123.540144558749</v>
      </c>
      <c r="H36" s="275">
        <f>G36/Pop_Tas*1000</f>
        <v>134.14388707137817</v>
      </c>
      <c r="I36" s="237">
        <f>Tas!G98</f>
        <v>2359</v>
      </c>
      <c r="J36" s="237">
        <f>Tas!H98</f>
        <v>2500</v>
      </c>
      <c r="K36" s="237">
        <f>Tas!I98</f>
        <v>0</v>
      </c>
      <c r="L36" s="237">
        <f t="shared" ref="L36:L42" si="9">SUM(I36:K36)</f>
        <v>4859</v>
      </c>
      <c r="M36" s="281">
        <f>L36/Pop_Tas*1000</f>
        <v>9.4295683629151519</v>
      </c>
      <c r="N36" s="906"/>
      <c r="O36" s="907"/>
      <c r="P36" s="908"/>
      <c r="Q36" s="237"/>
      <c r="R36" s="237"/>
      <c r="S36" s="237"/>
      <c r="T36" s="237"/>
      <c r="U36" s="275"/>
    </row>
    <row r="37" spans="1:22" s="76" customFormat="1" x14ac:dyDescent="0.2">
      <c r="A37" s="459"/>
      <c r="B37" s="306" t="s">
        <v>30</v>
      </c>
      <c r="C37" s="648" t="s">
        <v>30</v>
      </c>
      <c r="D37" s="972">
        <f>Tas!G48</f>
        <v>10405.391590503625</v>
      </c>
      <c r="E37" s="973">
        <f>Tas!H48</f>
        <v>4662.776094780832</v>
      </c>
      <c r="F37" s="973">
        <f>Tas!I48</f>
        <v>0.96655406739226724</v>
      </c>
      <c r="G37" s="973">
        <f>SUM(D37:F37)</f>
        <v>15069.13423935185</v>
      </c>
      <c r="H37" s="974">
        <f>G37/Pop_Tas*1000</f>
        <v>29.243760337500245</v>
      </c>
      <c r="I37" s="973">
        <f>Tas!G99</f>
        <v>17136</v>
      </c>
      <c r="J37" s="973">
        <f>Tas!H99</f>
        <v>2577.3283437952682</v>
      </c>
      <c r="K37" s="973">
        <f>Tas!I99</f>
        <v>0</v>
      </c>
      <c r="L37" s="973">
        <f t="shared" si="9"/>
        <v>19713.328343795267</v>
      </c>
      <c r="M37" s="975">
        <f>L37/Pop_Tas*1000</f>
        <v>38.256467849024567</v>
      </c>
      <c r="N37" s="909"/>
      <c r="O37" s="910"/>
      <c r="P37" s="911"/>
      <c r="Q37" s="913"/>
      <c r="R37" s="913"/>
      <c r="S37" s="913"/>
      <c r="T37" s="913"/>
      <c r="U37" s="929"/>
    </row>
    <row r="38" spans="1:22" ht="12.75" customHeight="1" outlineLevel="1" x14ac:dyDescent="0.2">
      <c r="A38" s="459"/>
      <c r="B38" s="465" t="s">
        <v>27</v>
      </c>
      <c r="C38" s="643" t="s">
        <v>83</v>
      </c>
      <c r="D38" s="976"/>
      <c r="E38" s="963"/>
      <c r="F38" s="963"/>
      <c r="G38" s="963"/>
      <c r="H38" s="978"/>
      <c r="I38" s="963">
        <f>Tas!G100</f>
        <v>0</v>
      </c>
      <c r="J38" s="963">
        <f>Tas!H100</f>
        <v>419.20400772573635</v>
      </c>
      <c r="K38" s="963">
        <f>Tas!I100</f>
        <v>0</v>
      </c>
      <c r="L38" s="963">
        <f t="shared" si="9"/>
        <v>419.20400772573635</v>
      </c>
      <c r="M38" s="964">
        <f>L38/Pop_Tas*1000</f>
        <v>0.81352394502116532</v>
      </c>
      <c r="N38" s="282"/>
      <c r="O38" s="29"/>
      <c r="P38" s="28"/>
      <c r="Q38" s="29"/>
      <c r="R38" s="29"/>
      <c r="S38" s="29"/>
      <c r="T38" s="29"/>
      <c r="U38" s="272"/>
      <c r="V38" s="74"/>
    </row>
    <row r="39" spans="1:22" ht="12.75" customHeight="1" outlineLevel="1" x14ac:dyDescent="0.2">
      <c r="A39" s="459"/>
      <c r="B39" s="467" t="str">
        <f>B38</f>
        <v>Other</v>
      </c>
      <c r="C39" s="643" t="s">
        <v>568</v>
      </c>
      <c r="D39" s="279"/>
      <c r="E39" s="27"/>
      <c r="F39" s="27"/>
      <c r="G39" s="27"/>
      <c r="H39" s="280"/>
      <c r="I39" s="29">
        <f>Tas!G101</f>
        <v>0</v>
      </c>
      <c r="J39" s="29">
        <f>Tas!H101</f>
        <v>201.83896668276199</v>
      </c>
      <c r="K39" s="29">
        <f>Tas!I101</f>
        <v>0</v>
      </c>
      <c r="L39" s="29">
        <f t="shared" si="9"/>
        <v>201.83896668276199</v>
      </c>
      <c r="M39" s="272">
        <f>L39/Pop_Tas*1000</f>
        <v>0.39169671426945002</v>
      </c>
      <c r="N39" s="279"/>
      <c r="O39" s="29"/>
      <c r="P39" s="297"/>
      <c r="Q39" s="27"/>
      <c r="R39" s="29"/>
      <c r="S39" s="27"/>
      <c r="T39" s="29"/>
      <c r="U39" s="272"/>
      <c r="V39" s="74"/>
    </row>
    <row r="40" spans="1:22" s="247" customFormat="1" x14ac:dyDescent="0.2">
      <c r="A40" s="459"/>
      <c r="B40" s="465" t="str">
        <f>B39</f>
        <v>Other</v>
      </c>
      <c r="C40" s="644" t="s">
        <v>115</v>
      </c>
      <c r="D40" s="965">
        <f>Tas!G49</f>
        <v>3874.9056570039852</v>
      </c>
      <c r="E40" s="966">
        <f>Tas!H49</f>
        <v>13346.024155004268</v>
      </c>
      <c r="F40" s="966">
        <f>Tas!I49</f>
        <v>0</v>
      </c>
      <c r="G40" s="966">
        <f>SUM(D40:F40)</f>
        <v>17220.929812008253</v>
      </c>
      <c r="H40" s="967">
        <f>G40/Pop_Tas*1000</f>
        <v>33.419620278924754</v>
      </c>
      <c r="I40" s="966">
        <f>SUM(I38:I39)</f>
        <v>0</v>
      </c>
      <c r="J40" s="966">
        <f>SUM(J38:J39)</f>
        <v>621.04297440849837</v>
      </c>
      <c r="K40" s="966">
        <f>SUM(K38:K39)</f>
        <v>0</v>
      </c>
      <c r="L40" s="966">
        <f t="shared" si="9"/>
        <v>621.04297440849837</v>
      </c>
      <c r="M40" s="968">
        <f>L40/Pop_Tas*1000</f>
        <v>1.2052206592906154</v>
      </c>
      <c r="N40" s="281">
        <f>'Other national data'!K343</f>
        <v>744.81934299601517</v>
      </c>
      <c r="O40" s="237">
        <f>'Other national data'!L343</f>
        <v>2565.3210226607084</v>
      </c>
      <c r="P40" s="238">
        <f>'Other national data'!M343</f>
        <v>0</v>
      </c>
      <c r="Q40" s="237">
        <f>N40+SUM(Q38:Q39)</f>
        <v>744.81934299601517</v>
      </c>
      <c r="R40" s="237">
        <f>O40+SUM(R38:R39)</f>
        <v>2565.3210226607084</v>
      </c>
      <c r="S40" s="237">
        <f>P40+SUM(S38:S39)</f>
        <v>0</v>
      </c>
      <c r="T40" s="237">
        <f>SUM(Q40:S40)</f>
        <v>3310.1403656567236</v>
      </c>
      <c r="U40" s="273">
        <f>T40/Pop_Tas*1000</f>
        <v>6.4237898474593607</v>
      </c>
      <c r="V40" s="246"/>
    </row>
    <row r="41" spans="1:22" outlineLevel="1" x14ac:dyDescent="0.2">
      <c r="A41" s="459"/>
      <c r="B41" s="454" t="s">
        <v>35</v>
      </c>
      <c r="C41" s="1079" t="s">
        <v>867</v>
      </c>
      <c r="D41" s="1073"/>
      <c r="E41" s="963">
        <f>Tas!$G112*'Other national data'!I447</f>
        <v>0</v>
      </c>
      <c r="F41" s="963">
        <f>Tas!$G112*'Other national data'!J447</f>
        <v>0</v>
      </c>
      <c r="G41" s="963">
        <f>SUM(D41:F41)</f>
        <v>0</v>
      </c>
      <c r="H41" s="964">
        <f t="shared" ref="H41:H61" si="10">G41/Pop_Tas*1000</f>
        <v>0</v>
      </c>
      <c r="I41" s="1073"/>
      <c r="J41" s="963">
        <f>Tas!$H112*'Other national data'!I447</f>
        <v>0</v>
      </c>
      <c r="K41" s="963">
        <f>Tas!$H112*'Other national data'!J447</f>
        <v>0</v>
      </c>
      <c r="L41" s="963">
        <f t="shared" si="9"/>
        <v>0</v>
      </c>
      <c r="M41" s="964">
        <f t="shared" ref="M41:M61" si="11">L41/Pop_Tas*1000</f>
        <v>0</v>
      </c>
      <c r="N41" s="910"/>
      <c r="O41" s="910"/>
      <c r="P41" s="911"/>
      <c r="Q41" s="927"/>
      <c r="R41" s="913"/>
      <c r="S41" s="913"/>
      <c r="T41" s="928"/>
      <c r="U41" s="926"/>
      <c r="V41" s="74"/>
    </row>
    <row r="42" spans="1:22" outlineLevel="1" x14ac:dyDescent="0.2">
      <c r="A42" s="459"/>
      <c r="B42" s="468" t="str">
        <f>B41</f>
        <v>Hazardous</v>
      </c>
      <c r="C42" s="1080" t="s">
        <v>152</v>
      </c>
      <c r="D42" s="910"/>
      <c r="E42" s="29">
        <f>Tas!$G113*'Other national data'!I448</f>
        <v>0.54197309723192899</v>
      </c>
      <c r="F42" s="29">
        <f>Tas!$G113*'Other national data'!J448</f>
        <v>0</v>
      </c>
      <c r="G42" s="29">
        <f>SUM(D42:F42)</f>
        <v>0.54197309723192899</v>
      </c>
      <c r="H42" s="272">
        <f t="shared" si="10"/>
        <v>1.0517745155812584E-3</v>
      </c>
      <c r="I42" s="910"/>
      <c r="J42" s="29">
        <f>Tas!$H113*'Other national data'!I448</f>
        <v>2.0580269027680451</v>
      </c>
      <c r="K42" s="29">
        <f>Tas!$H113*'Other national data'!J448</f>
        <v>0</v>
      </c>
      <c r="L42" s="29">
        <f t="shared" si="9"/>
        <v>2.0580269027680451</v>
      </c>
      <c r="M42" s="272">
        <f t="shared" si="11"/>
        <v>3.9938887368532235E-3</v>
      </c>
      <c r="N42" s="910"/>
      <c r="O42" s="910"/>
      <c r="P42" s="911"/>
      <c r="Q42" s="927"/>
      <c r="R42" s="913"/>
      <c r="S42" s="913"/>
      <c r="T42" s="928"/>
      <c r="U42" s="926"/>
      <c r="V42" s="74"/>
    </row>
    <row r="43" spans="1:22" outlineLevel="1" x14ac:dyDescent="0.2">
      <c r="A43" s="459"/>
      <c r="B43" s="468" t="str">
        <f t="shared" ref="B43:B60" si="12">B42</f>
        <v>Hazardous</v>
      </c>
      <c r="C43" s="1080" t="s">
        <v>156</v>
      </c>
      <c r="D43" s="910"/>
      <c r="E43" s="29">
        <f>Tas!$G114*'Other national data'!I449</f>
        <v>0.38390200695938981</v>
      </c>
      <c r="F43" s="29">
        <f>Tas!$G114*'Other national data'!J449</f>
        <v>0</v>
      </c>
      <c r="G43" s="29">
        <f t="shared" ref="G43:G55" si="13">SUM(D43:F43)</f>
        <v>0.38390200695938981</v>
      </c>
      <c r="H43" s="272">
        <f t="shared" si="10"/>
        <v>7.4501548040417675E-4</v>
      </c>
      <c r="I43" s="910"/>
      <c r="J43" s="29">
        <f>Tas!$H114*'Other national data'!I449</f>
        <v>1.2160979930405942</v>
      </c>
      <c r="K43" s="29">
        <f>Tas!$H114*'Other national data'!J449</f>
        <v>0</v>
      </c>
      <c r="L43" s="29">
        <f t="shared" ref="L43:L55" si="14">SUM(I43:K43)</f>
        <v>1.2160979930405942</v>
      </c>
      <c r="M43" s="272">
        <f t="shared" si="11"/>
        <v>2.3600080595555044E-3</v>
      </c>
      <c r="N43" s="910"/>
      <c r="O43" s="910"/>
      <c r="P43" s="911"/>
      <c r="Q43" s="927"/>
      <c r="R43" s="913"/>
      <c r="S43" s="913"/>
      <c r="T43" s="928"/>
      <c r="U43" s="926"/>
      <c r="V43" s="74"/>
    </row>
    <row r="44" spans="1:22" outlineLevel="1" x14ac:dyDescent="0.2">
      <c r="A44" s="459"/>
      <c r="B44" s="468" t="str">
        <f t="shared" si="12"/>
        <v>Hazardous</v>
      </c>
      <c r="C44" s="1080" t="s">
        <v>160</v>
      </c>
      <c r="D44" s="910"/>
      <c r="E44" s="29">
        <f>Tas!$G115*'Other national data'!I450</f>
        <v>73229.091918661361</v>
      </c>
      <c r="F44" s="29">
        <f>Tas!$G115*'Other national data'!J450</f>
        <v>0</v>
      </c>
      <c r="G44" s="29">
        <f t="shared" si="13"/>
        <v>73229.091918661361</v>
      </c>
      <c r="H44" s="272">
        <f t="shared" si="10"/>
        <v>142.11128388582318</v>
      </c>
      <c r="I44" s="910"/>
      <c r="J44" s="29">
        <f>Tas!$H115*'Other national data'!I450</f>
        <v>189375.78608133603</v>
      </c>
      <c r="K44" s="29">
        <f>Tas!$H115*'Other national data'!J450</f>
        <v>0</v>
      </c>
      <c r="L44" s="29">
        <f t="shared" si="14"/>
        <v>189375.78608133603</v>
      </c>
      <c r="M44" s="272">
        <f t="shared" si="11"/>
        <v>367.51017105057701</v>
      </c>
      <c r="N44" s="910"/>
      <c r="O44" s="910"/>
      <c r="P44" s="911"/>
      <c r="Q44" s="927"/>
      <c r="R44" s="913"/>
      <c r="S44" s="913"/>
      <c r="T44" s="928"/>
      <c r="U44" s="925"/>
      <c r="V44" s="74"/>
    </row>
    <row r="45" spans="1:22" outlineLevel="1" x14ac:dyDescent="0.2">
      <c r="A45" s="459"/>
      <c r="B45" s="468" t="str">
        <f t="shared" si="12"/>
        <v>Hazardous</v>
      </c>
      <c r="C45" s="1080" t="s">
        <v>210</v>
      </c>
      <c r="D45" s="910"/>
      <c r="E45" s="29">
        <f>Tas!$G116*'Other national data'!I451</f>
        <v>0.26845301636642199</v>
      </c>
      <c r="F45" s="29">
        <f>Tas!$G116*'Other national data'!J451</f>
        <v>0</v>
      </c>
      <c r="G45" s="29">
        <f t="shared" si="13"/>
        <v>0.26845301636642199</v>
      </c>
      <c r="H45" s="272">
        <f t="shared" si="10"/>
        <v>5.2097058449433135E-4</v>
      </c>
      <c r="I45" s="910"/>
      <c r="J45" s="29">
        <f>Tas!$H116*'Other national data'!I451</f>
        <v>24.431546983633329</v>
      </c>
      <c r="K45" s="29">
        <f>Tas!$H116*'Other national data'!J451</f>
        <v>0</v>
      </c>
      <c r="L45" s="29">
        <f t="shared" si="14"/>
        <v>24.431546983633329</v>
      </c>
      <c r="M45" s="272">
        <f t="shared" si="11"/>
        <v>4.7412830313633247E-2</v>
      </c>
      <c r="N45" s="910"/>
      <c r="O45" s="910"/>
      <c r="P45" s="911"/>
      <c r="Q45" s="927"/>
      <c r="R45" s="29">
        <f>Tas!$I116*'Other national data'!I451</f>
        <v>2.4700000000000001E-13</v>
      </c>
      <c r="S45" s="29">
        <f>Tas!$I116*'Other national data'!J451</f>
        <v>0</v>
      </c>
      <c r="T45" s="29">
        <f>SUM(Q45:S45)</f>
        <v>2.4700000000000001E-13</v>
      </c>
      <c r="U45" s="272">
        <f>T45/Pop_Tas*1000</f>
        <v>4.7933800898128068E-16</v>
      </c>
      <c r="V45" s="74"/>
    </row>
    <row r="46" spans="1:22" outlineLevel="1" x14ac:dyDescent="0.2">
      <c r="A46" s="459"/>
      <c r="B46" s="468" t="str">
        <f t="shared" si="12"/>
        <v>Hazardous</v>
      </c>
      <c r="C46" s="1080" t="s">
        <v>214</v>
      </c>
      <c r="D46" s="910"/>
      <c r="E46" s="29">
        <f>Tas!$G117*'Other national data'!I452</f>
        <v>7.5384619504295616</v>
      </c>
      <c r="F46" s="29">
        <f>Tas!$G117*'Other national data'!J452</f>
        <v>0</v>
      </c>
      <c r="G46" s="29">
        <f t="shared" si="13"/>
        <v>7.5384619504295616</v>
      </c>
      <c r="H46" s="272">
        <f t="shared" si="10"/>
        <v>1.4629438631983998E-2</v>
      </c>
      <c r="I46" s="910"/>
      <c r="J46" s="29">
        <f>Tas!$H117*'Other national data'!I452</f>
        <v>15.985538049570202</v>
      </c>
      <c r="K46" s="29">
        <f>Tas!$H117*'Other national data'!J452</f>
        <v>0</v>
      </c>
      <c r="L46" s="29">
        <f t="shared" si="14"/>
        <v>15.985538049570202</v>
      </c>
      <c r="M46" s="272">
        <f t="shared" si="11"/>
        <v>3.1022169964273216E-2</v>
      </c>
      <c r="N46" s="910"/>
      <c r="O46" s="910"/>
      <c r="P46" s="911"/>
      <c r="Q46" s="927"/>
      <c r="R46" s="29">
        <f>Tas!$I117*'Other national data'!I452</f>
        <v>2.3524000000000002E-13</v>
      </c>
      <c r="S46" s="29">
        <f>Tas!$I117*'Other national data'!J452</f>
        <v>0</v>
      </c>
      <c r="T46" s="29">
        <f>SUM(Q46:S46)</f>
        <v>2.3524000000000002E-13</v>
      </c>
      <c r="U46" s="272">
        <f>T46/Pop_Tas*1000</f>
        <v>4.5651608596257674E-16</v>
      </c>
      <c r="V46" s="74"/>
    </row>
    <row r="47" spans="1:22" outlineLevel="1" x14ac:dyDescent="0.2">
      <c r="A47" s="459"/>
      <c r="B47" s="468" t="str">
        <f t="shared" si="12"/>
        <v>Hazardous</v>
      </c>
      <c r="C47" s="1080" t="s">
        <v>220</v>
      </c>
      <c r="D47" s="910"/>
      <c r="E47" s="29">
        <f>Tas!$G118*'Other national data'!I453</f>
        <v>121.25807615904995</v>
      </c>
      <c r="F47" s="29">
        <f>Tas!$G118*'Other national data'!J453</f>
        <v>0</v>
      </c>
      <c r="G47" s="29">
        <f t="shared" si="13"/>
        <v>121.25807615904995</v>
      </c>
      <c r="H47" s="272">
        <f t="shared" si="10"/>
        <v>0.23531823805254856</v>
      </c>
      <c r="I47" s="910"/>
      <c r="J47" s="29">
        <f>Tas!$H118*'Other national data'!I453</f>
        <v>1305.5969238409359</v>
      </c>
      <c r="K47" s="29">
        <f>Tas!$H118*'Other national data'!J453</f>
        <v>0</v>
      </c>
      <c r="L47" s="29">
        <f t="shared" si="14"/>
        <v>1305.5969238409359</v>
      </c>
      <c r="M47" s="272">
        <f t="shared" si="11"/>
        <v>2.5336932388906837</v>
      </c>
      <c r="N47" s="910"/>
      <c r="O47" s="910"/>
      <c r="P47" s="911"/>
      <c r="Q47" s="927"/>
      <c r="R47" s="29">
        <f>Tas!$I118*'Other national data'!I453</f>
        <v>1.4268549999999999E-11</v>
      </c>
      <c r="S47" s="29">
        <f>Tas!$I118*'Other national data'!J453</f>
        <v>0</v>
      </c>
      <c r="T47" s="29">
        <f>SUM(Q47:S47)</f>
        <v>1.4268549999999999E-11</v>
      </c>
      <c r="U47" s="272">
        <f>T47/Pop_Tas*1000</f>
        <v>2.7690114769432594E-14</v>
      </c>
      <c r="V47" s="74"/>
    </row>
    <row r="48" spans="1:22" outlineLevel="1" x14ac:dyDescent="0.2">
      <c r="A48" s="459"/>
      <c r="B48" s="468" t="str">
        <f t="shared" si="12"/>
        <v>Hazardous</v>
      </c>
      <c r="C48" s="1080" t="s">
        <v>230</v>
      </c>
      <c r="D48" s="910"/>
      <c r="E48" s="29">
        <f>Tas!$G119*'Other national data'!I454</f>
        <v>2.1530886388913646</v>
      </c>
      <c r="F48" s="29">
        <f>Tas!$G119*'Other national data'!J454</f>
        <v>0</v>
      </c>
      <c r="G48" s="29">
        <f t="shared" si="13"/>
        <v>2.1530886388913646</v>
      </c>
      <c r="H48" s="272">
        <f t="shared" si="10"/>
        <v>4.1783693171109394E-3</v>
      </c>
      <c r="I48" s="910"/>
      <c r="J48" s="29">
        <f>Tas!$H119*'Other national data'!I454</f>
        <v>29.96191136110831</v>
      </c>
      <c r="K48" s="29">
        <f>Tas!$H119*'Other national data'!J454</f>
        <v>0</v>
      </c>
      <c r="L48" s="29">
        <f t="shared" si="14"/>
        <v>29.96191136110831</v>
      </c>
      <c r="M48" s="272">
        <f t="shared" si="11"/>
        <v>5.814527504901728E-2</v>
      </c>
      <c r="N48" s="910"/>
      <c r="O48" s="910"/>
      <c r="P48" s="911"/>
      <c r="Q48" s="927"/>
      <c r="R48" s="913"/>
      <c r="S48" s="913"/>
      <c r="T48" s="928"/>
      <c r="U48" s="926"/>
      <c r="V48" s="74"/>
    </row>
    <row r="49" spans="1:47" outlineLevel="1" x14ac:dyDescent="0.2">
      <c r="A49" s="459"/>
      <c r="B49" s="468" t="str">
        <f t="shared" si="12"/>
        <v>Hazardous</v>
      </c>
      <c r="C49" s="1080" t="s">
        <v>238</v>
      </c>
      <c r="D49" s="910"/>
      <c r="E49" s="29">
        <f>Tas!$G120*'Other national data'!I455</f>
        <v>35.897036786764168</v>
      </c>
      <c r="F49" s="29">
        <f>Tas!$G120*'Other national data'!J455</f>
        <v>0</v>
      </c>
      <c r="G49" s="29">
        <f t="shared" si="13"/>
        <v>35.897036786764168</v>
      </c>
      <c r="H49" s="272">
        <f t="shared" si="10"/>
        <v>6.9663215148564064E-2</v>
      </c>
      <c r="I49" s="910"/>
      <c r="J49" s="29">
        <f>Tas!$H120*'Other national data'!I455</f>
        <v>298.47496321323251</v>
      </c>
      <c r="K49" s="29">
        <f>Tas!$H120*'Other national data'!J455</f>
        <v>0</v>
      </c>
      <c r="L49" s="29">
        <f t="shared" si="14"/>
        <v>298.47496321323251</v>
      </c>
      <c r="M49" s="272">
        <f t="shared" si="11"/>
        <v>0.57923236679106005</v>
      </c>
      <c r="N49" s="910"/>
      <c r="O49" s="910"/>
      <c r="P49" s="911"/>
      <c r="Q49" s="927"/>
      <c r="R49" s="29">
        <f>Tas!$I120*'Other national data'!I455</f>
        <v>3.3437200000000002E-12</v>
      </c>
      <c r="S49" s="29">
        <f>Tas!$I120*'Other national data'!J455</f>
        <v>0</v>
      </c>
      <c r="T49" s="29">
        <f>SUM(Q49:S49)</f>
        <v>3.3437200000000002E-12</v>
      </c>
      <c r="U49" s="272">
        <f>T49/Pop_Tas*1000</f>
        <v>6.4889558193963057E-15</v>
      </c>
      <c r="V49" s="74"/>
    </row>
    <row r="50" spans="1:47" outlineLevel="1" x14ac:dyDescent="0.2">
      <c r="A50" s="459"/>
      <c r="B50" s="468" t="str">
        <f t="shared" si="12"/>
        <v>Hazardous</v>
      </c>
      <c r="C50" s="1080" t="s">
        <v>246</v>
      </c>
      <c r="D50" s="910"/>
      <c r="E50" s="29">
        <f>Tas!$G121*'Other national data'!I456</f>
        <v>918.42597958177646</v>
      </c>
      <c r="F50" s="29">
        <f>Tas!$G121*'Other national data'!J456</f>
        <v>0</v>
      </c>
      <c r="G50" s="29">
        <f t="shared" si="13"/>
        <v>918.42597958177646</v>
      </c>
      <c r="H50" s="272">
        <f t="shared" si="10"/>
        <v>1.7823339289449838</v>
      </c>
      <c r="I50" s="910"/>
      <c r="J50" s="29">
        <f>Tas!$H121*'Other national data'!I456</f>
        <v>17262.540346680322</v>
      </c>
      <c r="K50" s="29">
        <f>Tas!$H121*'Other national data'!J456</f>
        <v>0</v>
      </c>
      <c r="L50" s="29">
        <f t="shared" si="14"/>
        <v>17262.540346680322</v>
      </c>
      <c r="M50" s="272">
        <f t="shared" si="11"/>
        <v>33.50037133496668</v>
      </c>
      <c r="N50" s="910"/>
      <c r="O50" s="910"/>
      <c r="P50" s="911"/>
      <c r="Q50" s="927"/>
      <c r="R50" s="29">
        <f>Tas!$I121*'Other national data'!I456</f>
        <v>1.8180966326262282E-10</v>
      </c>
      <c r="S50" s="29">
        <f>Tas!$I121*'Other national data'!J456</f>
        <v>0</v>
      </c>
      <c r="T50" s="29">
        <f>SUM(Q50:S50)</f>
        <v>1.8180966326262282E-10</v>
      </c>
      <c r="U50" s="272">
        <f>T50/Pop_Tas*1000</f>
        <v>3.5282705263912023E-13</v>
      </c>
      <c r="V50" s="74"/>
    </row>
    <row r="51" spans="1:47" outlineLevel="1" x14ac:dyDescent="0.2">
      <c r="A51" s="459"/>
      <c r="B51" s="468" t="str">
        <f t="shared" si="12"/>
        <v>Hazardous</v>
      </c>
      <c r="C51" s="1080" t="s">
        <v>256</v>
      </c>
      <c r="D51" s="910"/>
      <c r="E51" s="29">
        <f>Tas!$G122*'Other national data'!I457</f>
        <v>29.024684919802532</v>
      </c>
      <c r="F51" s="29">
        <f>Tas!$G122*'Other national data'!J457</f>
        <v>0</v>
      </c>
      <c r="G51" s="29">
        <f t="shared" si="13"/>
        <v>29.024684919802532</v>
      </c>
      <c r="H51" s="272">
        <f t="shared" si="10"/>
        <v>5.6326456197437834E-2</v>
      </c>
      <c r="I51" s="910"/>
      <c r="J51" s="29">
        <f>Tas!$H122*'Other national data'!I457</f>
        <v>10.95898608019707</v>
      </c>
      <c r="K51" s="29">
        <f>Tas!$H122*'Other national data'!J457</f>
        <v>0</v>
      </c>
      <c r="L51" s="29">
        <f t="shared" si="14"/>
        <v>10.95898608019707</v>
      </c>
      <c r="M51" s="272">
        <f t="shared" si="11"/>
        <v>2.12674435956892E-2</v>
      </c>
      <c r="N51" s="910"/>
      <c r="O51" s="910"/>
      <c r="P51" s="911"/>
      <c r="Q51" s="927"/>
      <c r="R51" s="29">
        <f>Tas!$I122*'Other national data'!I457</f>
        <v>3.9983670999999999E-13</v>
      </c>
      <c r="S51" s="29">
        <f>Tas!$I122*'Other national data'!J457</f>
        <v>0</v>
      </c>
      <c r="T51" s="29">
        <f>SUM(Q51:S51)</f>
        <v>3.9983670999999999E-13</v>
      </c>
      <c r="U51" s="272">
        <f>T51/Pop_Tas*1000</f>
        <v>7.7593899793127807E-16</v>
      </c>
      <c r="V51" s="74"/>
    </row>
    <row r="52" spans="1:47" outlineLevel="1" x14ac:dyDescent="0.2">
      <c r="A52" s="459"/>
      <c r="B52" s="468" t="str">
        <f t="shared" si="12"/>
        <v>Hazardous</v>
      </c>
      <c r="C52" s="1081" t="s">
        <v>343</v>
      </c>
      <c r="D52" s="910"/>
      <c r="E52" s="29">
        <f>Tas!$G123*'Other national data'!I458</f>
        <v>1552.1991904299837</v>
      </c>
      <c r="F52" s="29">
        <f>Tas!$G123*'Other national data'!J458</f>
        <v>3991.3693468199576</v>
      </c>
      <c r="G52" s="29">
        <f t="shared" si="13"/>
        <v>5543.5685372499411</v>
      </c>
      <c r="H52" s="272">
        <f t="shared" si="10"/>
        <v>10.758069252213184</v>
      </c>
      <c r="I52" s="910"/>
      <c r="J52" s="29">
        <f>Tas!$H123*'Other national data'!I458</f>
        <v>24.009009570000728</v>
      </c>
      <c r="K52" s="29">
        <f>Tas!$H123*'Other national data'!J458</f>
        <v>61.737453180001864</v>
      </c>
      <c r="L52" s="29">
        <f t="shared" si="14"/>
        <v>85.746462750002593</v>
      </c>
      <c r="M52" s="272">
        <f t="shared" si="11"/>
        <v>0.16640299081689791</v>
      </c>
      <c r="N52" s="910"/>
      <c r="O52" s="910"/>
      <c r="P52" s="911"/>
      <c r="Q52" s="927"/>
      <c r="R52" s="29">
        <f>Tas!$I123*'Other national data'!I458</f>
        <v>1.5762081999999999E-11</v>
      </c>
      <c r="S52" s="29">
        <f>Tas!$I123*'Other national data'!J458</f>
        <v>4.0531067999999997E-11</v>
      </c>
      <c r="T52" s="29">
        <f>SUM(Q52:S52)</f>
        <v>5.6293149999999996E-11</v>
      </c>
      <c r="U52" s="272">
        <f>T52/Pop_Tas*1000</f>
        <v>1.0924472243030192E-13</v>
      </c>
      <c r="V52" s="74"/>
    </row>
    <row r="53" spans="1:47" outlineLevel="1" x14ac:dyDescent="0.2">
      <c r="A53" s="459"/>
      <c r="B53" s="468" t="str">
        <f t="shared" si="12"/>
        <v>Hazardous</v>
      </c>
      <c r="C53" s="1081" t="s">
        <v>97</v>
      </c>
      <c r="D53" s="910"/>
      <c r="E53" s="29">
        <f>Tas!$G124*'Other national data'!I459</f>
        <v>5385.7176902053698</v>
      </c>
      <c r="F53" s="29">
        <f>Tas!$G124*'Other national data'!J459</f>
        <v>6322.3642450236957</v>
      </c>
      <c r="G53" s="29">
        <f t="shared" si="13"/>
        <v>11708.081935229065</v>
      </c>
      <c r="H53" s="272">
        <f t="shared" si="10"/>
        <v>22.721168760414571</v>
      </c>
      <c r="I53" s="910"/>
      <c r="J53" s="29">
        <f>Tas!$H124*'Other national data'!I459</f>
        <v>-5.3857176902053693E-11</v>
      </c>
      <c r="K53" s="29">
        <f>Tas!$H124*'Other national data'!J459</f>
        <v>-6.3223642450236952E-11</v>
      </c>
      <c r="L53" s="29">
        <f t="shared" si="14"/>
        <v>-1.1708081935229065E-10</v>
      </c>
      <c r="M53" s="272">
        <f t="shared" si="11"/>
        <v>-2.2721168760414571E-13</v>
      </c>
      <c r="N53" s="910"/>
      <c r="O53" s="910"/>
      <c r="P53" s="911"/>
      <c r="Q53" s="927"/>
      <c r="R53" s="913"/>
      <c r="S53" s="913"/>
      <c r="T53" s="928"/>
      <c r="U53" s="926"/>
      <c r="V53" s="74"/>
    </row>
    <row r="54" spans="1:47" outlineLevel="1" x14ac:dyDescent="0.2">
      <c r="A54" s="459"/>
      <c r="B54" s="468" t="str">
        <f t="shared" si="12"/>
        <v>Hazardous</v>
      </c>
      <c r="C54" s="1081" t="s">
        <v>345</v>
      </c>
      <c r="D54" s="910"/>
      <c r="E54" s="29">
        <f>Tas!$G125*'Other national data'!I460</f>
        <v>555.90298057470523</v>
      </c>
      <c r="F54" s="29">
        <f>Tas!$G125*'Other national data'!J460</f>
        <v>0</v>
      </c>
      <c r="G54" s="29">
        <f t="shared" si="13"/>
        <v>555.90298057470523</v>
      </c>
      <c r="H54" s="272">
        <f t="shared" si="10"/>
        <v>1.0788074003863917</v>
      </c>
      <c r="I54" s="910"/>
      <c r="J54" s="29">
        <f>Tas!$H125*'Other national data'!I460</f>
        <v>51698.977193447587</v>
      </c>
      <c r="K54" s="29">
        <f>Tas!$H125*'Other national data'!J460</f>
        <v>0</v>
      </c>
      <c r="L54" s="29">
        <f t="shared" si="14"/>
        <v>51698.977193447587</v>
      </c>
      <c r="M54" s="272">
        <f t="shared" si="11"/>
        <v>100.32908823593441</v>
      </c>
      <c r="N54" s="910"/>
      <c r="O54" s="910"/>
      <c r="P54" s="911"/>
      <c r="Q54" s="927"/>
      <c r="R54" s="29">
        <f>Tas!$I125*'Other national data'!I460</f>
        <v>0</v>
      </c>
      <c r="S54" s="29">
        <f>Tas!$I125*'Other national data'!J460</f>
        <v>0</v>
      </c>
      <c r="T54" s="29">
        <f t="shared" ref="T54:T59" si="15">SUM(Q54:S54)</f>
        <v>0</v>
      </c>
      <c r="U54" s="272">
        <f t="shared" ref="U54:U59" si="16">T54/Pop_Tas*1000</f>
        <v>0</v>
      </c>
      <c r="V54" s="74"/>
    </row>
    <row r="55" spans="1:47" outlineLevel="1" x14ac:dyDescent="0.2">
      <c r="A55" s="459"/>
      <c r="B55" s="468" t="str">
        <f t="shared" si="12"/>
        <v>Hazardous</v>
      </c>
      <c r="C55" s="1080" t="s">
        <v>297</v>
      </c>
      <c r="D55" s="910"/>
      <c r="E55" s="29">
        <f>Tas!$G126*'Other national data'!I461</f>
        <v>16.574084767385813</v>
      </c>
      <c r="F55" s="29">
        <f>Tas!$G126*'Other national data'!J461</f>
        <v>0</v>
      </c>
      <c r="G55" s="29">
        <f t="shared" si="13"/>
        <v>16.574084767385813</v>
      </c>
      <c r="H55" s="272">
        <f t="shared" si="10"/>
        <v>3.21643270975129E-2</v>
      </c>
      <c r="I55" s="910"/>
      <c r="J55" s="29">
        <f>Tas!$H126*'Other national data'!I461</f>
        <v>4.9009152326139755</v>
      </c>
      <c r="K55" s="29">
        <f>Tas!$H126*'Other national data'!J461</f>
        <v>0</v>
      </c>
      <c r="L55" s="29">
        <f t="shared" si="14"/>
        <v>4.9009152326139755</v>
      </c>
      <c r="M55" s="272">
        <f t="shared" si="11"/>
        <v>9.5109107278834523E-3</v>
      </c>
      <c r="N55" s="910"/>
      <c r="O55" s="910"/>
      <c r="P55" s="911"/>
      <c r="Q55" s="927"/>
      <c r="R55" s="29">
        <f>Tas!$I126*'Other national data'!I461</f>
        <v>2.1475000000000002E-13</v>
      </c>
      <c r="S55" s="29">
        <f>Tas!$I126*'Other national data'!J461</f>
        <v>0</v>
      </c>
      <c r="T55" s="29">
        <f t="shared" si="15"/>
        <v>2.1475000000000002E-13</v>
      </c>
      <c r="U55" s="272">
        <f t="shared" si="16"/>
        <v>4.1675237825396765E-16</v>
      </c>
      <c r="V55" s="74"/>
    </row>
    <row r="56" spans="1:47" outlineLevel="1" x14ac:dyDescent="0.2">
      <c r="A56" s="459"/>
      <c r="B56" s="468" t="str">
        <f t="shared" si="12"/>
        <v>Hazardous</v>
      </c>
      <c r="C56" s="1274" t="s">
        <v>39</v>
      </c>
      <c r="D56" s="910"/>
      <c r="E56" s="29">
        <f>Tas!$G127*'Other national data'!I462</f>
        <v>3616.7953402563253</v>
      </c>
      <c r="F56" s="29">
        <f>Tas!$G127*'Other national data'!J462</f>
        <v>0</v>
      </c>
      <c r="G56" s="29">
        <f t="shared" ref="G56:G61" si="17">SUM(D56:F56)</f>
        <v>3616.7953402563253</v>
      </c>
      <c r="H56" s="272">
        <f>G56/Pop_Tas*1000</f>
        <v>7.0188966691953043</v>
      </c>
      <c r="I56" s="910"/>
      <c r="J56" s="29">
        <f>Tas!$H127*'Other national data'!I462</f>
        <v>6458.1868347259933</v>
      </c>
      <c r="K56" s="29">
        <f>Tas!$H127*'Other national data'!J462</f>
        <v>0</v>
      </c>
      <c r="L56" s="29">
        <f t="shared" ref="L56:L61" si="18">SUM(I56:K56)</f>
        <v>6458.1868347259933</v>
      </c>
      <c r="M56" s="272">
        <f>L56/Pop_Tas*1000</f>
        <v>12.53301384205132</v>
      </c>
      <c r="N56" s="910"/>
      <c r="O56" s="910"/>
      <c r="P56" s="911"/>
      <c r="Q56" s="927"/>
      <c r="R56" s="29">
        <f>Tas!$I127*'Other national data'!I462</f>
        <v>1.0074982174982419E-10</v>
      </c>
      <c r="S56" s="29">
        <f>Tas!$I127*'Other national data'!J462</f>
        <v>0</v>
      </c>
      <c r="T56" s="29">
        <f t="shared" si="15"/>
        <v>1.0074982174982419E-10</v>
      </c>
      <c r="U56" s="272">
        <f t="shared" si="16"/>
        <v>1.955191051124682E-13</v>
      </c>
      <c r="V56" s="74"/>
    </row>
    <row r="57" spans="1:47" outlineLevel="1" x14ac:dyDescent="0.2">
      <c r="A57" s="459"/>
      <c r="B57" s="468" t="str">
        <f t="shared" si="12"/>
        <v>Hazardous</v>
      </c>
      <c r="C57" s="1274" t="s">
        <v>904</v>
      </c>
      <c r="D57" s="910"/>
      <c r="E57" s="29">
        <f>Tas!$G128*'Other national data'!I463</f>
        <v>3.6167140360058081</v>
      </c>
      <c r="F57" s="29">
        <f>Tas!$G128*'Other national data'!J463</f>
        <v>0</v>
      </c>
      <c r="G57" s="29">
        <f t="shared" si="17"/>
        <v>3.6167140360058081</v>
      </c>
      <c r="H57" s="272">
        <f>G57/Pop_Tas*1000</f>
        <v>7.018738886937958E-3</v>
      </c>
      <c r="I57" s="910"/>
      <c r="J57" s="29">
        <f>Tas!$H128*'Other national data'!I463</f>
        <v>15.204385963993209</v>
      </c>
      <c r="K57" s="29">
        <f>Tas!$H128*'Other national data'!J463</f>
        <v>0</v>
      </c>
      <c r="L57" s="29">
        <f t="shared" si="18"/>
        <v>15.204385963993209</v>
      </c>
      <c r="M57" s="272">
        <f>L57/Pop_Tas*1000</f>
        <v>2.9506235205519971E-2</v>
      </c>
      <c r="N57" s="910"/>
      <c r="O57" s="910"/>
      <c r="P57" s="911"/>
      <c r="Q57" s="927"/>
      <c r="R57" s="29">
        <f>Tas!$I128*'Other national data'!I463</f>
        <v>1.8821099999999206E-13</v>
      </c>
      <c r="S57" s="29">
        <f>Tas!$I128*'Other national data'!J463</f>
        <v>0</v>
      </c>
      <c r="T57" s="29">
        <f t="shared" si="15"/>
        <v>1.8821099999999206E-13</v>
      </c>
      <c r="U57" s="272">
        <f t="shared" si="16"/>
        <v>3.6524974092458296E-16</v>
      </c>
      <c r="V57" s="74"/>
    </row>
    <row r="58" spans="1:47" outlineLevel="1" x14ac:dyDescent="0.2">
      <c r="A58" s="459"/>
      <c r="B58" s="468" t="str">
        <f t="shared" si="12"/>
        <v>Hazardous</v>
      </c>
      <c r="C58" s="649" t="s">
        <v>567</v>
      </c>
      <c r="D58" s="1074"/>
      <c r="E58" s="30">
        <f>SUMIF(Hazstate,"Solid",E$41:E$57)</f>
        <v>84359.89791893115</v>
      </c>
      <c r="F58" s="30">
        <f>SUMIF(Hazstate,"Solid",F$41:F$57)</f>
        <v>10313.733591843653</v>
      </c>
      <c r="G58" s="30">
        <f>SUM(D58:F58)</f>
        <v>94673.631510774809</v>
      </c>
      <c r="H58" s="285">
        <f t="shared" si="10"/>
        <v>183.72740903401711</v>
      </c>
      <c r="I58" s="1076"/>
      <c r="J58" s="30">
        <f>SUMIF(Hazstate,"Solid",J$41:J$57)</f>
        <v>247577.06442027615</v>
      </c>
      <c r="K58" s="30">
        <f>SUMIF(Hazstate,"Solid",K$41:K$57)</f>
        <v>61.73745317993864</v>
      </c>
      <c r="L58" s="30">
        <f t="shared" si="18"/>
        <v>247638.80187345608</v>
      </c>
      <c r="M58" s="285">
        <f t="shared" si="11"/>
        <v>480.57769326531275</v>
      </c>
      <c r="N58" s="930"/>
      <c r="O58" s="930"/>
      <c r="P58" s="931"/>
      <c r="Q58" s="927"/>
      <c r="R58" s="30">
        <f>SUMIF(Hazstate,"Solid",R$41:R$57)</f>
        <v>1.1691486474982418E-10</v>
      </c>
      <c r="S58" s="30">
        <f>SUMIF(Hazstate,"Solid",S$41:S$57)</f>
        <v>4.0531067999999997E-11</v>
      </c>
      <c r="T58" s="30">
        <f>SUM(Q58:S58)</f>
        <v>1.5744593274982419E-10</v>
      </c>
      <c r="U58" s="924">
        <f t="shared" si="16"/>
        <v>3.0554582966194869E-13</v>
      </c>
      <c r="V58" s="74"/>
    </row>
    <row r="59" spans="1:47" outlineLevel="1" x14ac:dyDescent="0.2">
      <c r="A59" s="459"/>
      <c r="B59" s="468" t="str">
        <f t="shared" si="12"/>
        <v>Hazardous</v>
      </c>
      <c r="C59" s="649" t="s">
        <v>459</v>
      </c>
      <c r="D59" s="1074"/>
      <c r="E59" s="30">
        <f>SUMIF(Hazstate,"Liquid",E$41:E$57)</f>
        <v>1115.4916561572718</v>
      </c>
      <c r="F59" s="30">
        <f>SUMIF(Hazstate,"Liquid",F$41:F$57)</f>
        <v>0</v>
      </c>
      <c r="G59" s="30">
        <f t="shared" si="17"/>
        <v>1115.4916561572718</v>
      </c>
      <c r="H59" s="285">
        <f t="shared" si="10"/>
        <v>2.1647674068731089</v>
      </c>
      <c r="I59" s="1076"/>
      <c r="J59" s="30">
        <f>SUMIF(Hazstate,"Liquid",J$41:J$57)</f>
        <v>18951.224341104808</v>
      </c>
      <c r="K59" s="30">
        <f>SUMIF(Hazstate,"Liquid",K$41:K$57)</f>
        <v>0</v>
      </c>
      <c r="L59" s="30">
        <f t="shared" si="18"/>
        <v>18951.224341104808</v>
      </c>
      <c r="M59" s="285">
        <f t="shared" si="11"/>
        <v>36.777498556367448</v>
      </c>
      <c r="N59" s="930"/>
      <c r="O59" s="930"/>
      <c r="P59" s="931"/>
      <c r="Q59" s="927"/>
      <c r="R59" s="30">
        <f>SUMIF(Hazstate,"Liquid",R$41:R$57)</f>
        <v>2.0030400997262283E-10</v>
      </c>
      <c r="S59" s="30">
        <f>SUMIF(Hazstate,"Liquid",S$41:S$57)</f>
        <v>0</v>
      </c>
      <c r="T59" s="30">
        <f t="shared" si="15"/>
        <v>2.0030400997262283E-10</v>
      </c>
      <c r="U59" s="924">
        <f t="shared" si="16"/>
        <v>3.8871791632082428E-13</v>
      </c>
      <c r="V59" s="74"/>
    </row>
    <row r="60" spans="1:47" s="76" customFormat="1" outlineLevel="1" x14ac:dyDescent="0.2">
      <c r="A60" s="459"/>
      <c r="B60" s="468" t="str">
        <f t="shared" si="12"/>
        <v>Hazardous</v>
      </c>
      <c r="C60" s="827" t="s">
        <v>2</v>
      </c>
      <c r="D60" s="932"/>
      <c r="E60" s="237">
        <f>'Other national data'!J148</f>
        <v>0</v>
      </c>
      <c r="F60" s="932"/>
      <c r="G60" s="237">
        <f t="shared" si="17"/>
        <v>0</v>
      </c>
      <c r="H60" s="275">
        <f t="shared" si="10"/>
        <v>0</v>
      </c>
      <c r="I60" s="913"/>
      <c r="J60" s="237">
        <f>'Other national data'!J149</f>
        <v>0</v>
      </c>
      <c r="K60" s="913"/>
      <c r="L60" s="237">
        <f t="shared" si="18"/>
        <v>0</v>
      </c>
      <c r="M60" s="273">
        <f t="shared" si="11"/>
        <v>0</v>
      </c>
      <c r="N60" s="932"/>
      <c r="O60" s="932"/>
      <c r="P60" s="933"/>
      <c r="Q60" s="927"/>
      <c r="R60" s="913"/>
      <c r="S60" s="913"/>
      <c r="T60" s="928"/>
      <c r="U60" s="929"/>
      <c r="Y60" s="74"/>
      <c r="Z60" s="74"/>
      <c r="AA60" s="74"/>
      <c r="AB60" s="74"/>
      <c r="AC60" s="74"/>
      <c r="AD60" s="74"/>
      <c r="AI60" s="74"/>
      <c r="AJ60" s="74"/>
      <c r="AK60" s="74"/>
      <c r="AL60" s="74"/>
      <c r="AM60" s="74"/>
      <c r="AN60" s="74"/>
      <c r="AO60" s="74"/>
      <c r="AP60" s="74"/>
      <c r="AQ60" s="74"/>
      <c r="AR60" s="74"/>
      <c r="AS60" s="74"/>
      <c r="AT60" s="74"/>
      <c r="AU60" s="74"/>
    </row>
    <row r="61" spans="1:47" s="247" customFormat="1" x14ac:dyDescent="0.2">
      <c r="A61" s="459"/>
      <c r="B61" s="498" t="str">
        <f>B59</f>
        <v>Hazardous</v>
      </c>
      <c r="C61" s="650" t="s">
        <v>115</v>
      </c>
      <c r="D61" s="1075"/>
      <c r="E61" s="966">
        <f>SUM(E58:E60)</f>
        <v>85475.389575088426</v>
      </c>
      <c r="F61" s="966">
        <f>SUM(F58:F60)</f>
        <v>10313.733591843653</v>
      </c>
      <c r="G61" s="966">
        <f t="shared" si="17"/>
        <v>95789.123166932084</v>
      </c>
      <c r="H61" s="967">
        <f t="shared" si="10"/>
        <v>185.89217644089021</v>
      </c>
      <c r="I61" s="1077"/>
      <c r="J61" s="966">
        <f>SUM(J58:J60)</f>
        <v>266528.28876138094</v>
      </c>
      <c r="K61" s="966">
        <f>SUM(K58:K60)</f>
        <v>61.73745317993864</v>
      </c>
      <c r="L61" s="966">
        <f t="shared" si="18"/>
        <v>266590.0262145609</v>
      </c>
      <c r="M61" s="968">
        <f t="shared" si="11"/>
        <v>517.35519182168025</v>
      </c>
      <c r="N61" s="934"/>
      <c r="O61" s="934"/>
      <c r="P61" s="935"/>
      <c r="Q61" s="927"/>
      <c r="R61" s="966">
        <f>SUM(R59,R58)</f>
        <v>3.1721887472244701E-10</v>
      </c>
      <c r="S61" s="966">
        <f>SUM(S59,S58)</f>
        <v>4.0531067999999997E-11</v>
      </c>
      <c r="T61" s="966">
        <f>SUM(Q61:S61)</f>
        <v>3.5774994272244699E-10</v>
      </c>
      <c r="U61" s="968">
        <f>T61/Pop_Tas*1000</f>
        <v>6.9426374598277298E-13</v>
      </c>
      <c r="V61" s="957" t="s">
        <v>847</v>
      </c>
      <c r="X61" s="957" t="str">
        <f>IF(ROUND(SUM(G58:G59,L58:L59,T58:T59),0)=ROUND(SUM(Tas!G112:I128),0),"OK","Error")</f>
        <v>OK</v>
      </c>
      <c r="Y61" s="74"/>
      <c r="AI61" s="249"/>
      <c r="AJ61" s="249"/>
      <c r="AK61" s="249"/>
      <c r="AL61" s="249"/>
      <c r="AM61" s="249"/>
      <c r="AN61" s="249"/>
      <c r="AO61" s="249"/>
      <c r="AP61" s="249"/>
      <c r="AQ61" s="249"/>
      <c r="AR61" s="249"/>
      <c r="AS61" s="249"/>
      <c r="AT61" s="249"/>
      <c r="AU61" s="249"/>
    </row>
    <row r="62" spans="1:47" ht="14.25" customHeight="1" x14ac:dyDescent="0.2">
      <c r="C62" s="951" t="s">
        <v>98</v>
      </c>
      <c r="D62" s="286"/>
      <c r="E62" s="286"/>
      <c r="F62" s="286"/>
      <c r="G62" s="286"/>
      <c r="H62" s="287"/>
      <c r="I62" s="29"/>
      <c r="J62" s="29"/>
      <c r="K62" s="29"/>
      <c r="L62" s="29"/>
      <c r="M62" s="291"/>
      <c r="N62" s="934"/>
      <c r="O62" s="934"/>
      <c r="P62" s="935"/>
      <c r="Q62" s="905"/>
      <c r="R62" s="27"/>
      <c r="S62" s="27"/>
      <c r="T62" s="27"/>
      <c r="U62" s="287"/>
      <c r="Y62" s="75"/>
    </row>
    <row r="63" spans="1:47" x14ac:dyDescent="0.2">
      <c r="C63" s="303" t="s">
        <v>1350</v>
      </c>
      <c r="D63" s="289">
        <f>SUM(D61,D40,D37,D36,D26,D21,D15,D11,D62)</f>
        <v>156985.67160345896</v>
      </c>
      <c r="E63" s="987">
        <f t="shared" ref="E63:G63" si="19">SUM(E61,E40,E37,E36,E26,E21,E15,E11,E62)</f>
        <v>269423.32436670712</v>
      </c>
      <c r="F63" s="289">
        <f t="shared" si="19"/>
        <v>43512.976399099789</v>
      </c>
      <c r="G63" s="987">
        <f t="shared" si="19"/>
        <v>469921.97236926574</v>
      </c>
      <c r="H63" s="2342">
        <f>G63/Pop_Tas*1000</f>
        <v>911.9492413442922</v>
      </c>
      <c r="I63" s="289">
        <f>SUM(I61,I40,I37,I36,I26,I21,I15,I11,I62)</f>
        <v>67467.252238513058</v>
      </c>
      <c r="J63" s="987">
        <f t="shared" ref="J63" si="20">SUM(J61,J40,J37,J36,J26,J21,J15,J11,J62)</f>
        <v>355937.03652286786</v>
      </c>
      <c r="K63" s="289">
        <f t="shared" ref="K63" si="21">SUM(K61,K40,K37,K36,K26,K21,K15,K11,K62)</f>
        <v>61.73745317993864</v>
      </c>
      <c r="L63" s="987">
        <f t="shared" ref="L63" si="22">SUM(L61,L40,L37,L36,L26,L21,L15,L11,L62)</f>
        <v>423466.0262145609</v>
      </c>
      <c r="M63" s="2342">
        <f>L63/Pop_Tas*1000</f>
        <v>821.79498735588015</v>
      </c>
      <c r="N63" s="288">
        <f>SUM(N40,N26,N21)</f>
        <v>27803.328396541077</v>
      </c>
      <c r="O63" s="289">
        <f>SUM(O40,O26,O21)</f>
        <v>25021.065208381355</v>
      </c>
      <c r="P63" s="298">
        <f>SUM(P40,P26,P21)</f>
        <v>400.75719274385921</v>
      </c>
      <c r="Q63" s="289">
        <f>SUM(Q61,Q40,Q37,Q36,Q26,Q21,Q15,Q11,Q62)</f>
        <v>27803.328396541077</v>
      </c>
      <c r="R63" s="289">
        <f t="shared" ref="R63" si="23">SUM(R61,R40,R37,R36,R26,R21,R15,R11,R62)</f>
        <v>25021.065208381671</v>
      </c>
      <c r="S63" s="289">
        <f t="shared" ref="S63" si="24">SUM(S61,S40,S37,S36,S26,S21,S15,S11,S62)</f>
        <v>400.75719274389974</v>
      </c>
      <c r="T63" s="987">
        <f t="shared" ref="T63" si="25">SUM(T61,T40,T37,T36,T26,T21,T15,T11,T62)</f>
        <v>53225.150797666647</v>
      </c>
      <c r="U63" s="959">
        <f>T63/Pop_Tas*1000</f>
        <v>103.29084134041275</v>
      </c>
      <c r="V63" s="74"/>
      <c r="Y63" s="75"/>
    </row>
    <row r="64" spans="1:47" x14ac:dyDescent="0.2">
      <c r="C64" s="2414" t="s">
        <v>1314</v>
      </c>
      <c r="E64" s="2413">
        <f>E63-E60</f>
        <v>269423.32436670712</v>
      </c>
      <c r="G64" s="272">
        <f>G63-G60</f>
        <v>469921.97236926574</v>
      </c>
      <c r="H64" s="283">
        <f>G64/Pop_Tas*1000</f>
        <v>911.9492413442922</v>
      </c>
      <c r="J64" s="2413">
        <f>J63-J60</f>
        <v>355937.03652286786</v>
      </c>
      <c r="L64" s="272">
        <f>L63-L60</f>
        <v>423466.0262145609</v>
      </c>
      <c r="M64" s="272">
        <f>L64/Pop_Tas*1000</f>
        <v>821.79498735588015</v>
      </c>
      <c r="T64" s="272">
        <f>T63-T60</f>
        <v>53225.150797666647</v>
      </c>
      <c r="U64" s="283">
        <f>U63+U49</f>
        <v>103.29084134041275</v>
      </c>
      <c r="V64" s="74"/>
    </row>
    <row r="65" spans="1:44" x14ac:dyDescent="0.2">
      <c r="C65" s="304" t="s">
        <v>1351</v>
      </c>
      <c r="E65" s="955" t="s">
        <v>397</v>
      </c>
      <c r="F65" s="956" t="str">
        <f>IF(ROUND(SUM(D63:F63),0)=ROUND(G63,0),"Ok","Error")</f>
        <v>Ok</v>
      </c>
      <c r="G65" s="2415">
        <f>G64-SUM(G58:G59)</f>
        <v>374132.84920233366</v>
      </c>
      <c r="H65" s="292">
        <f>G65/Pop_Tas*1000</f>
        <v>726.05706490340208</v>
      </c>
      <c r="J65" s="955" t="s">
        <v>397</v>
      </c>
      <c r="K65" s="956" t="str">
        <f>IF(ROUND(SUM(I63:K63),0)=ROUND(L63,0),"Ok","Error")</f>
        <v>Ok</v>
      </c>
      <c r="L65" s="2415">
        <f>L64-SUM(L58:L59)</f>
        <v>156876</v>
      </c>
      <c r="M65" s="291">
        <f>L65/Pop_Tas*1000</f>
        <v>304.4397955341999</v>
      </c>
      <c r="R65" s="955" t="s">
        <v>397</v>
      </c>
      <c r="S65" s="956" t="str">
        <f>IF(ROUND(SUM(Q63:S63),0)=ROUND(T63,0),"Ok","Error")</f>
        <v>Ok</v>
      </c>
      <c r="T65" s="2415">
        <f>T64-SUM(T58:T59)</f>
        <v>53225.150797666291</v>
      </c>
      <c r="U65" s="292">
        <f>T65/Pop_Tas*1000</f>
        <v>103.29084134041206</v>
      </c>
    </row>
    <row r="66" spans="1:44" x14ac:dyDescent="0.2">
      <c r="C66" s="138"/>
      <c r="F66" s="250"/>
      <c r="G66" s="251"/>
    </row>
    <row r="67" spans="1:44" ht="15" customHeight="1" x14ac:dyDescent="0.2">
      <c r="C67" s="2444" t="s">
        <v>410</v>
      </c>
      <c r="D67" s="2440" t="s">
        <v>16</v>
      </c>
      <c r="E67" s="2441" t="s">
        <v>1353</v>
      </c>
      <c r="F67" s="2441" t="s">
        <v>1354</v>
      </c>
      <c r="G67" s="2441" t="s">
        <v>18</v>
      </c>
      <c r="H67" s="2547" t="s">
        <v>88</v>
      </c>
      <c r="I67" s="2442" t="s">
        <v>1368</v>
      </c>
      <c r="J67" s="2443" t="s">
        <v>1374</v>
      </c>
      <c r="K67" s="2788" t="s">
        <v>1423</v>
      </c>
      <c r="L67" s="2775"/>
      <c r="M67" s="2776"/>
    </row>
    <row r="68" spans="1:44" ht="15" customHeight="1" x14ac:dyDescent="0.2">
      <c r="C68" s="936"/>
      <c r="D68" s="930"/>
      <c r="E68" s="2280" t="s">
        <v>455</v>
      </c>
      <c r="F68" s="2280" t="s">
        <v>454</v>
      </c>
      <c r="G68" s="2280"/>
      <c r="H68" s="2279" t="s">
        <v>88</v>
      </c>
      <c r="I68" s="2280" t="s">
        <v>454</v>
      </c>
      <c r="J68" s="2341" t="s">
        <v>1349</v>
      </c>
      <c r="K68" s="943" t="s">
        <v>88</v>
      </c>
      <c r="L68" s="2280"/>
      <c r="M68" s="2341" t="s">
        <v>1349</v>
      </c>
    </row>
    <row r="69" spans="1:44" x14ac:dyDescent="0.2">
      <c r="C69" s="937"/>
      <c r="D69" s="944" t="s">
        <v>16</v>
      </c>
      <c r="E69" s="945" t="s">
        <v>17</v>
      </c>
      <c r="F69" s="945" t="s">
        <v>17</v>
      </c>
      <c r="G69" s="945" t="s">
        <v>18</v>
      </c>
      <c r="H69" s="944" t="s">
        <v>112</v>
      </c>
      <c r="I69" s="945" t="s">
        <v>112</v>
      </c>
      <c r="J69" s="946" t="s">
        <v>112</v>
      </c>
      <c r="K69" s="944" t="s">
        <v>112</v>
      </c>
      <c r="L69" s="945" t="s">
        <v>112</v>
      </c>
      <c r="M69" s="946" t="s">
        <v>112</v>
      </c>
    </row>
    <row r="70" spans="1:44" s="76" customFormat="1" x14ac:dyDescent="0.2">
      <c r="A70" s="74"/>
      <c r="B70" s="74"/>
      <c r="C70" s="252" t="s">
        <v>113</v>
      </c>
      <c r="D70" s="253">
        <f>D63/1000</f>
        <v>156.98567160345897</v>
      </c>
      <c r="E70" s="253">
        <f>E63/1000</f>
        <v>269.42332436670711</v>
      </c>
      <c r="F70" s="253">
        <f>E64/1000</f>
        <v>269.42332436670711</v>
      </c>
      <c r="G70" s="253">
        <f>F63/1000</f>
        <v>43.512976399099792</v>
      </c>
      <c r="H70" s="255">
        <f>G63/1000</f>
        <v>469.92197236926575</v>
      </c>
      <c r="I70" s="253">
        <f>G64/1000</f>
        <v>469.92197236926575</v>
      </c>
      <c r="J70" s="254">
        <f>G65/1000</f>
        <v>374.13284920233366</v>
      </c>
      <c r="K70" s="255">
        <f>H63</f>
        <v>911.9492413442922</v>
      </c>
      <c r="L70" s="253">
        <f>H64</f>
        <v>911.9492413442922</v>
      </c>
      <c r="M70" s="254">
        <f>H65</f>
        <v>726.05706490340208</v>
      </c>
      <c r="N70" s="2149"/>
      <c r="O70" s="2149">
        <f t="shared" ref="O70:Q72" si="26">H70/1000</f>
        <v>0.46992197236926575</v>
      </c>
      <c r="P70" s="2149">
        <f t="shared" si="26"/>
        <v>0.46992197236926575</v>
      </c>
      <c r="Q70" s="2149">
        <f t="shared" si="26"/>
        <v>0.37413284920233364</v>
      </c>
      <c r="R70" s="74"/>
      <c r="S70" s="74"/>
      <c r="T70" s="74"/>
      <c r="U70" s="74"/>
      <c r="V70" s="75"/>
      <c r="W70" s="74"/>
      <c r="X70" s="74"/>
      <c r="Y70" s="74"/>
      <c r="Z70" s="74"/>
      <c r="AA70" s="74"/>
      <c r="AB70" s="74"/>
      <c r="AC70" s="74"/>
      <c r="AD70" s="74"/>
      <c r="AE70" s="74"/>
      <c r="AF70" s="74"/>
      <c r="AG70" s="74"/>
      <c r="AH70" s="74"/>
      <c r="AI70" s="74"/>
      <c r="AJ70" s="74"/>
      <c r="AK70" s="74"/>
      <c r="AL70" s="74"/>
      <c r="AM70" s="74"/>
      <c r="AN70" s="74"/>
      <c r="AO70" s="74"/>
      <c r="AP70" s="74"/>
      <c r="AQ70" s="74"/>
      <c r="AR70" s="74"/>
    </row>
    <row r="71" spans="1:44" x14ac:dyDescent="0.2">
      <c r="C71" s="256" t="s">
        <v>114</v>
      </c>
      <c r="D71" s="253">
        <f>I63/1000</f>
        <v>67.467252238513055</v>
      </c>
      <c r="E71" s="253">
        <f>J63/1000</f>
        <v>355.93703652286786</v>
      </c>
      <c r="F71" s="253">
        <f>J64/1000</f>
        <v>355.93703652286786</v>
      </c>
      <c r="G71" s="253">
        <f>K63/1000</f>
        <v>6.1737453179938638E-2</v>
      </c>
      <c r="H71" s="255">
        <f>L63/1000</f>
        <v>423.46602621456088</v>
      </c>
      <c r="I71" s="253">
        <f>L64/1000</f>
        <v>423.46602621456088</v>
      </c>
      <c r="J71" s="254">
        <f>L65/1000</f>
        <v>156.876</v>
      </c>
      <c r="K71" s="255">
        <f>M63</f>
        <v>821.79498735588015</v>
      </c>
      <c r="L71" s="253">
        <f>M64</f>
        <v>821.79498735588015</v>
      </c>
      <c r="M71" s="254">
        <f>M65</f>
        <v>304.4397955341999</v>
      </c>
      <c r="N71" s="2149"/>
      <c r="O71" s="2149">
        <f t="shared" si="26"/>
        <v>0.42346602621456086</v>
      </c>
      <c r="P71" s="2149">
        <f t="shared" si="26"/>
        <v>0.42346602621456086</v>
      </c>
      <c r="Q71" s="2149">
        <f t="shared" si="26"/>
        <v>0.15687600000000002</v>
      </c>
    </row>
    <row r="72" spans="1:44" x14ac:dyDescent="0.2">
      <c r="C72" s="256" t="s">
        <v>38</v>
      </c>
      <c r="D72" s="253">
        <f>Q63/1000</f>
        <v>27.803328396541076</v>
      </c>
      <c r="E72" s="253">
        <f>R63/1000</f>
        <v>25.021065208381671</v>
      </c>
      <c r="F72" s="253">
        <f>E72</f>
        <v>25.021065208381671</v>
      </c>
      <c r="G72" s="253">
        <f>S63/1000</f>
        <v>0.40075719274389976</v>
      </c>
      <c r="H72" s="255">
        <f>T63/1000</f>
        <v>53.22515079766665</v>
      </c>
      <c r="I72" s="253">
        <f>T64/1000</f>
        <v>53.22515079766665</v>
      </c>
      <c r="J72" s="254">
        <f>T65/1000</f>
        <v>53.225150797666288</v>
      </c>
      <c r="K72" s="255">
        <f>U63</f>
        <v>103.29084134041275</v>
      </c>
      <c r="L72" s="253">
        <f>U64</f>
        <v>103.29084134041275</v>
      </c>
      <c r="M72" s="254">
        <f>U65</f>
        <v>103.29084134041206</v>
      </c>
      <c r="N72" s="2149"/>
      <c r="O72" s="2149">
        <f t="shared" si="26"/>
        <v>5.3225150797666647E-2</v>
      </c>
      <c r="P72" s="2149">
        <f t="shared" si="26"/>
        <v>5.3225150797666647E-2</v>
      </c>
      <c r="Q72" s="2149">
        <f t="shared" si="26"/>
        <v>5.3225150797666286E-2</v>
      </c>
    </row>
    <row r="73" spans="1:44" x14ac:dyDescent="0.2">
      <c r="C73" s="252" t="s">
        <v>116</v>
      </c>
      <c r="D73" s="257">
        <f t="shared" ref="D73:J73" si="27">SUM(D71:D72)/D74</f>
        <v>0.37767381299621455</v>
      </c>
      <c r="E73" s="257">
        <f t="shared" si="27"/>
        <v>0.58574566622674717</v>
      </c>
      <c r="F73" s="257">
        <f t="shared" si="27"/>
        <v>0.58574566622674717</v>
      </c>
      <c r="G73" s="257">
        <f t="shared" si="27"/>
        <v>1.0517104989059016E-2</v>
      </c>
      <c r="H73" s="259">
        <f t="shared" si="27"/>
        <v>0.50357548627302751</v>
      </c>
      <c r="I73" s="257">
        <f t="shared" si="27"/>
        <v>0.50357548627302751</v>
      </c>
      <c r="J73" s="258">
        <f t="shared" si="27"/>
        <v>0.35961815094237293</v>
      </c>
      <c r="K73" s="259">
        <f>SUM(K71:K72)/K74</f>
        <v>0.50357548627302762</v>
      </c>
      <c r="L73" s="257">
        <f>SUM(L71:L72)/L74</f>
        <v>0.50357548627302762</v>
      </c>
      <c r="M73" s="258">
        <f>SUM(M71:M72)/M74</f>
        <v>0.35961815094237293</v>
      </c>
      <c r="N73" s="2150"/>
      <c r="O73" s="2150">
        <f>H73*1000</f>
        <v>503.57548627302748</v>
      </c>
      <c r="P73" s="2150">
        <f>I73*1000</f>
        <v>503.57548627302748</v>
      </c>
      <c r="Q73" s="2150">
        <f>J73*1000</f>
        <v>359.61815094237295</v>
      </c>
    </row>
    <row r="74" spans="1:44" x14ac:dyDescent="0.2">
      <c r="C74" s="260" t="s">
        <v>117</v>
      </c>
      <c r="D74" s="261">
        <f t="shared" ref="D74:J74" si="28">SUM(D70:D72)</f>
        <v>252.2562522385131</v>
      </c>
      <c r="E74" s="261">
        <f t="shared" si="28"/>
        <v>650.38142609795659</v>
      </c>
      <c r="F74" s="261">
        <f t="shared" si="28"/>
        <v>650.38142609795659</v>
      </c>
      <c r="G74" s="261">
        <f t="shared" si="28"/>
        <v>43.975471045023632</v>
      </c>
      <c r="H74" s="263">
        <f t="shared" si="28"/>
        <v>946.61314938149326</v>
      </c>
      <c r="I74" s="2412">
        <f t="shared" si="28"/>
        <v>946.61314938149326</v>
      </c>
      <c r="J74" s="262">
        <f t="shared" si="28"/>
        <v>584.23399999999992</v>
      </c>
      <c r="K74" s="263">
        <f>SUM(K70:K72)</f>
        <v>1837.035070040585</v>
      </c>
      <c r="L74" s="2412">
        <f>SUM(L70:L72)</f>
        <v>1837.035070040585</v>
      </c>
      <c r="M74" s="262">
        <f>SUM(M70:M72)</f>
        <v>1133.787701778014</v>
      </c>
      <c r="N74" s="2149"/>
      <c r="O74" s="2149">
        <f>H74/1000</f>
        <v>0.94661314938149321</v>
      </c>
      <c r="P74" s="2149">
        <f>I74/1000</f>
        <v>0.94661314938149321</v>
      </c>
      <c r="Q74" s="2149">
        <f>J74/1000</f>
        <v>0.58423399999999992</v>
      </c>
    </row>
    <row r="75" spans="1:44" s="76" customFormat="1" x14ac:dyDescent="0.2">
      <c r="A75" s="74"/>
      <c r="B75" s="74"/>
      <c r="C75" s="2076" t="s">
        <v>1308</v>
      </c>
      <c r="D75" s="2439">
        <f>D74/Pop_Tas*1000000</f>
        <v>489.53850081412378</v>
      </c>
      <c r="E75" s="2439">
        <f>E74/Pop_Tas*1000000</f>
        <v>1262.156023741702</v>
      </c>
      <c r="F75" s="2439">
        <f>F74/Pop_Tas*1000000</f>
        <v>1262.156023741702</v>
      </c>
      <c r="G75" s="2439">
        <f>G74/Pop_Tas*1000000</f>
        <v>85.340545484759446</v>
      </c>
      <c r="H75" s="74"/>
      <c r="I75" s="74"/>
      <c r="J75" s="74"/>
      <c r="K75" s="74"/>
      <c r="L75" s="74"/>
      <c r="M75" s="74"/>
      <c r="N75" s="2076" t="s">
        <v>1146</v>
      </c>
      <c r="O75" s="2076" t="s">
        <v>1147</v>
      </c>
      <c r="P75" s="2076" t="s">
        <v>1148</v>
      </c>
      <c r="Q75" s="2076" t="s">
        <v>1149</v>
      </c>
      <c r="R75" s="2076" t="s">
        <v>1312</v>
      </c>
      <c r="S75" s="74"/>
      <c r="T75" s="74"/>
      <c r="U75" s="74"/>
      <c r="V75" s="75"/>
      <c r="W75" s="74"/>
      <c r="X75" s="74"/>
      <c r="Y75" s="74"/>
      <c r="Z75" s="74"/>
      <c r="AA75" s="74"/>
      <c r="AB75" s="74"/>
      <c r="AC75" s="74"/>
      <c r="AD75" s="74"/>
      <c r="AE75" s="74"/>
      <c r="AF75" s="74"/>
      <c r="AG75" s="74"/>
      <c r="AH75" s="74"/>
      <c r="AI75" s="74"/>
      <c r="AJ75" s="74"/>
      <c r="AK75" s="74"/>
      <c r="AL75" s="74"/>
      <c r="AM75" s="74"/>
      <c r="AN75" s="74"/>
      <c r="AO75" s="74"/>
      <c r="AP75" s="74"/>
      <c r="AQ75" s="74"/>
      <c r="AR75" s="74"/>
    </row>
    <row r="76" spans="1:44" x14ac:dyDescent="0.2">
      <c r="C76" s="76"/>
      <c r="D76" s="76"/>
      <c r="E76" s="76"/>
      <c r="F76" s="76"/>
      <c r="G76" s="76"/>
      <c r="H76" s="76"/>
      <c r="I76" s="76"/>
      <c r="J76" s="76"/>
      <c r="N76" s="2076" t="s">
        <v>1080</v>
      </c>
      <c r="O76" s="2076" t="s">
        <v>1309</v>
      </c>
      <c r="P76" s="2076" t="s">
        <v>1080</v>
      </c>
      <c r="Q76" s="2076" t="s">
        <v>1309</v>
      </c>
    </row>
    <row r="77" spans="1:44" x14ac:dyDescent="0.2">
      <c r="C77" s="941"/>
      <c r="D77" s="2775" t="s">
        <v>410</v>
      </c>
      <c r="E77" s="2775"/>
      <c r="F77" s="2775"/>
      <c r="G77" s="2776"/>
      <c r="H77" s="942"/>
      <c r="I77" s="2788" t="s">
        <v>1311</v>
      </c>
      <c r="J77" s="2775"/>
      <c r="K77" s="2775"/>
      <c r="L77" s="2776"/>
    </row>
    <row r="78" spans="1:44" ht="25.5" x14ac:dyDescent="0.2">
      <c r="C78" s="940"/>
      <c r="D78" s="947" t="s">
        <v>113</v>
      </c>
      <c r="E78" s="947" t="s">
        <v>114</v>
      </c>
      <c r="F78" s="947" t="s">
        <v>38</v>
      </c>
      <c r="G78" s="948" t="s">
        <v>117</v>
      </c>
      <c r="H78" s="949" t="s">
        <v>116</v>
      </c>
      <c r="I78" s="2148" t="s">
        <v>113</v>
      </c>
      <c r="J78" s="947" t="s">
        <v>114</v>
      </c>
      <c r="K78" s="947" t="s">
        <v>38</v>
      </c>
      <c r="L78" s="948" t="s">
        <v>117</v>
      </c>
    </row>
    <row r="79" spans="1:44" s="77" customFormat="1" x14ac:dyDescent="0.2">
      <c r="A79" s="74"/>
      <c r="B79" s="2130" t="s">
        <v>1121</v>
      </c>
      <c r="C79" s="264" t="s">
        <v>25</v>
      </c>
      <c r="D79" s="253">
        <f>G11/1000</f>
        <v>62.763412536304749</v>
      </c>
      <c r="E79" s="253">
        <f>L11/1000</f>
        <v>3.477840656687591</v>
      </c>
      <c r="F79" s="253">
        <f>T11/1000</f>
        <v>0</v>
      </c>
      <c r="G79" s="254">
        <f t="shared" ref="G79:G87" si="29">SUM(D79:F79)</f>
        <v>66.241253192992346</v>
      </c>
      <c r="H79" s="938">
        <f t="shared" ref="H79:H87" si="30">SUM(E79:F79)/G79</f>
        <v>5.2502639805967789E-2</v>
      </c>
      <c r="I79" s="255">
        <f>H11</f>
        <v>121.80117085839296</v>
      </c>
      <c r="J79" s="253">
        <f>M11</f>
        <v>6.7492356920274466</v>
      </c>
      <c r="K79" s="253">
        <f>U11</f>
        <v>0</v>
      </c>
      <c r="L79" s="254">
        <f>SUM(I79:K79)</f>
        <v>128.5504065504204</v>
      </c>
      <c r="M79" s="74"/>
      <c r="N79" s="74"/>
      <c r="O79" s="74"/>
      <c r="P79" s="74"/>
      <c r="Q79" s="74"/>
      <c r="R79" s="74"/>
      <c r="S79" s="74"/>
      <c r="T79" s="74"/>
      <c r="U79" s="74"/>
      <c r="V79" s="75"/>
      <c r="W79" s="74"/>
      <c r="X79" s="74"/>
      <c r="Y79" s="74"/>
      <c r="Z79" s="74"/>
      <c r="AA79" s="74"/>
      <c r="AB79" s="74"/>
      <c r="AC79" s="74"/>
      <c r="AD79" s="74"/>
      <c r="AE79" s="74"/>
      <c r="AF79" s="74"/>
      <c r="AG79" s="74"/>
      <c r="AH79" s="74"/>
      <c r="AI79" s="74"/>
      <c r="AJ79" s="74"/>
      <c r="AK79" s="74"/>
      <c r="AL79" s="74"/>
      <c r="AM79" s="74"/>
      <c r="AN79" s="74"/>
      <c r="AO79" s="74"/>
      <c r="AP79" s="74"/>
      <c r="AQ79" s="74"/>
      <c r="AR79" s="74"/>
    </row>
    <row r="80" spans="1:44" x14ac:dyDescent="0.2">
      <c r="B80" s="2130" t="s">
        <v>28</v>
      </c>
      <c r="C80" s="264" t="s">
        <v>28</v>
      </c>
      <c r="D80" s="253">
        <f>G15/1000</f>
        <v>14.24555896810954</v>
      </c>
      <c r="E80" s="253">
        <f>L15/1000</f>
        <v>15.047258329309514</v>
      </c>
      <c r="F80" s="253">
        <f>T15/1000</f>
        <v>0</v>
      </c>
      <c r="G80" s="254">
        <f t="shared" si="29"/>
        <v>29.292817297419056</v>
      </c>
      <c r="H80" s="938">
        <f t="shared" si="30"/>
        <v>0.51368423107036909</v>
      </c>
      <c r="I80" s="255">
        <f>H15</f>
        <v>27.645497459915195</v>
      </c>
      <c r="J80" s="253">
        <f>M15</f>
        <v>29.201307077725559</v>
      </c>
      <c r="K80" s="253">
        <f>U15</f>
        <v>0</v>
      </c>
      <c r="L80" s="254">
        <f t="shared" ref="L80:L87" si="31">SUM(I80:K80)</f>
        <v>56.84680453764075</v>
      </c>
    </row>
    <row r="81" spans="1:50" x14ac:dyDescent="0.2">
      <c r="B81" s="2130" t="s">
        <v>22</v>
      </c>
      <c r="C81" s="264" t="s">
        <v>22</v>
      </c>
      <c r="D81" s="253">
        <f>G21/1000</f>
        <v>151.72502823844846</v>
      </c>
      <c r="E81" s="253">
        <f>L21/1000</f>
        <v>43.930999999999997</v>
      </c>
      <c r="F81" s="253">
        <f>T21/1000</f>
        <v>35.986238995054045</v>
      </c>
      <c r="G81" s="254">
        <f t="shared" si="29"/>
        <v>231.64226723350251</v>
      </c>
      <c r="H81" s="938">
        <f t="shared" si="30"/>
        <v>0.34500283540436522</v>
      </c>
      <c r="I81" s="255">
        <f>H21</f>
        <v>294.44361517589664</v>
      </c>
      <c r="J81" s="253">
        <f>M21</f>
        <v>85.254243208731324</v>
      </c>
      <c r="K81" s="253">
        <f>U21</f>
        <v>69.836324496411848</v>
      </c>
      <c r="L81" s="254">
        <f t="shared" si="31"/>
        <v>449.53418288103984</v>
      </c>
    </row>
    <row r="82" spans="1:50" x14ac:dyDescent="0.2">
      <c r="B82" s="2130" t="s">
        <v>1120</v>
      </c>
      <c r="C82" s="264" t="s">
        <v>20</v>
      </c>
      <c r="D82" s="253">
        <f>G26/1000</f>
        <v>43.985245263552095</v>
      </c>
      <c r="E82" s="253">
        <f>L26/1000</f>
        <v>69.226529695799144</v>
      </c>
      <c r="F82" s="253">
        <f>T26/1000</f>
        <v>13.928771436955522</v>
      </c>
      <c r="G82" s="254">
        <f t="shared" si="29"/>
        <v>127.14054639630675</v>
      </c>
      <c r="H82" s="938">
        <f t="shared" si="30"/>
        <v>0.65404234518194737</v>
      </c>
      <c r="I82" s="255">
        <f>H26</f>
        <v>85.359513721394194</v>
      </c>
      <c r="J82" s="253">
        <f>M26</f>
        <v>134.34375268448522</v>
      </c>
      <c r="K82" s="253">
        <f>U26</f>
        <v>27.030726996540853</v>
      </c>
      <c r="L82" s="254">
        <f t="shared" si="31"/>
        <v>246.73399340242028</v>
      </c>
    </row>
    <row r="83" spans="1:50" x14ac:dyDescent="0.2">
      <c r="B83" s="2130" t="s">
        <v>32</v>
      </c>
      <c r="C83" s="264" t="s">
        <v>32</v>
      </c>
      <c r="D83" s="253">
        <f>G36/1000</f>
        <v>69.123540144558746</v>
      </c>
      <c r="E83" s="253">
        <f>L36/1000</f>
        <v>4.859</v>
      </c>
      <c r="F83" s="253">
        <f>T36/1000</f>
        <v>0</v>
      </c>
      <c r="G83" s="254">
        <f t="shared" si="29"/>
        <v>73.98254014455874</v>
      </c>
      <c r="H83" s="938">
        <f t="shared" si="30"/>
        <v>6.5677658411102416E-2</v>
      </c>
      <c r="I83" s="255">
        <f>H36</f>
        <v>134.14388707137817</v>
      </c>
      <c r="J83" s="253">
        <f>M36</f>
        <v>9.4295683629151519</v>
      </c>
      <c r="K83" s="253">
        <f>U36</f>
        <v>0</v>
      </c>
      <c r="L83" s="254">
        <f t="shared" si="31"/>
        <v>143.57345543429332</v>
      </c>
      <c r="AE83" s="79"/>
      <c r="AF83" s="79"/>
      <c r="AG83" s="79"/>
      <c r="AH83" s="79"/>
      <c r="AI83" s="79"/>
      <c r="AJ83" s="79"/>
    </row>
    <row r="84" spans="1:50" s="77" customFormat="1" x14ac:dyDescent="0.2">
      <c r="A84" s="74"/>
      <c r="B84" s="2130" t="s">
        <v>30</v>
      </c>
      <c r="C84" s="264" t="s">
        <v>30</v>
      </c>
      <c r="D84" s="253">
        <f>G37/1000</f>
        <v>15.06913423935185</v>
      </c>
      <c r="E84" s="253">
        <f>L37/1000</f>
        <v>19.713328343795268</v>
      </c>
      <c r="F84" s="253">
        <f>T37/1000</f>
        <v>0</v>
      </c>
      <c r="G84" s="254">
        <f t="shared" si="29"/>
        <v>34.782462583147122</v>
      </c>
      <c r="H84" s="938">
        <f t="shared" si="30"/>
        <v>0.56676057069480801</v>
      </c>
      <c r="I84" s="255">
        <f>H37</f>
        <v>29.243760337500245</v>
      </c>
      <c r="J84" s="253">
        <f>M37</f>
        <v>38.256467849024567</v>
      </c>
      <c r="K84" s="253">
        <f>U37</f>
        <v>0</v>
      </c>
      <c r="L84" s="254">
        <f t="shared" si="31"/>
        <v>67.500228186524808</v>
      </c>
      <c r="M84" s="74"/>
      <c r="N84" s="74"/>
      <c r="O84" s="74"/>
      <c r="P84" s="74"/>
      <c r="Q84" s="74"/>
      <c r="R84" s="74"/>
      <c r="S84" s="74"/>
      <c r="AB84" s="74"/>
      <c r="AC84" s="74"/>
      <c r="AD84" s="74"/>
      <c r="AE84" s="80"/>
      <c r="AF84" s="80"/>
      <c r="AG84" s="80"/>
      <c r="AH84" s="81"/>
      <c r="AI84" s="81"/>
      <c r="AJ84" s="82"/>
      <c r="AK84" s="74"/>
      <c r="AL84" s="74"/>
      <c r="AM84" s="74"/>
      <c r="AN84" s="74"/>
      <c r="AO84" s="74"/>
      <c r="AP84" s="74"/>
      <c r="AQ84" s="74"/>
      <c r="AR84" s="74"/>
      <c r="AS84" s="74"/>
      <c r="AT84" s="74"/>
      <c r="AU84" s="74"/>
      <c r="AV84" s="74"/>
      <c r="AW84" s="74"/>
      <c r="AX84" s="74"/>
    </row>
    <row r="85" spans="1:50" s="76" customFormat="1" x14ac:dyDescent="0.2">
      <c r="A85" s="74"/>
      <c r="B85" s="2130" t="s">
        <v>27</v>
      </c>
      <c r="C85" s="264" t="s">
        <v>27</v>
      </c>
      <c r="D85" s="253">
        <f>G40/1000</f>
        <v>17.220929812008254</v>
      </c>
      <c r="E85" s="253">
        <f>L40/1000</f>
        <v>0.62104297440849832</v>
      </c>
      <c r="F85" s="253">
        <f>T40/1000</f>
        <v>3.3101403656567236</v>
      </c>
      <c r="G85" s="254">
        <f t="shared" si="29"/>
        <v>21.152113152073479</v>
      </c>
      <c r="H85" s="938">
        <f t="shared" si="30"/>
        <v>0.18585298366181724</v>
      </c>
      <c r="I85" s="255">
        <f>H40</f>
        <v>33.419620278924754</v>
      </c>
      <c r="J85" s="253">
        <f>M40</f>
        <v>1.2052206592906154</v>
      </c>
      <c r="K85" s="253">
        <f>U40</f>
        <v>6.4237898474593607</v>
      </c>
      <c r="L85" s="254">
        <f t="shared" si="31"/>
        <v>41.048630785674732</v>
      </c>
      <c r="M85" s="74"/>
      <c r="N85" s="74"/>
      <c r="O85" s="74"/>
      <c r="P85" s="74"/>
      <c r="Q85" s="74"/>
      <c r="R85" s="74"/>
      <c r="S85" s="74"/>
      <c r="AB85" s="74"/>
      <c r="AC85" s="74"/>
      <c r="AD85" s="74"/>
      <c r="AE85" s="80"/>
      <c r="AF85" s="80"/>
      <c r="AG85" s="80"/>
      <c r="AH85" s="81"/>
      <c r="AI85" s="81"/>
      <c r="AJ85" s="82"/>
      <c r="AK85" s="74"/>
      <c r="AL85" s="74"/>
      <c r="AM85" s="74"/>
      <c r="AN85" s="74"/>
      <c r="AO85" s="74"/>
      <c r="AP85" s="74"/>
      <c r="AQ85" s="74"/>
      <c r="AR85" s="74"/>
      <c r="AS85" s="74"/>
      <c r="AT85" s="74"/>
      <c r="AU85" s="74"/>
      <c r="AV85" s="74"/>
      <c r="AW85" s="74"/>
      <c r="AX85" s="74"/>
    </row>
    <row r="86" spans="1:50" s="76" customFormat="1" x14ac:dyDescent="0.2">
      <c r="A86" s="74"/>
      <c r="B86" s="2130" t="s">
        <v>1370</v>
      </c>
      <c r="C86" s="264" t="s">
        <v>35</v>
      </c>
      <c r="D86" s="253">
        <f>SUM(G58:G59)/1000</f>
        <v>95.789123166932086</v>
      </c>
      <c r="E86" s="253">
        <f>SUM(L58:L59)/1000</f>
        <v>266.59002621456091</v>
      </c>
      <c r="F86" s="253">
        <f>SUM(T58:T59)/1000</f>
        <v>3.5774994272244698E-13</v>
      </c>
      <c r="G86" s="254">
        <f t="shared" si="29"/>
        <v>362.37914938149333</v>
      </c>
      <c r="H86" s="938">
        <f>SUM(E86:F86)/G86</f>
        <v>0.73566601905649254</v>
      </c>
      <c r="I86" s="255">
        <f>SUM(H58:H59)</f>
        <v>185.89217644089021</v>
      </c>
      <c r="J86" s="253">
        <f>SUM(M58:M59)</f>
        <v>517.35519182168014</v>
      </c>
      <c r="K86" s="253">
        <f>SUM(U58:U59)</f>
        <v>6.9426374598277298E-13</v>
      </c>
      <c r="L86" s="254">
        <f t="shared" si="31"/>
        <v>703.24736826257106</v>
      </c>
      <c r="M86" s="74"/>
      <c r="N86" s="74"/>
      <c r="O86" s="74"/>
      <c r="P86" s="74"/>
      <c r="Q86" s="74"/>
      <c r="R86" s="74"/>
      <c r="S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row>
    <row r="87" spans="1:50" x14ac:dyDescent="0.2">
      <c r="B87" s="2130" t="s">
        <v>2</v>
      </c>
      <c r="C87" s="265" t="s">
        <v>2</v>
      </c>
      <c r="D87" s="261">
        <f>G60/1000</f>
        <v>0</v>
      </c>
      <c r="E87" s="261">
        <f>L60/1000</f>
        <v>0</v>
      </c>
      <c r="F87" s="261">
        <f>T60/1000</f>
        <v>0</v>
      </c>
      <c r="G87" s="266">
        <f t="shared" si="29"/>
        <v>0</v>
      </c>
      <c r="H87" s="939" t="e">
        <f t="shared" si="30"/>
        <v>#DIV/0!</v>
      </c>
      <c r="I87" s="1677">
        <f>H60</f>
        <v>0</v>
      </c>
      <c r="J87" s="261">
        <f>M60</f>
        <v>0</v>
      </c>
      <c r="K87" s="261">
        <f>U60</f>
        <v>0</v>
      </c>
      <c r="L87" s="266">
        <f t="shared" si="31"/>
        <v>0</v>
      </c>
      <c r="AB87" s="76"/>
      <c r="AC87" s="76"/>
      <c r="AE87" s="76"/>
      <c r="AF87" s="76"/>
      <c r="AG87" s="76"/>
      <c r="AH87" s="76"/>
      <c r="AI87" s="76"/>
      <c r="AJ87" s="76"/>
      <c r="AK87" s="76"/>
      <c r="AL87" s="76"/>
      <c r="AM87" s="76"/>
      <c r="AN87" s="76"/>
      <c r="AO87" s="76"/>
      <c r="AP87" s="76"/>
      <c r="AQ87" s="76"/>
      <c r="AR87" s="76"/>
      <c r="AS87" s="76"/>
      <c r="AT87" s="76"/>
      <c r="AU87" s="76"/>
      <c r="AV87" s="76"/>
      <c r="AW87" s="76"/>
      <c r="AX87" s="76"/>
    </row>
    <row r="88" spans="1:50" x14ac:dyDescent="0.2">
      <c r="C88" s="2240" t="s">
        <v>1438</v>
      </c>
      <c r="D88" s="2331">
        <f>D16/1000</f>
        <v>46.959152280861645</v>
      </c>
      <c r="E88" s="2331">
        <f>I16/1000</f>
        <v>0</v>
      </c>
      <c r="F88" s="2331">
        <f>Q16/1000</f>
        <v>17.716997719138352</v>
      </c>
      <c r="G88" s="2422">
        <f t="shared" ref="G88" si="32">SUM(D88:F88)</f>
        <v>64.676149999999993</v>
      </c>
      <c r="H88" s="2566">
        <f>SUM(E88:F88)/G88</f>
        <v>0.27393401925034738</v>
      </c>
      <c r="I88" s="2567"/>
      <c r="J88" s="2331"/>
      <c r="K88" s="2331"/>
      <c r="L88" s="1652"/>
    </row>
    <row r="89" spans="1:50" s="76" customFormat="1" x14ac:dyDescent="0.2">
      <c r="A89" s="74"/>
      <c r="B89" s="74"/>
      <c r="C89" s="1641" t="s">
        <v>1439</v>
      </c>
      <c r="D89" s="2314">
        <f>G16/1000</f>
        <v>80.07685341306869</v>
      </c>
      <c r="E89" s="2314">
        <f>L16/1000</f>
        <v>0</v>
      </c>
      <c r="F89" s="2314">
        <f>T16/1000</f>
        <v>30.211819429570891</v>
      </c>
      <c r="G89" s="254">
        <f t="shared" ref="G89:G91" si="33">SUM(D89:F89)</f>
        <v>110.28867284263958</v>
      </c>
      <c r="H89" s="938">
        <f>SUM(E89:F89)/G89</f>
        <v>0.27393401925034733</v>
      </c>
      <c r="I89" s="2568"/>
      <c r="J89" s="2314"/>
      <c r="K89" s="2314"/>
      <c r="L89" s="253"/>
      <c r="M89" s="74"/>
      <c r="N89" s="74"/>
      <c r="O89" s="74"/>
      <c r="P89" s="74"/>
      <c r="Q89" s="74"/>
      <c r="R89" s="74"/>
      <c r="S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row>
    <row r="90" spans="1:50" x14ac:dyDescent="0.2">
      <c r="C90" s="1641" t="s">
        <v>1437</v>
      </c>
      <c r="D90" s="2314">
        <f>(SUMIFS('Basel data'!$E$8:$E$604,'Basel data'!$C$8:$C$604,"K100",'Basel data'!$G$8:$G$604,"tasmania")+SUMIFS('Basel data'!$F$8:$F$604,'Basel data'!$C$8:$C$604,"K100",'Basel data'!$G$8:$G$604,"tasmania")+SUMIFS('Basel data'!$E$8:$E$604,'Basel data'!$C$8:$C$604,"K110",'Basel data'!$G$8:$G$604,"tasmania")+SUMIFS('Basel data'!$F$8:$F$604,'Basel data'!$C$8:$C$604,"K110",'Basel data'!$G$8:$G$604,"tasmania"))*(1-SUM('Other national data'!M432:N432))/1000</f>
        <v>0.91842597958177707</v>
      </c>
      <c r="E90" s="2314">
        <f>(SUMIFS('Basel data'!$E$8:$E$604,'Basel data'!$C$8:$C$604,"K100",'Basel data'!$G$8:$G$604,"tasmania")+SUMIFS('Basel data'!$F$8:$F$604,'Basel data'!$C$8:$C$604,"K100",'Basel data'!$G$8:$G$604,"tasmania")+SUMIFS('Basel data'!$E$8:$E$604,'Basel data'!$C$8:$C$604,"K110",'Basel data'!$G$8:$G$604,"tasmania")+SUMIFS('Basel data'!$F$8:$F$604,'Basel data'!$C$8:$C$604,"K110",'Basel data'!$G$8:$G$604,"tasmania"))*'Other national data'!M432/1000</f>
        <v>17.262540346680321</v>
      </c>
      <c r="F90" s="2314">
        <f>(SUMIFS('Basel data'!$E$8:$E$604,'Basel data'!$C$8:$C$604,"K100",'Basel data'!$G$8:$G$604,"tasmania")+SUMIFS('Basel data'!$F$8:$F$604,'Basel data'!$C$8:$C$604,"K100",'Basel data'!$G$8:$G$604,"tasmania")+SUMIFS('Basel data'!$E$8:$E$604,'Basel data'!$C$8:$C$604,"K110",'Basel data'!$G$8:$G$604,"tasmania")+SUMIFS('Basel data'!$F$8:$F$604,'Basel data'!$C$8:$C$604,"K110",'Basel data'!$G$8:$G$604,"tasmania"))*'Other national data'!N432/1000</f>
        <v>1.8180966326262283E-13</v>
      </c>
      <c r="G90" s="254">
        <f t="shared" si="33"/>
        <v>18.180966326262279</v>
      </c>
      <c r="H90" s="938">
        <f>SUM(E90:F90)/G90</f>
        <v>0.94948420435413727</v>
      </c>
      <c r="I90" s="2568"/>
      <c r="J90" s="2314"/>
      <c r="K90" s="2314"/>
      <c r="L90" s="253"/>
    </row>
    <row r="91" spans="1:50" x14ac:dyDescent="0.2">
      <c r="C91" s="2049" t="s">
        <v>1436</v>
      </c>
      <c r="D91" s="2315">
        <f>SUM(D89:D90)</f>
        <v>80.995279392650474</v>
      </c>
      <c r="E91" s="2315">
        <f t="shared" ref="E91:F91" si="34">SUM(E89:E90)</f>
        <v>17.262540346680321</v>
      </c>
      <c r="F91" s="2315">
        <f t="shared" si="34"/>
        <v>30.211819429571072</v>
      </c>
      <c r="G91" s="266">
        <f t="shared" si="33"/>
        <v>128.46963916890186</v>
      </c>
      <c r="H91" s="939">
        <f>SUM(E91:F91)/G91</f>
        <v>0.3695375816681154</v>
      </c>
      <c r="AB91" s="76"/>
      <c r="AC91" s="76"/>
      <c r="AE91" s="76"/>
      <c r="AF91" s="76"/>
      <c r="AG91" s="76"/>
      <c r="AH91" s="76"/>
      <c r="AI91" s="76"/>
      <c r="AJ91" s="76"/>
      <c r="AK91" s="76"/>
      <c r="AL91" s="76"/>
      <c r="AM91" s="76"/>
      <c r="AN91" s="76"/>
      <c r="AO91" s="76"/>
      <c r="AP91" s="76"/>
      <c r="AQ91" s="76"/>
      <c r="AR91" s="76"/>
      <c r="AS91" s="76"/>
      <c r="AT91" s="76"/>
      <c r="AU91" s="76"/>
      <c r="AV91" s="76"/>
      <c r="AW91" s="76"/>
      <c r="AX91" s="76"/>
    </row>
    <row r="93" spans="1:50" x14ac:dyDescent="0.2">
      <c r="C93" s="1629" t="s">
        <v>342</v>
      </c>
      <c r="D93" s="253">
        <f>SUM(G11,G15,G21,G26,G36,G37,G40,G52:G53,N63:P63)/1000</f>
        <v>444.60965047247902</v>
      </c>
    </row>
    <row r="94" spans="1:50" s="76" customFormat="1" x14ac:dyDescent="0.2">
      <c r="A94" s="74"/>
      <c r="B94" s="74"/>
      <c r="C94" s="74"/>
      <c r="D94" s="74"/>
      <c r="E94" s="74"/>
      <c r="F94" s="74"/>
      <c r="G94" s="74"/>
      <c r="H94" s="74"/>
      <c r="I94" s="74"/>
      <c r="J94" s="74"/>
      <c r="K94" s="74"/>
      <c r="L94" s="74"/>
      <c r="M94" s="74"/>
      <c r="N94" s="74"/>
      <c r="O94" s="74"/>
      <c r="P94" s="74"/>
      <c r="Q94" s="74"/>
      <c r="R94" s="74"/>
      <c r="S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row>
    <row r="95" spans="1:50" s="76" customFormat="1" x14ac:dyDescent="0.2">
      <c r="A95" s="74"/>
      <c r="B95" s="74"/>
      <c r="C95" s="74"/>
      <c r="D95" s="74"/>
      <c r="E95" s="74"/>
      <c r="F95" s="74"/>
      <c r="G95" s="74"/>
      <c r="H95" s="74"/>
      <c r="I95" s="74"/>
      <c r="J95" s="74"/>
      <c r="K95" s="74"/>
      <c r="L95" s="74"/>
      <c r="M95" s="74"/>
      <c r="N95" s="74"/>
      <c r="O95" s="74"/>
      <c r="P95" s="74"/>
      <c r="Q95" s="74"/>
      <c r="R95" s="74"/>
      <c r="S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row>
    <row r="97" spans="1:50" x14ac:dyDescent="0.2">
      <c r="AB97" s="76"/>
      <c r="AC97" s="76"/>
      <c r="AE97" s="76"/>
      <c r="AF97" s="76"/>
      <c r="AG97" s="76"/>
      <c r="AH97" s="76"/>
      <c r="AI97" s="76"/>
      <c r="AJ97" s="76"/>
      <c r="AK97" s="76"/>
      <c r="AL97" s="76"/>
      <c r="AM97" s="76"/>
      <c r="AN97" s="76"/>
      <c r="AO97" s="76"/>
      <c r="AP97" s="76"/>
      <c r="AQ97" s="76"/>
      <c r="AR97" s="76"/>
      <c r="AS97" s="76"/>
      <c r="AT97" s="76"/>
      <c r="AU97" s="76"/>
      <c r="AV97" s="76"/>
      <c r="AW97" s="76"/>
      <c r="AX97" s="76"/>
    </row>
    <row r="102" spans="1:50" ht="12.75" customHeight="1" x14ac:dyDescent="0.2">
      <c r="AB102" s="76"/>
      <c r="AC102" s="76"/>
      <c r="AE102" s="76"/>
      <c r="AF102" s="76"/>
      <c r="AG102" s="76"/>
      <c r="AH102" s="76"/>
      <c r="AI102" s="76"/>
      <c r="AJ102" s="76"/>
      <c r="AK102" s="76"/>
      <c r="AL102" s="76"/>
      <c r="AM102" s="76"/>
      <c r="AN102" s="76"/>
      <c r="AO102" s="76"/>
      <c r="AP102" s="76"/>
      <c r="AQ102" s="76"/>
      <c r="AR102" s="76"/>
      <c r="AS102" s="76"/>
      <c r="AT102" s="76"/>
      <c r="AU102" s="76"/>
      <c r="AV102" s="76"/>
      <c r="AW102" s="76"/>
      <c r="AX102" s="76"/>
    </row>
    <row r="103" spans="1:50" x14ac:dyDescent="0.2">
      <c r="V103" s="74"/>
    </row>
    <row r="104" spans="1:50" x14ac:dyDescent="0.2">
      <c r="V104" s="74"/>
    </row>
    <row r="105" spans="1:50" x14ac:dyDescent="0.2">
      <c r="V105" s="74"/>
    </row>
    <row r="106" spans="1:50" x14ac:dyDescent="0.2">
      <c r="T106" s="77"/>
      <c r="U106" s="77"/>
      <c r="V106" s="77"/>
      <c r="W106" s="77"/>
      <c r="X106" s="77"/>
      <c r="Y106" s="77"/>
      <c r="Z106" s="77"/>
      <c r="AA106" s="77"/>
      <c r="AB106" s="77"/>
      <c r="AC106" s="77"/>
      <c r="AE106" s="77"/>
      <c r="AF106" s="77"/>
      <c r="AG106" s="77"/>
      <c r="AH106" s="77"/>
      <c r="AI106" s="77"/>
      <c r="AJ106" s="77"/>
      <c r="AK106" s="77"/>
      <c r="AL106" s="77"/>
      <c r="AM106" s="77"/>
      <c r="AN106" s="77"/>
      <c r="AO106" s="77"/>
      <c r="AP106" s="77"/>
      <c r="AQ106" s="77"/>
      <c r="AR106" s="77"/>
      <c r="AS106" s="77"/>
      <c r="AT106" s="77"/>
      <c r="AU106" s="77"/>
      <c r="AV106" s="77"/>
      <c r="AW106" s="77"/>
      <c r="AX106" s="77"/>
    </row>
    <row r="107" spans="1:50" s="76" customFormat="1" x14ac:dyDescent="0.2">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row>
    <row r="108" spans="1:50" x14ac:dyDescent="0.2">
      <c r="V108" s="74"/>
    </row>
    <row r="109" spans="1:50" x14ac:dyDescent="0.2">
      <c r="V109" s="74"/>
    </row>
    <row r="110" spans="1:50" x14ac:dyDescent="0.2">
      <c r="V110" s="74"/>
    </row>
    <row r="111" spans="1:50" s="76" customFormat="1" x14ac:dyDescent="0.2">
      <c r="A111" s="74"/>
      <c r="B111" s="74"/>
      <c r="C111" s="74"/>
      <c r="D111" s="74"/>
      <c r="E111" s="74"/>
      <c r="F111" s="74"/>
      <c r="G111" s="74"/>
      <c r="H111" s="74"/>
      <c r="I111" s="74"/>
      <c r="J111" s="74"/>
      <c r="K111" s="74"/>
      <c r="L111" s="74"/>
      <c r="M111" s="74"/>
      <c r="N111" s="74"/>
      <c r="O111" s="74"/>
      <c r="P111" s="74"/>
      <c r="Q111" s="74"/>
      <c r="R111" s="74"/>
      <c r="S111" s="74"/>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row>
    <row r="112" spans="1:50" x14ac:dyDescent="0.2">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row>
    <row r="113" spans="1:50" x14ac:dyDescent="0.2">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row>
    <row r="114" spans="1:50" x14ac:dyDescent="0.2">
      <c r="V114" s="74"/>
    </row>
    <row r="115" spans="1:50" x14ac:dyDescent="0.2">
      <c r="V115" s="74"/>
    </row>
    <row r="116" spans="1:50" x14ac:dyDescent="0.2">
      <c r="T116" s="76"/>
      <c r="U116" s="76"/>
      <c r="V116" s="76"/>
      <c r="W116" s="76"/>
      <c r="X116" s="76"/>
      <c r="Y116" s="76"/>
      <c r="Z116" s="76"/>
      <c r="AA116" s="76"/>
      <c r="AB116" s="76"/>
      <c r="AC116" s="76"/>
      <c r="AD116" s="76"/>
      <c r="AE116" s="76"/>
      <c r="AS116" s="76"/>
      <c r="AT116" s="76"/>
      <c r="AU116" s="76"/>
      <c r="AV116" s="76"/>
      <c r="AW116" s="76"/>
      <c r="AX116" s="76"/>
    </row>
    <row r="117" spans="1:50" s="76" customFormat="1" x14ac:dyDescent="0.2">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row>
    <row r="118" spans="1:50" x14ac:dyDescent="0.2">
      <c r="V118" s="74"/>
    </row>
    <row r="119" spans="1:50" x14ac:dyDescent="0.2">
      <c r="V119" s="74"/>
    </row>
    <row r="120" spans="1:50" x14ac:dyDescent="0.2">
      <c r="V120" s="74"/>
    </row>
    <row r="122" spans="1:50" s="76" customFormat="1" x14ac:dyDescent="0.2">
      <c r="A122" s="74"/>
      <c r="B122" s="74"/>
      <c r="C122" s="74"/>
      <c r="D122" s="74"/>
      <c r="E122" s="74"/>
      <c r="F122" s="74"/>
      <c r="G122" s="74"/>
      <c r="H122" s="74"/>
      <c r="I122" s="74"/>
      <c r="J122" s="74"/>
      <c r="K122" s="74"/>
      <c r="L122" s="74"/>
      <c r="M122" s="74"/>
      <c r="N122" s="74"/>
      <c r="O122" s="74"/>
      <c r="P122" s="74"/>
      <c r="Q122" s="74"/>
      <c r="R122" s="74"/>
      <c r="S122" s="74"/>
      <c r="T122" s="74"/>
      <c r="U122" s="74"/>
      <c r="V122" s="75"/>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6" spans="1:50" s="77" customFormat="1" x14ac:dyDescent="0.2">
      <c r="A126" s="74"/>
      <c r="B126" s="74"/>
      <c r="C126" s="74"/>
      <c r="D126" s="74"/>
      <c r="E126" s="74"/>
      <c r="F126" s="74"/>
      <c r="G126" s="74"/>
      <c r="H126" s="74"/>
      <c r="I126" s="74"/>
      <c r="J126" s="74"/>
      <c r="K126" s="74"/>
      <c r="L126" s="74"/>
      <c r="M126" s="74"/>
      <c r="N126" s="74"/>
      <c r="O126" s="74"/>
      <c r="P126" s="74"/>
      <c r="Q126" s="74"/>
      <c r="R126" s="74"/>
      <c r="S126" s="74"/>
      <c r="T126" s="74"/>
      <c r="U126" s="74"/>
      <c r="V126" s="75"/>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31" spans="1:44" s="77" customFormat="1" x14ac:dyDescent="0.2">
      <c r="A131" s="74"/>
      <c r="B131" s="74"/>
      <c r="C131" s="74"/>
      <c r="D131" s="74"/>
      <c r="E131" s="74"/>
      <c r="F131" s="74"/>
      <c r="G131" s="74"/>
      <c r="H131" s="74"/>
      <c r="I131" s="74"/>
      <c r="J131" s="74"/>
      <c r="K131" s="74"/>
      <c r="L131" s="74"/>
      <c r="M131" s="74"/>
      <c r="N131" s="74"/>
      <c r="O131" s="74"/>
      <c r="P131" s="74"/>
      <c r="Q131" s="74"/>
      <c r="R131" s="74"/>
      <c r="S131" s="74"/>
      <c r="T131" s="74"/>
      <c r="U131" s="74"/>
      <c r="V131" s="75"/>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spans="1:44" s="76" customFormat="1" x14ac:dyDescent="0.2">
      <c r="A132" s="74"/>
      <c r="B132" s="74"/>
      <c r="C132" s="74"/>
      <c r="D132" s="74"/>
      <c r="E132" s="74"/>
      <c r="F132" s="74"/>
      <c r="G132" s="74"/>
      <c r="H132" s="74"/>
      <c r="I132" s="74"/>
      <c r="J132" s="74"/>
      <c r="K132" s="74"/>
      <c r="L132" s="74"/>
      <c r="M132" s="74"/>
      <c r="N132" s="74"/>
      <c r="O132" s="74"/>
      <c r="P132" s="74"/>
      <c r="Q132" s="74"/>
      <c r="R132" s="74"/>
      <c r="S132" s="74"/>
      <c r="T132" s="74"/>
      <c r="U132" s="74"/>
      <c r="V132" s="75"/>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spans="1:44" s="76" customFormat="1" x14ac:dyDescent="0.2">
      <c r="A133" s="74"/>
      <c r="B133" s="74"/>
      <c r="C133" s="74"/>
      <c r="D133" s="74"/>
      <c r="E133" s="74"/>
      <c r="F133" s="74"/>
      <c r="G133" s="74"/>
      <c r="H133" s="74"/>
      <c r="I133" s="74"/>
      <c r="J133" s="74"/>
      <c r="K133" s="74"/>
      <c r="L133" s="74"/>
      <c r="M133" s="74"/>
      <c r="N133" s="74"/>
      <c r="O133" s="74"/>
      <c r="P133" s="74"/>
      <c r="Q133" s="74"/>
      <c r="R133" s="74"/>
      <c r="S133" s="74"/>
      <c r="T133" s="74"/>
      <c r="U133" s="74"/>
      <c r="V133" s="75"/>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6" spans="1:44" s="76" customFormat="1" x14ac:dyDescent="0.2">
      <c r="A136" s="74"/>
      <c r="B136" s="74"/>
      <c r="C136" s="74"/>
      <c r="D136" s="74"/>
      <c r="E136" s="74"/>
      <c r="F136" s="74"/>
      <c r="G136" s="74"/>
      <c r="H136" s="74"/>
      <c r="I136" s="74"/>
      <c r="J136" s="74"/>
      <c r="K136" s="74"/>
      <c r="L136" s="74"/>
      <c r="M136" s="74"/>
      <c r="N136" s="74"/>
      <c r="O136" s="74"/>
      <c r="P136" s="74"/>
      <c r="Q136" s="74"/>
      <c r="R136" s="74"/>
      <c r="S136" s="74"/>
      <c r="T136" s="74"/>
      <c r="U136" s="74"/>
      <c r="V136" s="75"/>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spans="1:44" x14ac:dyDescent="0.2">
      <c r="AJ137" s="76"/>
      <c r="AK137" s="76"/>
      <c r="AL137" s="76"/>
      <c r="AM137" s="76"/>
      <c r="AN137" s="76"/>
      <c r="AO137" s="76"/>
      <c r="AP137" s="76"/>
      <c r="AQ137" s="76"/>
    </row>
    <row r="141" spans="1:44" s="76" customFormat="1" x14ac:dyDescent="0.2">
      <c r="A141" s="74"/>
      <c r="B141" s="74"/>
      <c r="C141" s="74"/>
      <c r="D141" s="74"/>
      <c r="E141" s="74"/>
      <c r="F141" s="74"/>
      <c r="G141" s="74"/>
      <c r="H141" s="74"/>
      <c r="I141" s="74"/>
      <c r="J141" s="74"/>
      <c r="K141" s="74"/>
      <c r="L141" s="74"/>
      <c r="M141" s="74"/>
      <c r="N141" s="74"/>
      <c r="O141" s="74"/>
      <c r="P141" s="74"/>
      <c r="Q141" s="74"/>
      <c r="R141" s="74"/>
      <c r="S141" s="74"/>
      <c r="T141" s="74"/>
      <c r="U141" s="74"/>
      <c r="V141" s="75"/>
      <c r="W141" s="74"/>
      <c r="X141" s="74"/>
      <c r="Y141" s="74"/>
      <c r="Z141" s="74"/>
      <c r="AA141" s="74"/>
      <c r="AB141" s="74"/>
      <c r="AC141" s="74"/>
      <c r="AD141" s="74"/>
      <c r="AE141" s="74"/>
      <c r="AJ141" s="74"/>
      <c r="AK141" s="74"/>
      <c r="AL141" s="74"/>
      <c r="AM141" s="74"/>
      <c r="AN141" s="74"/>
      <c r="AO141" s="74"/>
      <c r="AP141" s="74"/>
      <c r="AQ141" s="74"/>
    </row>
    <row r="142" spans="1:44" s="76" customFormat="1" x14ac:dyDescent="0.2">
      <c r="A142" s="74"/>
      <c r="B142" s="74"/>
      <c r="C142" s="74"/>
      <c r="D142" s="74"/>
      <c r="E142" s="74"/>
      <c r="F142" s="74"/>
      <c r="G142" s="74"/>
      <c r="H142" s="74"/>
      <c r="I142" s="74"/>
      <c r="J142" s="74"/>
      <c r="K142" s="74"/>
      <c r="L142" s="74"/>
      <c r="M142" s="74"/>
      <c r="N142" s="74"/>
      <c r="O142" s="74"/>
      <c r="P142" s="74"/>
      <c r="Q142" s="74"/>
      <c r="R142" s="74"/>
      <c r="S142" s="74"/>
      <c r="T142" s="74"/>
      <c r="U142" s="74"/>
      <c r="V142" s="75"/>
      <c r="W142" s="74"/>
      <c r="X142" s="74"/>
      <c r="Y142" s="74"/>
      <c r="Z142" s="74"/>
      <c r="AA142" s="74"/>
      <c r="AB142" s="74"/>
      <c r="AC142" s="74"/>
      <c r="AD142" s="74"/>
      <c r="AE142" s="74"/>
    </row>
    <row r="143" spans="1:44" x14ac:dyDescent="0.2">
      <c r="AJ143" s="76"/>
      <c r="AK143" s="76"/>
      <c r="AL143" s="76"/>
      <c r="AM143" s="76"/>
      <c r="AN143" s="76"/>
      <c r="AO143" s="76"/>
      <c r="AP143" s="76"/>
      <c r="AQ143" s="76"/>
    </row>
    <row r="149" spans="1:43" ht="12.75" customHeight="1" x14ac:dyDescent="0.2">
      <c r="AF149" s="78"/>
      <c r="AG149" s="78"/>
      <c r="AH149" s="78"/>
      <c r="AI149" s="78"/>
    </row>
    <row r="150" spans="1:43" x14ac:dyDescent="0.2">
      <c r="AF150" s="79"/>
      <c r="AG150" s="79"/>
      <c r="AH150" s="79"/>
      <c r="AI150" s="79"/>
      <c r="AJ150" s="78"/>
    </row>
    <row r="151" spans="1:43" x14ac:dyDescent="0.2">
      <c r="AF151" s="80"/>
      <c r="AG151" s="80"/>
      <c r="AH151" s="81"/>
      <c r="AI151" s="81"/>
      <c r="AJ151" s="79"/>
    </row>
    <row r="152" spans="1:43" x14ac:dyDescent="0.2">
      <c r="AF152" s="80"/>
      <c r="AG152" s="80"/>
      <c r="AH152" s="81"/>
      <c r="AI152" s="81"/>
      <c r="AJ152" s="82"/>
    </row>
    <row r="153" spans="1:43" x14ac:dyDescent="0.2">
      <c r="AJ153" s="82"/>
    </row>
    <row r="154" spans="1:43" s="76" customFormat="1" x14ac:dyDescent="0.2">
      <c r="A154" s="74"/>
      <c r="B154" s="74"/>
      <c r="C154" s="74"/>
      <c r="D154" s="74"/>
      <c r="E154" s="74"/>
      <c r="F154" s="74"/>
      <c r="G154" s="74"/>
      <c r="H154" s="74"/>
      <c r="I154" s="74"/>
      <c r="J154" s="74"/>
      <c r="K154" s="74"/>
      <c r="L154" s="74"/>
      <c r="M154" s="74"/>
      <c r="N154" s="74"/>
      <c r="O154" s="74"/>
      <c r="P154" s="74"/>
      <c r="Q154" s="74"/>
      <c r="R154" s="74"/>
      <c r="S154" s="74"/>
      <c r="T154" s="74"/>
      <c r="U154" s="74"/>
      <c r="V154" s="75"/>
      <c r="W154" s="74"/>
      <c r="X154" s="74"/>
      <c r="Y154" s="74"/>
      <c r="Z154" s="74"/>
      <c r="AA154" s="74"/>
      <c r="AB154" s="74"/>
      <c r="AC154" s="74"/>
      <c r="AD154" s="74"/>
      <c r="AE154" s="74"/>
      <c r="AJ154" s="74"/>
      <c r="AK154" s="74"/>
      <c r="AL154" s="74"/>
      <c r="AM154" s="74"/>
      <c r="AN154" s="74"/>
      <c r="AO154" s="74"/>
      <c r="AP154" s="74"/>
      <c r="AQ154" s="74"/>
    </row>
    <row r="155" spans="1:43" x14ac:dyDescent="0.2">
      <c r="AJ155" s="76"/>
      <c r="AK155" s="76"/>
      <c r="AL155" s="76"/>
      <c r="AM155" s="76"/>
      <c r="AN155" s="76"/>
      <c r="AO155" s="76"/>
      <c r="AP155" s="76"/>
      <c r="AQ155" s="76"/>
    </row>
    <row r="158" spans="1:43" s="76" customFormat="1" x14ac:dyDescent="0.2">
      <c r="A158" s="74"/>
      <c r="B158" s="74"/>
      <c r="C158" s="74"/>
      <c r="D158" s="74"/>
      <c r="E158" s="74"/>
      <c r="F158" s="74"/>
      <c r="G158" s="74"/>
      <c r="H158" s="74"/>
      <c r="I158" s="74"/>
      <c r="J158" s="74"/>
      <c r="K158" s="74"/>
      <c r="L158" s="74"/>
      <c r="M158" s="74"/>
      <c r="N158" s="74"/>
      <c r="O158" s="74"/>
      <c r="P158" s="74"/>
      <c r="Q158" s="74"/>
      <c r="R158" s="74"/>
      <c r="S158" s="74"/>
      <c r="T158" s="74"/>
      <c r="U158" s="74"/>
      <c r="V158" s="75"/>
      <c r="W158" s="74"/>
      <c r="X158" s="74"/>
      <c r="Y158" s="74"/>
      <c r="Z158" s="74"/>
      <c r="AA158" s="74"/>
      <c r="AB158" s="74"/>
      <c r="AC158" s="74"/>
      <c r="AD158" s="74"/>
      <c r="AE158" s="74"/>
      <c r="AJ158" s="74"/>
      <c r="AK158" s="74"/>
      <c r="AL158" s="74"/>
      <c r="AM158" s="74"/>
      <c r="AN158" s="74"/>
      <c r="AO158" s="74"/>
      <c r="AP158" s="74"/>
      <c r="AQ158" s="74"/>
    </row>
    <row r="159" spans="1:43" x14ac:dyDescent="0.2">
      <c r="AJ159" s="76"/>
      <c r="AK159" s="76"/>
      <c r="AL159" s="76"/>
      <c r="AM159" s="76"/>
      <c r="AN159" s="76"/>
      <c r="AO159" s="76"/>
      <c r="AP159" s="76"/>
      <c r="AQ159" s="76"/>
    </row>
    <row r="164" spans="1:43" s="76" customFormat="1" x14ac:dyDescent="0.2">
      <c r="A164" s="74"/>
      <c r="B164" s="74"/>
      <c r="C164" s="74"/>
      <c r="D164" s="74"/>
      <c r="E164" s="74"/>
      <c r="F164" s="74"/>
      <c r="G164" s="74"/>
      <c r="H164" s="74"/>
      <c r="I164" s="74"/>
      <c r="J164" s="74"/>
      <c r="K164" s="74"/>
      <c r="L164" s="74"/>
      <c r="M164" s="74"/>
      <c r="N164" s="74"/>
      <c r="O164" s="74"/>
      <c r="P164" s="74"/>
      <c r="Q164" s="74"/>
      <c r="R164" s="74"/>
      <c r="S164" s="74"/>
      <c r="T164" s="74"/>
      <c r="U164" s="74"/>
      <c r="V164" s="75"/>
      <c r="W164" s="74"/>
      <c r="X164" s="74"/>
      <c r="Y164" s="74"/>
      <c r="Z164" s="74"/>
      <c r="AA164" s="74"/>
      <c r="AB164" s="74"/>
      <c r="AC164" s="74"/>
      <c r="AD164" s="74"/>
      <c r="AE164" s="74"/>
      <c r="AJ164" s="74"/>
      <c r="AK164" s="74"/>
      <c r="AL164" s="74"/>
      <c r="AM164" s="74"/>
      <c r="AN164" s="74"/>
      <c r="AO164" s="74"/>
      <c r="AP164" s="74"/>
      <c r="AQ164" s="74"/>
    </row>
    <row r="165" spans="1:43" x14ac:dyDescent="0.2">
      <c r="AJ165" s="76"/>
      <c r="AK165" s="76"/>
      <c r="AL165" s="76"/>
      <c r="AM165" s="76"/>
      <c r="AN165" s="76"/>
      <c r="AO165" s="76"/>
      <c r="AP165" s="76"/>
      <c r="AQ165" s="76"/>
    </row>
    <row r="169" spans="1:43" s="76" customFormat="1" x14ac:dyDescent="0.2">
      <c r="A169" s="74"/>
      <c r="B169" s="74"/>
      <c r="C169" s="74"/>
      <c r="D169" s="74"/>
      <c r="E169" s="74"/>
      <c r="F169" s="74"/>
      <c r="G169" s="74"/>
      <c r="H169" s="74"/>
      <c r="I169" s="74"/>
      <c r="J169" s="74"/>
      <c r="K169" s="74"/>
      <c r="L169" s="74"/>
      <c r="M169" s="74"/>
      <c r="N169" s="74"/>
      <c r="O169" s="74"/>
      <c r="P169" s="74"/>
      <c r="Q169" s="74"/>
      <c r="R169" s="74"/>
      <c r="S169" s="74"/>
      <c r="T169" s="74"/>
      <c r="U169" s="74"/>
      <c r="V169" s="75"/>
      <c r="W169" s="74"/>
      <c r="X169" s="74"/>
      <c r="Y169" s="74"/>
      <c r="Z169" s="74"/>
      <c r="AA169" s="74"/>
      <c r="AB169" s="74"/>
      <c r="AC169" s="74"/>
      <c r="AD169" s="74"/>
      <c r="AE169" s="74"/>
      <c r="AJ169" s="74"/>
      <c r="AK169" s="74"/>
      <c r="AL169" s="74"/>
      <c r="AM169" s="74"/>
      <c r="AN169" s="74"/>
      <c r="AO169" s="74"/>
      <c r="AP169" s="74"/>
      <c r="AQ169" s="74"/>
    </row>
    <row r="170" spans="1:43" x14ac:dyDescent="0.2">
      <c r="AJ170" s="76"/>
      <c r="AK170" s="76"/>
      <c r="AL170" s="76"/>
      <c r="AM170" s="76"/>
      <c r="AN170" s="76"/>
      <c r="AO170" s="76"/>
      <c r="AP170" s="76"/>
      <c r="AQ170" s="76"/>
    </row>
    <row r="173" spans="1:43" s="77" customFormat="1" x14ac:dyDescent="0.2">
      <c r="A173" s="74"/>
      <c r="B173" s="74"/>
      <c r="C173" s="74"/>
      <c r="D173" s="74"/>
      <c r="E173" s="74"/>
      <c r="F173" s="74"/>
      <c r="G173" s="74"/>
      <c r="H173" s="74"/>
      <c r="I173" s="74"/>
      <c r="J173" s="74"/>
      <c r="K173" s="74"/>
      <c r="L173" s="74"/>
      <c r="M173" s="74"/>
      <c r="N173" s="74"/>
      <c r="O173" s="74"/>
      <c r="P173" s="74"/>
      <c r="Q173" s="74"/>
      <c r="R173" s="74"/>
      <c r="S173" s="74"/>
      <c r="T173" s="74"/>
      <c r="U173" s="74"/>
      <c r="V173" s="75"/>
      <c r="W173" s="74"/>
      <c r="X173" s="74"/>
      <c r="Y173" s="74"/>
      <c r="Z173" s="74"/>
      <c r="AA173" s="74"/>
      <c r="AB173" s="74"/>
      <c r="AC173" s="74"/>
      <c r="AD173" s="74"/>
      <c r="AE173" s="74"/>
      <c r="AJ173" s="74"/>
      <c r="AK173" s="74"/>
      <c r="AL173" s="74"/>
      <c r="AM173" s="74"/>
      <c r="AN173" s="74"/>
      <c r="AO173" s="74"/>
      <c r="AP173" s="74"/>
      <c r="AQ173" s="74"/>
    </row>
    <row r="174" spans="1:43" x14ac:dyDescent="0.2">
      <c r="AJ174" s="77"/>
      <c r="AK174" s="77"/>
      <c r="AL174" s="77"/>
      <c r="AM174" s="77"/>
      <c r="AN174" s="77"/>
      <c r="AO174" s="77"/>
      <c r="AP174" s="77"/>
      <c r="AQ174" s="77"/>
    </row>
    <row r="178" spans="1:43" s="77" customFormat="1" x14ac:dyDescent="0.2">
      <c r="A178" s="74"/>
      <c r="B178" s="74"/>
      <c r="C178" s="74"/>
      <c r="D178" s="74"/>
      <c r="E178" s="74"/>
      <c r="F178" s="74"/>
      <c r="G178" s="74"/>
      <c r="H178" s="74"/>
      <c r="I178" s="74"/>
      <c r="J178" s="74"/>
      <c r="K178" s="74"/>
      <c r="L178" s="74"/>
      <c r="M178" s="74"/>
      <c r="N178" s="74"/>
      <c r="O178" s="74"/>
      <c r="P178" s="74"/>
      <c r="Q178" s="74"/>
      <c r="R178" s="74"/>
      <c r="S178" s="74"/>
      <c r="T178" s="74"/>
      <c r="U178" s="74"/>
      <c r="V178" s="75"/>
      <c r="W178" s="74"/>
      <c r="X178" s="74"/>
      <c r="Y178" s="74"/>
      <c r="Z178" s="74"/>
      <c r="AA178" s="74"/>
      <c r="AB178" s="74"/>
      <c r="AC178" s="74"/>
      <c r="AD178" s="74"/>
      <c r="AE178" s="74"/>
      <c r="AJ178" s="74"/>
      <c r="AK178" s="74"/>
      <c r="AL178" s="74"/>
      <c r="AM178" s="74"/>
      <c r="AN178" s="74"/>
      <c r="AO178" s="74"/>
      <c r="AP178" s="74"/>
      <c r="AQ178" s="74"/>
    </row>
    <row r="179" spans="1:43" s="76" customFormat="1" x14ac:dyDescent="0.2">
      <c r="A179" s="74"/>
      <c r="B179" s="74"/>
      <c r="C179" s="74"/>
      <c r="D179" s="74"/>
      <c r="E179" s="74"/>
      <c r="F179" s="74"/>
      <c r="G179" s="74"/>
      <c r="H179" s="74"/>
      <c r="I179" s="74"/>
      <c r="J179" s="74"/>
      <c r="K179" s="74"/>
      <c r="L179" s="74"/>
      <c r="M179" s="74"/>
      <c r="N179" s="74"/>
      <c r="O179" s="74"/>
      <c r="P179" s="74"/>
      <c r="Q179" s="74"/>
      <c r="R179" s="74"/>
      <c r="S179" s="74"/>
      <c r="T179" s="74"/>
      <c r="U179" s="74"/>
      <c r="V179" s="75"/>
      <c r="W179" s="74"/>
      <c r="X179" s="74"/>
      <c r="Y179" s="74"/>
      <c r="Z179" s="74"/>
      <c r="AA179" s="74"/>
      <c r="AB179" s="74"/>
      <c r="AC179" s="74"/>
      <c r="AD179" s="74"/>
      <c r="AE179" s="74"/>
      <c r="AJ179" s="77"/>
      <c r="AK179" s="77"/>
      <c r="AL179" s="77"/>
      <c r="AM179" s="77"/>
      <c r="AN179" s="77"/>
      <c r="AO179" s="77"/>
      <c r="AP179" s="77"/>
      <c r="AQ179" s="77"/>
    </row>
    <row r="180" spans="1:43" s="76" customFormat="1" x14ac:dyDescent="0.2">
      <c r="A180" s="74"/>
      <c r="B180" s="74"/>
      <c r="C180" s="74"/>
      <c r="D180" s="74"/>
      <c r="E180" s="74"/>
      <c r="F180" s="74"/>
      <c r="G180" s="74"/>
      <c r="H180" s="74"/>
      <c r="I180" s="74"/>
      <c r="J180" s="74"/>
      <c r="K180" s="74"/>
      <c r="L180" s="74"/>
      <c r="M180" s="74"/>
      <c r="N180" s="74"/>
      <c r="O180" s="74"/>
      <c r="P180" s="74"/>
      <c r="Q180" s="74"/>
      <c r="R180" s="74"/>
      <c r="S180" s="74"/>
      <c r="T180" s="74"/>
      <c r="U180" s="74"/>
      <c r="V180" s="75"/>
      <c r="W180" s="74"/>
      <c r="X180" s="74"/>
      <c r="Y180" s="74"/>
      <c r="Z180" s="74"/>
      <c r="AA180" s="74"/>
      <c r="AB180" s="74"/>
      <c r="AC180" s="74"/>
      <c r="AD180" s="74"/>
      <c r="AE180" s="74"/>
    </row>
    <row r="181" spans="1:43" x14ac:dyDescent="0.2">
      <c r="AJ181" s="76"/>
      <c r="AK181" s="76"/>
      <c r="AL181" s="76"/>
      <c r="AM181" s="76"/>
      <c r="AN181" s="76"/>
      <c r="AO181" s="76"/>
      <c r="AP181" s="76"/>
      <c r="AQ181" s="76"/>
    </row>
    <row r="183" spans="1:43" s="76" customFormat="1" x14ac:dyDescent="0.2">
      <c r="A183" s="74"/>
      <c r="B183" s="74"/>
      <c r="C183" s="74"/>
      <c r="D183" s="74"/>
      <c r="E183" s="74"/>
      <c r="F183" s="74"/>
      <c r="G183" s="74"/>
      <c r="H183" s="74"/>
      <c r="I183" s="74"/>
      <c r="J183" s="74"/>
      <c r="K183" s="74"/>
      <c r="L183" s="74"/>
      <c r="M183" s="74"/>
      <c r="N183" s="74"/>
      <c r="O183" s="74"/>
      <c r="P183" s="74"/>
      <c r="Q183" s="74"/>
      <c r="R183" s="74"/>
      <c r="S183" s="74"/>
      <c r="T183" s="74"/>
      <c r="U183" s="74"/>
      <c r="V183" s="75"/>
      <c r="W183" s="74"/>
      <c r="X183" s="74"/>
      <c r="Y183" s="74"/>
      <c r="Z183" s="74"/>
      <c r="AA183" s="74"/>
      <c r="AB183" s="74"/>
      <c r="AC183" s="74"/>
      <c r="AD183" s="74"/>
      <c r="AE183" s="74"/>
      <c r="AJ183" s="74"/>
      <c r="AK183" s="74"/>
      <c r="AL183" s="74"/>
      <c r="AM183" s="74"/>
      <c r="AN183" s="74"/>
      <c r="AO183" s="74"/>
      <c r="AP183" s="74"/>
      <c r="AQ183" s="74"/>
    </row>
    <row r="184" spans="1:43" x14ac:dyDescent="0.2">
      <c r="AJ184" s="76"/>
      <c r="AK184" s="76"/>
      <c r="AL184" s="76"/>
      <c r="AM184" s="76"/>
      <c r="AN184" s="76"/>
      <c r="AO184" s="76"/>
      <c r="AP184" s="76"/>
      <c r="AQ184" s="76"/>
    </row>
    <row r="188" spans="1:43" s="76" customFormat="1" x14ac:dyDescent="0.2">
      <c r="A188" s="74"/>
      <c r="B188" s="74"/>
      <c r="C188" s="74"/>
      <c r="D188" s="74"/>
      <c r="E188" s="74"/>
      <c r="F188" s="74"/>
      <c r="G188" s="74"/>
      <c r="H188" s="74"/>
      <c r="I188" s="74"/>
      <c r="J188" s="74"/>
      <c r="K188" s="74"/>
      <c r="L188" s="74"/>
      <c r="M188" s="74"/>
      <c r="N188" s="74"/>
      <c r="O188" s="74"/>
      <c r="P188" s="74"/>
      <c r="Q188" s="74"/>
      <c r="R188" s="74"/>
      <c r="S188" s="74"/>
      <c r="T188" s="74"/>
      <c r="U188" s="74"/>
      <c r="V188" s="75"/>
      <c r="W188" s="74"/>
      <c r="X188" s="74"/>
      <c r="Y188" s="74"/>
      <c r="Z188" s="74"/>
      <c r="AA188" s="74"/>
      <c r="AB188" s="74"/>
      <c r="AC188" s="74"/>
      <c r="AD188" s="74"/>
      <c r="AE188" s="74"/>
      <c r="AJ188" s="74"/>
      <c r="AK188" s="74"/>
      <c r="AL188" s="74"/>
      <c r="AM188" s="74"/>
      <c r="AN188" s="74"/>
      <c r="AO188" s="74"/>
      <c r="AP188" s="74"/>
      <c r="AQ188" s="74"/>
    </row>
    <row r="189" spans="1:43" s="76" customFormat="1" x14ac:dyDescent="0.2">
      <c r="A189" s="74"/>
      <c r="B189" s="74"/>
      <c r="C189" s="74"/>
      <c r="D189" s="74"/>
      <c r="E189" s="74"/>
      <c r="F189" s="74"/>
      <c r="G189" s="74"/>
      <c r="H189" s="74"/>
      <c r="I189" s="74"/>
      <c r="J189" s="74"/>
      <c r="K189" s="74"/>
      <c r="L189" s="74"/>
      <c r="M189" s="74"/>
      <c r="N189" s="74"/>
      <c r="O189" s="74"/>
      <c r="P189" s="74"/>
      <c r="Q189" s="74"/>
      <c r="R189" s="74"/>
      <c r="S189" s="74"/>
      <c r="T189" s="74"/>
      <c r="U189" s="74"/>
      <c r="V189" s="75"/>
      <c r="W189" s="74"/>
      <c r="X189" s="74"/>
      <c r="Y189" s="74"/>
      <c r="Z189" s="74"/>
      <c r="AA189" s="74"/>
      <c r="AB189" s="74"/>
      <c r="AC189" s="74"/>
      <c r="AD189" s="74"/>
      <c r="AE189" s="74"/>
    </row>
    <row r="190" spans="1:43" x14ac:dyDescent="0.2">
      <c r="AJ190" s="76"/>
      <c r="AK190" s="76"/>
      <c r="AL190" s="76"/>
      <c r="AM190" s="76"/>
      <c r="AN190" s="76"/>
      <c r="AO190" s="76"/>
      <c r="AP190" s="76"/>
      <c r="AQ190" s="76"/>
    </row>
  </sheetData>
  <sheetProtection sheet="1" objects="1" scenarios="1"/>
  <mergeCells count="13">
    <mergeCell ref="D77:G77"/>
    <mergeCell ref="N3:U3"/>
    <mergeCell ref="B4:B5"/>
    <mergeCell ref="C4:C5"/>
    <mergeCell ref="D4:G4"/>
    <mergeCell ref="H4:H5"/>
    <mergeCell ref="I4:L4"/>
    <mergeCell ref="M4:M5"/>
    <mergeCell ref="N4:P4"/>
    <mergeCell ref="Q4:T4"/>
    <mergeCell ref="U4:U5"/>
    <mergeCell ref="I77:L77"/>
    <mergeCell ref="K67:M67"/>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X190"/>
  <sheetViews>
    <sheetView zoomScale="85" zoomScaleNormal="85" workbookViewId="0">
      <pane xSplit="3" ySplit="5" topLeftCell="D6" activePane="bottomRight" state="frozen"/>
      <selection activeCell="C58" sqref="C58"/>
      <selection pane="topRight" activeCell="C58" sqref="C58"/>
      <selection pane="bottomLeft" activeCell="C58" sqref="C58"/>
      <selection pane="bottomRight" activeCell="D6" sqref="D6"/>
    </sheetView>
  </sheetViews>
  <sheetFormatPr defaultColWidth="9.140625" defaultRowHeight="12.75" outlineLevelRow="1" x14ac:dyDescent="0.2"/>
  <cols>
    <col min="1" max="1" width="4.28515625" style="74" customWidth="1"/>
    <col min="2" max="2" width="19.28515625" style="74" customWidth="1"/>
    <col min="3" max="3" width="35.5703125" style="74" customWidth="1"/>
    <col min="4" max="6" width="9.7109375" style="74" customWidth="1"/>
    <col min="7" max="7" width="10.85546875" style="74" customWidth="1"/>
    <col min="8" max="8" width="9.85546875" style="74" customWidth="1"/>
    <col min="9" max="9" width="10.5703125" style="74" customWidth="1"/>
    <col min="10" max="12" width="9.7109375" style="74" customWidth="1"/>
    <col min="13" max="13" width="7.85546875" style="74" customWidth="1"/>
    <col min="14" max="20" width="9.42578125" style="74" customWidth="1"/>
    <col min="21" max="21" width="9.140625" style="74"/>
    <col min="22" max="22" width="9.140625" style="75"/>
    <col min="23" max="24" width="9.140625" style="74"/>
    <col min="25" max="25" width="11" style="74" customWidth="1"/>
    <col min="26" max="26" width="10.42578125" style="74" customWidth="1"/>
    <col min="27" max="27" width="10" style="74" customWidth="1"/>
    <col min="28" max="16384" width="9.140625" style="74"/>
  </cols>
  <sheetData>
    <row r="1" spans="1:39" s="1709" customFormat="1" ht="21" x14ac:dyDescent="0.35">
      <c r="A1" s="1709" t="s">
        <v>434</v>
      </c>
      <c r="F1" s="1710" t="s">
        <v>958</v>
      </c>
      <c r="V1" s="1711"/>
    </row>
    <row r="2" spans="1:39" s="239" customFormat="1" x14ac:dyDescent="0.2">
      <c r="V2" s="240"/>
    </row>
    <row r="3" spans="1:39" s="241" customFormat="1" ht="18.75" x14ac:dyDescent="0.3">
      <c r="B3" s="268"/>
      <c r="C3" s="904" t="s">
        <v>845</v>
      </c>
      <c r="D3" s="277" t="s">
        <v>113</v>
      </c>
      <c r="E3" s="269"/>
      <c r="F3" s="269"/>
      <c r="G3" s="269"/>
      <c r="H3" s="278"/>
      <c r="I3" s="276" t="s">
        <v>114</v>
      </c>
      <c r="J3" s="270"/>
      <c r="K3" s="270"/>
      <c r="L3" s="270"/>
      <c r="M3" s="276"/>
      <c r="N3" s="2778" t="s">
        <v>38</v>
      </c>
      <c r="O3" s="2779"/>
      <c r="P3" s="2779"/>
      <c r="Q3" s="2779"/>
      <c r="R3" s="2779"/>
      <c r="S3" s="2779"/>
      <c r="T3" s="2779"/>
      <c r="U3" s="2780"/>
      <c r="Y3" s="242"/>
    </row>
    <row r="4" spans="1:39" ht="15" customHeight="1" x14ac:dyDescent="0.3">
      <c r="B4" s="2789" t="s">
        <v>843</v>
      </c>
      <c r="C4" s="2791" t="s">
        <v>844</v>
      </c>
      <c r="D4" s="2781" t="s">
        <v>453</v>
      </c>
      <c r="E4" s="2793"/>
      <c r="F4" s="2793"/>
      <c r="G4" s="2794"/>
      <c r="H4" s="2786" t="s">
        <v>110</v>
      </c>
      <c r="I4" s="2793" t="s">
        <v>111</v>
      </c>
      <c r="J4" s="2795"/>
      <c r="K4" s="2795"/>
      <c r="L4" s="2796"/>
      <c r="M4" s="2781" t="s">
        <v>110</v>
      </c>
      <c r="N4" s="2783" t="s">
        <v>456</v>
      </c>
      <c r="O4" s="2784"/>
      <c r="P4" s="2785"/>
      <c r="Q4" s="2784" t="s">
        <v>457</v>
      </c>
      <c r="R4" s="2784"/>
      <c r="S4" s="2784"/>
      <c r="T4" s="2785"/>
      <c r="U4" s="2786" t="s">
        <v>110</v>
      </c>
      <c r="V4" s="78"/>
      <c r="W4" s="241"/>
      <c r="X4" s="247"/>
      <c r="Y4" s="75"/>
    </row>
    <row r="5" spans="1:39" x14ac:dyDescent="0.2">
      <c r="B5" s="2790"/>
      <c r="C5" s="2792"/>
      <c r="D5" s="299" t="s">
        <v>16</v>
      </c>
      <c r="E5" s="300" t="s">
        <v>17</v>
      </c>
      <c r="F5" s="300" t="s">
        <v>18</v>
      </c>
      <c r="G5" s="300" t="s">
        <v>88</v>
      </c>
      <c r="H5" s="2787"/>
      <c r="I5" s="300" t="s">
        <v>16</v>
      </c>
      <c r="J5" s="300" t="s">
        <v>17</v>
      </c>
      <c r="K5" s="300" t="s">
        <v>18</v>
      </c>
      <c r="L5" s="300" t="s">
        <v>88</v>
      </c>
      <c r="M5" s="2782"/>
      <c r="N5" s="299" t="s">
        <v>16</v>
      </c>
      <c r="O5" s="300" t="s">
        <v>17</v>
      </c>
      <c r="P5" s="301" t="s">
        <v>18</v>
      </c>
      <c r="Q5" s="300" t="s">
        <v>16</v>
      </c>
      <c r="R5" s="300" t="s">
        <v>17</v>
      </c>
      <c r="S5" s="300" t="s">
        <v>18</v>
      </c>
      <c r="T5" s="300" t="s">
        <v>88</v>
      </c>
      <c r="U5" s="2787"/>
      <c r="V5" s="243"/>
      <c r="Y5" s="75"/>
    </row>
    <row r="6" spans="1:39" ht="12.75" customHeight="1" outlineLevel="1" x14ac:dyDescent="0.2">
      <c r="A6" s="459"/>
      <c r="B6" s="466" t="s">
        <v>25</v>
      </c>
      <c r="C6" s="642" t="s">
        <v>42</v>
      </c>
      <c r="D6" s="641"/>
      <c r="E6" s="27"/>
      <c r="F6" s="27"/>
      <c r="G6" s="27"/>
      <c r="H6" s="271"/>
      <c r="I6" s="29">
        <f>Vic!G154</f>
        <v>0</v>
      </c>
      <c r="J6" s="29">
        <f>Vic!H154</f>
        <v>0</v>
      </c>
      <c r="K6" s="29">
        <f>Vic!I154</f>
        <v>160128</v>
      </c>
      <c r="L6" s="29">
        <f t="shared" ref="L6:L26" si="0">SUM(I6:K6)</f>
        <v>160128</v>
      </c>
      <c r="M6" s="959">
        <f t="shared" ref="M6:M26" si="1">L6/Pop_Vic*1000</f>
        <v>27.20232801698107</v>
      </c>
      <c r="N6" s="907"/>
      <c r="O6" s="907"/>
      <c r="P6" s="908"/>
      <c r="Q6" s="916"/>
      <c r="R6" s="917"/>
      <c r="S6" s="917"/>
      <c r="T6" s="918"/>
      <c r="U6" s="922"/>
      <c r="V6" s="78"/>
      <c r="AH6" s="245"/>
      <c r="AI6" s="78"/>
      <c r="AJ6" s="78"/>
      <c r="AK6" s="78"/>
      <c r="AL6" s="78"/>
      <c r="AM6" s="78"/>
    </row>
    <row r="7" spans="1:39" ht="12.75" customHeight="1" outlineLevel="1" x14ac:dyDescent="0.2">
      <c r="A7" s="459"/>
      <c r="B7" s="467" t="str">
        <f>B6</f>
        <v>Masonry materials</v>
      </c>
      <c r="C7" s="643" t="s">
        <v>44</v>
      </c>
      <c r="D7" s="27"/>
      <c r="E7" s="27"/>
      <c r="F7" s="27"/>
      <c r="G7" s="27"/>
      <c r="H7" s="271"/>
      <c r="I7" s="29">
        <f>Vic!G155</f>
        <v>15</v>
      </c>
      <c r="J7" s="29">
        <f>Vic!H155</f>
        <v>514</v>
      </c>
      <c r="K7" s="29">
        <f>Vic!I155</f>
        <v>325211</v>
      </c>
      <c r="L7" s="29">
        <f t="shared" si="0"/>
        <v>325740</v>
      </c>
      <c r="M7" s="272">
        <f t="shared" si="1"/>
        <v>55.336270535143221</v>
      </c>
      <c r="N7" s="907"/>
      <c r="O7" s="907"/>
      <c r="P7" s="908"/>
      <c r="Q7" s="465"/>
      <c r="R7" s="914"/>
      <c r="S7" s="914"/>
      <c r="T7" s="919"/>
      <c r="U7" s="922"/>
      <c r="V7" s="78"/>
    </row>
    <row r="8" spans="1:39" ht="12.75" customHeight="1" outlineLevel="1" x14ac:dyDescent="0.2">
      <c r="A8" s="459"/>
      <c r="B8" s="467" t="str">
        <f t="shared" ref="B8:B15" si="2">B7</f>
        <v>Masonry materials</v>
      </c>
      <c r="C8" s="643" t="s">
        <v>46</v>
      </c>
      <c r="D8" s="27"/>
      <c r="E8" s="27"/>
      <c r="F8" s="27"/>
      <c r="G8" s="27"/>
      <c r="H8" s="271"/>
      <c r="I8" s="29">
        <f>Vic!G156</f>
        <v>1440</v>
      </c>
      <c r="J8" s="29">
        <f>Vic!H156</f>
        <v>7212</v>
      </c>
      <c r="K8" s="29">
        <f>Vic!I156</f>
        <v>1729672</v>
      </c>
      <c r="L8" s="29">
        <f t="shared" si="0"/>
        <v>1738324</v>
      </c>
      <c r="M8" s="272">
        <f t="shared" si="1"/>
        <v>295.30412949509514</v>
      </c>
      <c r="N8" s="907"/>
      <c r="O8" s="907"/>
      <c r="P8" s="908"/>
      <c r="Q8" s="465"/>
      <c r="R8" s="914"/>
      <c r="S8" s="914"/>
      <c r="T8" s="919"/>
      <c r="U8" s="922"/>
      <c r="V8" s="80"/>
    </row>
    <row r="9" spans="1:39" ht="12.75" customHeight="1" outlineLevel="1" x14ac:dyDescent="0.2">
      <c r="A9" s="459"/>
      <c r="B9" s="467" t="str">
        <f t="shared" si="2"/>
        <v>Masonry materials</v>
      </c>
      <c r="C9" s="643" t="s">
        <v>47</v>
      </c>
      <c r="D9" s="27"/>
      <c r="E9" s="27"/>
      <c r="F9" s="27"/>
      <c r="G9" s="27"/>
      <c r="H9" s="271"/>
      <c r="I9" s="29">
        <f>Vic!G157</f>
        <v>36</v>
      </c>
      <c r="J9" s="29">
        <f>Vic!H157</f>
        <v>32227</v>
      </c>
      <c r="K9" s="29">
        <f>Vic!I157</f>
        <v>1032234</v>
      </c>
      <c r="L9" s="29">
        <f t="shared" si="0"/>
        <v>1064497</v>
      </c>
      <c r="M9" s="272">
        <f t="shared" si="1"/>
        <v>180.83531029608997</v>
      </c>
      <c r="N9" s="907"/>
      <c r="O9" s="907"/>
      <c r="P9" s="908"/>
      <c r="Q9" s="465"/>
      <c r="R9" s="914"/>
      <c r="S9" s="914"/>
      <c r="T9" s="919"/>
      <c r="U9" s="922"/>
      <c r="V9" s="80"/>
    </row>
    <row r="10" spans="1:39" ht="12.75" customHeight="1" outlineLevel="1" x14ac:dyDescent="0.2">
      <c r="A10" s="459"/>
      <c r="B10" s="467" t="str">
        <f t="shared" si="2"/>
        <v>Masonry materials</v>
      </c>
      <c r="C10" s="643" t="s">
        <v>49</v>
      </c>
      <c r="D10" s="27"/>
      <c r="E10" s="27"/>
      <c r="F10" s="27"/>
      <c r="G10" s="27"/>
      <c r="H10" s="280"/>
      <c r="I10" s="29">
        <f>Vic!G158</f>
        <v>1</v>
      </c>
      <c r="J10" s="29">
        <f>Vic!H158</f>
        <v>37971</v>
      </c>
      <c r="K10" s="29">
        <f>Vic!I158</f>
        <v>40</v>
      </c>
      <c r="L10" s="29">
        <f t="shared" si="0"/>
        <v>38012</v>
      </c>
      <c r="M10" s="272">
        <f t="shared" si="1"/>
        <v>6.4574271369247382</v>
      </c>
      <c r="N10" s="907"/>
      <c r="O10" s="907"/>
      <c r="P10" s="908"/>
      <c r="Q10" s="465"/>
      <c r="R10" s="914"/>
      <c r="S10" s="914"/>
      <c r="T10" s="919"/>
      <c r="U10" s="922"/>
      <c r="V10" s="80"/>
    </row>
    <row r="11" spans="1:39" s="501" customFormat="1" ht="15" x14ac:dyDescent="0.25">
      <c r="A11" s="499"/>
      <c r="B11" s="465" t="str">
        <f t="shared" si="2"/>
        <v>Masonry materials</v>
      </c>
      <c r="C11" s="644" t="s">
        <v>115</v>
      </c>
      <c r="D11" s="237">
        <f>Vic!G86</f>
        <v>33261.756906077346</v>
      </c>
      <c r="E11" s="237">
        <f>Vic!H86</f>
        <v>166699.41518987343</v>
      </c>
      <c r="F11" s="237">
        <f>Vic!I86</f>
        <v>731701.43001007056</v>
      </c>
      <c r="G11" s="237">
        <f>SUM(D11:F11)</f>
        <v>931662.60210602137</v>
      </c>
      <c r="H11" s="275">
        <f>G11/Pop_Vic*1000</f>
        <v>158.26958248177777</v>
      </c>
      <c r="I11" s="237">
        <f>SUM(I6:I10)</f>
        <v>1492</v>
      </c>
      <c r="J11" s="237">
        <f>SUM(J6:J10)</f>
        <v>77924</v>
      </c>
      <c r="K11" s="237">
        <f>SUM(K6:K10)</f>
        <v>3247285</v>
      </c>
      <c r="L11" s="237">
        <f t="shared" si="0"/>
        <v>3326701</v>
      </c>
      <c r="M11" s="273">
        <f t="shared" si="1"/>
        <v>565.13546548023419</v>
      </c>
      <c r="N11" s="907"/>
      <c r="O11" s="907"/>
      <c r="P11" s="908"/>
      <c r="Q11" s="920"/>
      <c r="R11" s="915"/>
      <c r="S11" s="915"/>
      <c r="T11" s="921"/>
      <c r="U11" s="923"/>
      <c r="V11" s="500"/>
    </row>
    <row r="12" spans="1:39" ht="12.75" customHeight="1" outlineLevel="1" x14ac:dyDescent="0.2">
      <c r="A12" s="459"/>
      <c r="B12" s="464" t="s">
        <v>28</v>
      </c>
      <c r="C12" s="645" t="s">
        <v>56</v>
      </c>
      <c r="D12" s="961"/>
      <c r="E12" s="961"/>
      <c r="F12" s="961"/>
      <c r="G12" s="961"/>
      <c r="H12" s="962"/>
      <c r="I12" s="963">
        <f>Vic!G159</f>
        <v>380107</v>
      </c>
      <c r="J12" s="963">
        <f>Vic!H159</f>
        <v>542562.06305835373</v>
      </c>
      <c r="K12" s="963">
        <f>Vic!I159</f>
        <v>314034.16668494057</v>
      </c>
      <c r="L12" s="963">
        <f t="shared" si="0"/>
        <v>1236703.2297432944</v>
      </c>
      <c r="M12" s="964">
        <f t="shared" si="1"/>
        <v>210.08947164229238</v>
      </c>
      <c r="N12" s="910"/>
      <c r="O12" s="910"/>
      <c r="P12" s="911"/>
      <c r="Q12" s="464"/>
      <c r="R12" s="912"/>
      <c r="S12" s="912"/>
      <c r="T12" s="925"/>
      <c r="U12" s="926"/>
      <c r="V12" s="80"/>
    </row>
    <row r="13" spans="1:39" ht="12.75" customHeight="1" outlineLevel="1" x14ac:dyDescent="0.2">
      <c r="A13" s="459"/>
      <c r="B13" s="468" t="str">
        <f t="shared" si="2"/>
        <v>Metals</v>
      </c>
      <c r="C13" s="645" t="s">
        <v>52</v>
      </c>
      <c r="D13" s="27"/>
      <c r="E13" s="27"/>
      <c r="F13" s="27"/>
      <c r="G13" s="27"/>
      <c r="H13" s="280"/>
      <c r="I13" s="29">
        <f>Vic!G160</f>
        <v>0</v>
      </c>
      <c r="J13" s="29">
        <f>Vic!H160</f>
        <v>101589.65025466893</v>
      </c>
      <c r="K13" s="29">
        <f>Vic!I160</f>
        <v>1.0000355600861739</v>
      </c>
      <c r="L13" s="29">
        <f t="shared" si="0"/>
        <v>101590.65029022902</v>
      </c>
      <c r="M13" s="272">
        <f t="shared" si="1"/>
        <v>17.258082238292008</v>
      </c>
      <c r="N13" s="910"/>
      <c r="O13" s="910"/>
      <c r="P13" s="911"/>
      <c r="Q13" s="464"/>
      <c r="R13" s="912"/>
      <c r="S13" s="912"/>
      <c r="T13" s="925"/>
      <c r="U13" s="926"/>
      <c r="V13" s="80"/>
    </row>
    <row r="14" spans="1:39" ht="12.75" customHeight="1" outlineLevel="1" x14ac:dyDescent="0.2">
      <c r="A14" s="459"/>
      <c r="B14" s="468" t="str">
        <f t="shared" si="2"/>
        <v>Metals</v>
      </c>
      <c r="C14" s="645" t="s">
        <v>54</v>
      </c>
      <c r="D14" s="27"/>
      <c r="E14" s="27"/>
      <c r="F14" s="27"/>
      <c r="G14" s="27"/>
      <c r="H14" s="280"/>
      <c r="I14" s="29">
        <f>Vic!G161</f>
        <v>15623</v>
      </c>
      <c r="J14" s="29">
        <f>Vic!H161</f>
        <v>35806.286686977357</v>
      </c>
      <c r="K14" s="29">
        <f>Vic!I161</f>
        <v>23433.833279499311</v>
      </c>
      <c r="L14" s="29">
        <f t="shared" si="0"/>
        <v>74863.119966476661</v>
      </c>
      <c r="M14" s="272">
        <f t="shared" si="1"/>
        <v>12.717645544206528</v>
      </c>
      <c r="N14" s="910"/>
      <c r="O14" s="910"/>
      <c r="P14" s="911"/>
      <c r="Q14" s="464"/>
      <c r="R14" s="912"/>
      <c r="S14" s="912"/>
      <c r="T14" s="925"/>
      <c r="U14" s="926"/>
      <c r="V14" s="80"/>
    </row>
    <row r="15" spans="1:39" s="247" customFormat="1" x14ac:dyDescent="0.2">
      <c r="A15" s="459"/>
      <c r="B15" s="464" t="str">
        <f t="shared" si="2"/>
        <v>Metals</v>
      </c>
      <c r="C15" s="646" t="s">
        <v>115</v>
      </c>
      <c r="D15" s="966">
        <f>Vic!G87</f>
        <v>43496.143646408847</v>
      </c>
      <c r="E15" s="966">
        <f>Vic!H87</f>
        <v>31615.406329113921</v>
      </c>
      <c r="F15" s="966">
        <f>Vic!I87</f>
        <v>6402.3875125881168</v>
      </c>
      <c r="G15" s="966">
        <f t="shared" ref="G15:G21" si="3">SUM(D15:F15)</f>
        <v>81513.937488110882</v>
      </c>
      <c r="H15" s="967">
        <f t="shared" ref="H15:H21" si="4">G15/Pop_Vic*1000</f>
        <v>13.84747742747853</v>
      </c>
      <c r="I15" s="966">
        <f>SUM(I12:I14)</f>
        <v>395730</v>
      </c>
      <c r="J15" s="966">
        <f>SUM(J12:J14)</f>
        <v>679958</v>
      </c>
      <c r="K15" s="966">
        <f>SUM(K12:K14)</f>
        <v>337469</v>
      </c>
      <c r="L15" s="966">
        <f t="shared" si="0"/>
        <v>1413157</v>
      </c>
      <c r="M15" s="968">
        <f t="shared" si="1"/>
        <v>240.0651994247909</v>
      </c>
      <c r="N15" s="910"/>
      <c r="O15" s="910"/>
      <c r="P15" s="911"/>
      <c r="Q15" s="927"/>
      <c r="R15" s="913"/>
      <c r="S15" s="913"/>
      <c r="T15" s="928"/>
      <c r="U15" s="929"/>
      <c r="V15" s="246"/>
    </row>
    <row r="16" spans="1:39" ht="12.75" customHeight="1" outlineLevel="1" x14ac:dyDescent="0.2">
      <c r="A16" s="459"/>
      <c r="B16" s="465" t="s">
        <v>22</v>
      </c>
      <c r="C16" s="643" t="s">
        <v>61</v>
      </c>
      <c r="D16" s="29">
        <f>Vic!G88</f>
        <v>642804.06297812716</v>
      </c>
      <c r="E16" s="29">
        <f>Vic!H88</f>
        <v>171493.03127735067</v>
      </c>
      <c r="F16" s="29">
        <f>Vic!I88</f>
        <v>0</v>
      </c>
      <c r="G16" s="29">
        <f t="shared" si="3"/>
        <v>814297.09425547789</v>
      </c>
      <c r="H16" s="283">
        <f t="shared" si="4"/>
        <v>138.33168878155013</v>
      </c>
      <c r="I16" s="29">
        <f>Vic!G162</f>
        <v>15299</v>
      </c>
      <c r="J16" s="29">
        <f>Vic!H162</f>
        <v>65715</v>
      </c>
      <c r="K16" s="29">
        <f>Vic!I162</f>
        <v>0</v>
      </c>
      <c r="L16" s="29">
        <f t="shared" si="0"/>
        <v>81014</v>
      </c>
      <c r="M16" s="272">
        <f t="shared" si="1"/>
        <v>13.762548723319497</v>
      </c>
      <c r="N16" s="29">
        <f>'Other national data'!G347</f>
        <v>278290.74365170707</v>
      </c>
      <c r="O16" s="29">
        <f>'Other national data'!H347</f>
        <v>74244.899735307568</v>
      </c>
      <c r="P16" s="28">
        <f>'Other national data'!I347</f>
        <v>0</v>
      </c>
      <c r="Q16" s="29">
        <f t="shared" ref="Q16:S19" si="5">N16</f>
        <v>278290.74365170707</v>
      </c>
      <c r="R16" s="29">
        <f t="shared" si="5"/>
        <v>74244.899735307568</v>
      </c>
      <c r="S16" s="29">
        <f t="shared" si="5"/>
        <v>0</v>
      </c>
      <c r="T16" s="29">
        <f>SUM(Q16:S16)</f>
        <v>352535.64338701463</v>
      </c>
      <c r="U16" s="272">
        <f t="shared" ref="U16:U21" si="6">T16/Pop_Vic*1000</f>
        <v>59.888278184271556</v>
      </c>
      <c r="V16" s="80"/>
    </row>
    <row r="17" spans="1:22" ht="12.75" customHeight="1" outlineLevel="1" x14ac:dyDescent="0.2">
      <c r="A17" s="459"/>
      <c r="B17" s="467" t="str">
        <f>B16</f>
        <v>Organics</v>
      </c>
      <c r="C17" s="643" t="s">
        <v>63</v>
      </c>
      <c r="D17" s="29">
        <f>Vic!G89</f>
        <v>173332.59638891308</v>
      </c>
      <c r="E17" s="29">
        <f>Vic!H89</f>
        <v>92091.769304500791</v>
      </c>
      <c r="F17" s="29">
        <f>Vic!I89</f>
        <v>22607.595330340981</v>
      </c>
      <c r="G17" s="29">
        <f t="shared" si="3"/>
        <v>288031.96102375485</v>
      </c>
      <c r="H17" s="283">
        <f t="shared" si="4"/>
        <v>48.930479885731955</v>
      </c>
      <c r="I17" s="29">
        <f>Vic!G163</f>
        <v>363405</v>
      </c>
      <c r="J17" s="29">
        <f>Vic!H163</f>
        <v>14199</v>
      </c>
      <c r="K17" s="29">
        <f>Vic!I163</f>
        <v>2739</v>
      </c>
      <c r="L17" s="29">
        <f t="shared" si="0"/>
        <v>380343</v>
      </c>
      <c r="M17" s="272">
        <f t="shared" si="1"/>
        <v>64.612154307570393</v>
      </c>
      <c r="N17" s="29">
        <f>'Other national data'!G348</f>
        <v>16003.558307219537</v>
      </c>
      <c r="O17" s="29">
        <f>'Other national data'!H348</f>
        <v>8502.7053790435111</v>
      </c>
      <c r="P17" s="28">
        <f>'Other national data'!I348</f>
        <v>2087.3279324988989</v>
      </c>
      <c r="Q17" s="29">
        <f t="shared" si="5"/>
        <v>16003.558307219537</v>
      </c>
      <c r="R17" s="29">
        <f t="shared" si="5"/>
        <v>8502.7053790435111</v>
      </c>
      <c r="S17" s="29">
        <f t="shared" si="5"/>
        <v>2087.3279324988989</v>
      </c>
      <c r="T17" s="29">
        <f>SUM(Q17:S17)</f>
        <v>26593.591618761944</v>
      </c>
      <c r="U17" s="272">
        <f t="shared" si="6"/>
        <v>4.5176833680755459</v>
      </c>
      <c r="V17" s="248"/>
    </row>
    <row r="18" spans="1:22" ht="12.75" customHeight="1" outlineLevel="1" x14ac:dyDescent="0.2">
      <c r="A18" s="459"/>
      <c r="B18" s="467" t="str">
        <f>B17</f>
        <v>Organics</v>
      </c>
      <c r="C18" s="643" t="s">
        <v>67</v>
      </c>
      <c r="D18" s="29">
        <f>Vic!G90</f>
        <v>7082.2135682930921</v>
      </c>
      <c r="E18" s="29">
        <f>Vic!H90</f>
        <v>172371.46420899773</v>
      </c>
      <c r="F18" s="29">
        <f>Vic!I90</f>
        <v>99579.938917423598</v>
      </c>
      <c r="G18" s="29">
        <f t="shared" si="3"/>
        <v>279033.61669471441</v>
      </c>
      <c r="H18" s="283">
        <f t="shared" si="4"/>
        <v>47.401853324179321</v>
      </c>
      <c r="I18" s="29">
        <f>Vic!G164</f>
        <v>18017</v>
      </c>
      <c r="J18" s="29">
        <f>Vic!H164</f>
        <v>293865</v>
      </c>
      <c r="K18" s="29">
        <f>Vic!I164</f>
        <v>36460</v>
      </c>
      <c r="L18" s="29">
        <f t="shared" si="0"/>
        <v>348342</v>
      </c>
      <c r="M18" s="272">
        <f t="shared" si="1"/>
        <v>59.175867718895006</v>
      </c>
      <c r="N18" s="29">
        <f>'Other national data'!G349</f>
        <v>593.57648695552609</v>
      </c>
      <c r="O18" s="29">
        <f>'Other national data'!H349</f>
        <v>14446.845917584562</v>
      </c>
      <c r="P18" s="28">
        <f>'Other national data'!I349</f>
        <v>8346.0220090617895</v>
      </c>
      <c r="Q18" s="29">
        <f t="shared" si="5"/>
        <v>593.57648695552609</v>
      </c>
      <c r="R18" s="29">
        <f t="shared" si="5"/>
        <v>14446.845917584562</v>
      </c>
      <c r="S18" s="29">
        <f t="shared" si="5"/>
        <v>8346.0220090617895</v>
      </c>
      <c r="T18" s="29">
        <f>SUM(Q18:S18)</f>
        <v>23386.444413601879</v>
      </c>
      <c r="U18" s="272">
        <f t="shared" si="6"/>
        <v>3.9728575395289569</v>
      </c>
      <c r="V18" s="74"/>
    </row>
    <row r="19" spans="1:22" ht="12.75" customHeight="1" outlineLevel="1" x14ac:dyDescent="0.2">
      <c r="A19" s="459"/>
      <c r="B19" s="467" t="str">
        <f>B18</f>
        <v>Organics</v>
      </c>
      <c r="C19" s="643" t="s">
        <v>65</v>
      </c>
      <c r="D19" s="29">
        <f>Vic!G91</f>
        <v>0</v>
      </c>
      <c r="E19" s="29">
        <f>Vic!H91</f>
        <v>5171.2713769912662</v>
      </c>
      <c r="F19" s="29">
        <f>Vic!I91</f>
        <v>0</v>
      </c>
      <c r="G19" s="29">
        <f t="shared" si="3"/>
        <v>5171.2713769912662</v>
      </c>
      <c r="H19" s="283">
        <f t="shared" si="4"/>
        <v>0.8784885857672724</v>
      </c>
      <c r="I19" s="29">
        <f>Vic!G165</f>
        <v>18452</v>
      </c>
      <c r="J19" s="29">
        <f>Vic!H165</f>
        <v>185229</v>
      </c>
      <c r="K19" s="29">
        <f>Vic!I165</f>
        <v>0</v>
      </c>
      <c r="L19" s="29">
        <f t="shared" si="0"/>
        <v>203681</v>
      </c>
      <c r="M19" s="272">
        <f t="shared" si="1"/>
        <v>34.601052737976623</v>
      </c>
      <c r="N19" s="29">
        <f>'Other national data'!G350</f>
        <v>0</v>
      </c>
      <c r="O19" s="29">
        <f>'Other national data'!H350</f>
        <v>576.9843192112653</v>
      </c>
      <c r="P19" s="28">
        <f>'Other national data'!I350</f>
        <v>0</v>
      </c>
      <c r="Q19" s="29">
        <f t="shared" si="5"/>
        <v>0</v>
      </c>
      <c r="R19" s="29">
        <f t="shared" si="5"/>
        <v>576.9843192112653</v>
      </c>
      <c r="S19" s="29">
        <f t="shared" si="5"/>
        <v>0</v>
      </c>
      <c r="T19" s="29">
        <f>SUM(Q19:S19)</f>
        <v>576.9843192112653</v>
      </c>
      <c r="U19" s="272">
        <f t="shared" si="6"/>
        <v>9.8017315596518731E-2</v>
      </c>
      <c r="V19" s="74"/>
    </row>
    <row r="20" spans="1:22" ht="12.75" customHeight="1" outlineLevel="1" x14ac:dyDescent="0.2">
      <c r="A20" s="459"/>
      <c r="B20" s="467" t="str">
        <f>B19</f>
        <v>Organics</v>
      </c>
      <c r="C20" s="643" t="s">
        <v>903</v>
      </c>
      <c r="D20" s="29">
        <v>0</v>
      </c>
      <c r="E20" s="29">
        <v>0</v>
      </c>
      <c r="F20" s="29">
        <v>0</v>
      </c>
      <c r="G20" s="29">
        <f t="shared" si="3"/>
        <v>0</v>
      </c>
      <c r="H20" s="283">
        <f t="shared" si="4"/>
        <v>0</v>
      </c>
      <c r="I20" s="29">
        <v>0</v>
      </c>
      <c r="J20" s="29">
        <v>0</v>
      </c>
      <c r="K20" s="29">
        <v>0</v>
      </c>
      <c r="L20" s="29">
        <f>SUM(I20:K20)</f>
        <v>0</v>
      </c>
      <c r="M20" s="272">
        <f t="shared" si="1"/>
        <v>0</v>
      </c>
      <c r="N20" s="282">
        <v>0</v>
      </c>
      <c r="O20" s="29">
        <v>0</v>
      </c>
      <c r="P20" s="28">
        <v>0</v>
      </c>
      <c r="Q20" s="27">
        <v>0</v>
      </c>
      <c r="R20" s="27">
        <v>0</v>
      </c>
      <c r="S20" s="27">
        <v>0</v>
      </c>
      <c r="T20" s="29">
        <f>SUM(Q20:S20)</f>
        <v>0</v>
      </c>
      <c r="U20" s="272">
        <f t="shared" si="6"/>
        <v>0</v>
      </c>
      <c r="V20" s="74"/>
    </row>
    <row r="21" spans="1:22" s="247" customFormat="1" x14ac:dyDescent="0.2">
      <c r="A21" s="459"/>
      <c r="B21" s="465" t="str">
        <f>B20</f>
        <v>Organics</v>
      </c>
      <c r="C21" s="644" t="s">
        <v>115</v>
      </c>
      <c r="D21" s="237">
        <f>SUM(D16:D20)</f>
        <v>823218.87293533341</v>
      </c>
      <c r="E21" s="237">
        <f>SUM(E16:E20)</f>
        <v>441127.53616784047</v>
      </c>
      <c r="F21" s="237">
        <f>SUM(F16:F20)</f>
        <v>122187.53424776458</v>
      </c>
      <c r="G21" s="237">
        <f t="shared" si="3"/>
        <v>1386533.9433509384</v>
      </c>
      <c r="H21" s="275">
        <f t="shared" si="4"/>
        <v>235.54251057722868</v>
      </c>
      <c r="I21" s="237">
        <f>SUM(I16:I20)</f>
        <v>415173</v>
      </c>
      <c r="J21" s="237">
        <f>SUM(J16:J20)</f>
        <v>559008</v>
      </c>
      <c r="K21" s="237">
        <f>SUM(K16:K20)</f>
        <v>39199</v>
      </c>
      <c r="L21" s="237">
        <f t="shared" si="0"/>
        <v>1013380</v>
      </c>
      <c r="M21" s="273">
        <f t="shared" si="1"/>
        <v>172.15162348776153</v>
      </c>
      <c r="N21" s="237">
        <f t="shared" ref="N21:S21" si="7">SUM(N16:N20)</f>
        <v>294887.87844588212</v>
      </c>
      <c r="O21" s="237">
        <f t="shared" si="7"/>
        <v>97771.435351146909</v>
      </c>
      <c r="P21" s="238">
        <f t="shared" si="7"/>
        <v>10433.349941560689</v>
      </c>
      <c r="Q21" s="281">
        <f t="shared" si="7"/>
        <v>294887.87844588212</v>
      </c>
      <c r="R21" s="237">
        <f t="shared" si="7"/>
        <v>97771.435351146909</v>
      </c>
      <c r="S21" s="237">
        <f t="shared" si="7"/>
        <v>10433.349941560689</v>
      </c>
      <c r="T21" s="237">
        <f>SUM(N21:P21)</f>
        <v>403092.66373858973</v>
      </c>
      <c r="U21" s="273">
        <f t="shared" si="6"/>
        <v>68.476836407472589</v>
      </c>
      <c r="V21" s="246"/>
    </row>
    <row r="22" spans="1:22" ht="12.75" customHeight="1" outlineLevel="1" x14ac:dyDescent="0.2">
      <c r="A22" s="459"/>
      <c r="B22" s="464" t="s">
        <v>20</v>
      </c>
      <c r="C22" s="645" t="s">
        <v>74</v>
      </c>
      <c r="D22" s="961"/>
      <c r="E22" s="961"/>
      <c r="F22" s="961"/>
      <c r="G22" s="961"/>
      <c r="H22" s="962"/>
      <c r="I22" s="963">
        <f>Vic!G166</f>
        <v>174405</v>
      </c>
      <c r="J22" s="963">
        <f>Vic!H166</f>
        <v>332355.31014188868</v>
      </c>
      <c r="K22" s="963">
        <f>Vic!I166</f>
        <v>0</v>
      </c>
      <c r="L22" s="963">
        <f t="shared" si="0"/>
        <v>506760.31014188868</v>
      </c>
      <c r="M22" s="964">
        <f t="shared" si="1"/>
        <v>86.08775593566844</v>
      </c>
      <c r="N22" s="961"/>
      <c r="O22" s="961"/>
      <c r="P22" s="969"/>
      <c r="Q22" s="961"/>
      <c r="R22" s="961"/>
      <c r="S22" s="961"/>
      <c r="T22" s="961"/>
      <c r="U22" s="970"/>
      <c r="V22" s="74"/>
    </row>
    <row r="23" spans="1:22" ht="12.75" customHeight="1" outlineLevel="1" x14ac:dyDescent="0.2">
      <c r="A23" s="459"/>
      <c r="B23" s="468" t="str">
        <f>B22</f>
        <v>Paper &amp; cardboard</v>
      </c>
      <c r="C23" s="645" t="s">
        <v>89</v>
      </c>
      <c r="D23" s="27"/>
      <c r="E23" s="27"/>
      <c r="F23" s="27"/>
      <c r="G23" s="27"/>
      <c r="H23" s="280"/>
      <c r="I23" s="29">
        <f>Vic!G167</f>
        <v>0</v>
      </c>
      <c r="J23" s="29">
        <f>Vic!H167</f>
        <v>0</v>
      </c>
      <c r="K23" s="29">
        <f>Vic!I167</f>
        <v>0</v>
      </c>
      <c r="L23" s="29">
        <f t="shared" si="0"/>
        <v>0</v>
      </c>
      <c r="M23" s="272">
        <f t="shared" si="1"/>
        <v>0</v>
      </c>
      <c r="N23" s="27"/>
      <c r="O23" s="27"/>
      <c r="P23" s="297"/>
      <c r="Q23" s="27"/>
      <c r="R23" s="27"/>
      <c r="S23" s="27"/>
      <c r="T23" s="27"/>
      <c r="U23" s="271"/>
      <c r="V23" s="74"/>
    </row>
    <row r="24" spans="1:22" ht="12.75" customHeight="1" outlineLevel="1" x14ac:dyDescent="0.2">
      <c r="A24" s="459"/>
      <c r="B24" s="468" t="str">
        <f>B23</f>
        <v>Paper &amp; cardboard</v>
      </c>
      <c r="C24" s="645" t="s">
        <v>76</v>
      </c>
      <c r="D24" s="27"/>
      <c r="E24" s="27"/>
      <c r="F24" s="27"/>
      <c r="G24" s="27"/>
      <c r="H24" s="280"/>
      <c r="I24" s="29">
        <f>Vic!G168</f>
        <v>0</v>
      </c>
      <c r="J24" s="29">
        <f>Vic!H168</f>
        <v>413434.36838313797</v>
      </c>
      <c r="K24" s="29">
        <f>Vic!I168</f>
        <v>0</v>
      </c>
      <c r="L24" s="29">
        <f t="shared" si="0"/>
        <v>413434.36838313797</v>
      </c>
      <c r="M24" s="272">
        <f t="shared" si="1"/>
        <v>70.23367120211023</v>
      </c>
      <c r="N24" s="27"/>
      <c r="O24" s="27"/>
      <c r="P24" s="297"/>
      <c r="Q24" s="27"/>
      <c r="R24" s="27"/>
      <c r="S24" s="27"/>
      <c r="T24" s="27"/>
      <c r="U24" s="271"/>
      <c r="V24" s="74"/>
    </row>
    <row r="25" spans="1:22" ht="12.75" customHeight="1" outlineLevel="1" x14ac:dyDescent="0.2">
      <c r="A25" s="459"/>
      <c r="B25" s="468" t="str">
        <f>B24</f>
        <v>Paper &amp; cardboard</v>
      </c>
      <c r="C25" s="645" t="s">
        <v>79</v>
      </c>
      <c r="D25" s="27"/>
      <c r="E25" s="27"/>
      <c r="F25" s="27"/>
      <c r="G25" s="27"/>
      <c r="H25" s="280"/>
      <c r="I25" s="29">
        <f>Vic!G169</f>
        <v>0</v>
      </c>
      <c r="J25" s="29">
        <f>Vic!H169</f>
        <v>523111.32147497329</v>
      </c>
      <c r="K25" s="29">
        <f>Vic!I169</f>
        <v>0</v>
      </c>
      <c r="L25" s="29">
        <f t="shared" si="0"/>
        <v>523111.32147497329</v>
      </c>
      <c r="M25" s="272">
        <f t="shared" si="1"/>
        <v>88.865443621094727</v>
      </c>
      <c r="N25" s="27"/>
      <c r="O25" s="27"/>
      <c r="P25" s="297"/>
      <c r="Q25" s="27"/>
      <c r="R25" s="27"/>
      <c r="S25" s="27"/>
      <c r="T25" s="27"/>
      <c r="U25" s="271"/>
      <c r="V25" s="74"/>
    </row>
    <row r="26" spans="1:22" s="247" customFormat="1" x14ac:dyDescent="0.2">
      <c r="A26" s="459"/>
      <c r="B26" s="464" t="str">
        <f>B25</f>
        <v>Paper &amp; cardboard</v>
      </c>
      <c r="C26" s="646" t="s">
        <v>115</v>
      </c>
      <c r="D26" s="966">
        <f>Vic!G92</f>
        <v>196967.34831668262</v>
      </c>
      <c r="E26" s="966">
        <f>Vic!H92</f>
        <v>190809.43418377958</v>
      </c>
      <c r="F26" s="966">
        <f>Vic!I92</f>
        <v>5167.7299566818238</v>
      </c>
      <c r="G26" s="966">
        <f>SUM(D26:F26)</f>
        <v>392944.51245714404</v>
      </c>
      <c r="H26" s="967">
        <f>G26/Pop_Vic*1000</f>
        <v>66.752882196317543</v>
      </c>
      <c r="I26" s="966">
        <f>SUM(I22:I25)</f>
        <v>174405</v>
      </c>
      <c r="J26" s="966">
        <f>SUM(J22:J25)</f>
        <v>1268901</v>
      </c>
      <c r="K26" s="966">
        <f>SUM(K22:K25)</f>
        <v>0</v>
      </c>
      <c r="L26" s="966">
        <f t="shared" si="0"/>
        <v>1443306</v>
      </c>
      <c r="M26" s="968">
        <f t="shared" si="1"/>
        <v>245.1868707588734</v>
      </c>
      <c r="N26" s="966">
        <f>'Other national data'!G351</f>
        <v>81919.690357350511</v>
      </c>
      <c r="O26" s="966">
        <f>'Other national data'!H351</f>
        <v>79358.583537739411</v>
      </c>
      <c r="P26" s="971">
        <f>'Other national data'!I351</f>
        <v>2149.2843434188817</v>
      </c>
      <c r="Q26" s="966">
        <f>N26</f>
        <v>81919.690357350511</v>
      </c>
      <c r="R26" s="966">
        <f>O26</f>
        <v>79358.583537739411</v>
      </c>
      <c r="S26" s="966">
        <f>P26</f>
        <v>2149.2843434188817</v>
      </c>
      <c r="T26" s="966">
        <f>SUM(N26:P26)</f>
        <v>163427.55823850879</v>
      </c>
      <c r="U26" s="968">
        <f>T26/Pop_Vic*1000</f>
        <v>27.76285250685822</v>
      </c>
      <c r="V26" s="246"/>
    </row>
    <row r="27" spans="1:22" ht="12.75" customHeight="1" outlineLevel="1" x14ac:dyDescent="0.2">
      <c r="A27" s="459"/>
      <c r="B27" s="465" t="s">
        <v>32</v>
      </c>
      <c r="C27" s="643" t="s">
        <v>90</v>
      </c>
      <c r="D27" s="27"/>
      <c r="E27" s="27"/>
      <c r="F27" s="27"/>
      <c r="G27" s="27"/>
      <c r="H27" s="280"/>
      <c r="I27" s="1480"/>
      <c r="J27" s="1480"/>
      <c r="K27" s="1480"/>
      <c r="L27" s="1480"/>
      <c r="M27" s="1481"/>
      <c r="N27" s="907"/>
      <c r="O27" s="907"/>
      <c r="P27" s="908"/>
      <c r="Q27" s="27"/>
      <c r="R27" s="27"/>
      <c r="S27" s="27"/>
      <c r="T27" s="27"/>
      <c r="U27" s="271"/>
      <c r="V27" s="74"/>
    </row>
    <row r="28" spans="1:22" ht="12.75" customHeight="1" outlineLevel="1" x14ac:dyDescent="0.2">
      <c r="A28" s="459"/>
      <c r="B28" s="467" t="str">
        <f t="shared" ref="B28:B36" si="8">B27</f>
        <v>Plastics</v>
      </c>
      <c r="C28" s="643" t="s">
        <v>91</v>
      </c>
      <c r="D28" s="27"/>
      <c r="E28" s="27"/>
      <c r="F28" s="27"/>
      <c r="G28" s="27"/>
      <c r="H28" s="280"/>
      <c r="I28" s="1480"/>
      <c r="J28" s="1480"/>
      <c r="K28" s="1480"/>
      <c r="L28" s="1480"/>
      <c r="M28" s="1481"/>
      <c r="N28" s="907"/>
      <c r="O28" s="907"/>
      <c r="P28" s="908"/>
      <c r="Q28" s="27"/>
      <c r="R28" s="27"/>
      <c r="S28" s="27"/>
      <c r="T28" s="27"/>
      <c r="U28" s="271"/>
      <c r="V28" s="74"/>
    </row>
    <row r="29" spans="1:22" ht="12.75" customHeight="1" outlineLevel="1" x14ac:dyDescent="0.2">
      <c r="A29" s="459"/>
      <c r="B29" s="467" t="str">
        <f t="shared" si="8"/>
        <v>Plastics</v>
      </c>
      <c r="C29" s="643" t="s">
        <v>92</v>
      </c>
      <c r="D29" s="27"/>
      <c r="E29" s="27"/>
      <c r="F29" s="27"/>
      <c r="G29" s="27"/>
      <c r="H29" s="280"/>
      <c r="I29" s="1480"/>
      <c r="J29" s="1480"/>
      <c r="K29" s="1480"/>
      <c r="L29" s="1480"/>
      <c r="M29" s="1481"/>
      <c r="N29" s="907"/>
      <c r="O29" s="907"/>
      <c r="P29" s="908"/>
      <c r="Q29" s="27"/>
      <c r="R29" s="27"/>
      <c r="S29" s="27"/>
      <c r="T29" s="27"/>
      <c r="U29" s="271"/>
      <c r="V29" s="74"/>
    </row>
    <row r="30" spans="1:22" s="76" customFormat="1" ht="12.75" customHeight="1" outlineLevel="1" x14ac:dyDescent="0.2">
      <c r="A30" s="459"/>
      <c r="B30" s="467" t="str">
        <f t="shared" si="8"/>
        <v>Plastics</v>
      </c>
      <c r="C30" s="647" t="s">
        <v>118</v>
      </c>
      <c r="D30" s="30">
        <f>Vic!G93</f>
        <v>99785.270718232045</v>
      </c>
      <c r="E30" s="30">
        <f>Vic!H93</f>
        <v>106342.73037974683</v>
      </c>
      <c r="F30" s="30">
        <f>Vic!I93</f>
        <v>11890.148237663645</v>
      </c>
      <c r="G30" s="30">
        <f>SUM(D30:F30)</f>
        <v>218018.14933564252</v>
      </c>
      <c r="H30" s="285">
        <f>G30/Pop_Vic*1000</f>
        <v>37.036628271653377</v>
      </c>
      <c r="I30" s="1482"/>
      <c r="J30" s="1482"/>
      <c r="K30" s="1482"/>
      <c r="L30" s="1482"/>
      <c r="M30" s="1483"/>
      <c r="N30" s="907"/>
      <c r="O30" s="907"/>
      <c r="P30" s="908"/>
      <c r="Q30" s="30"/>
      <c r="R30" s="30"/>
      <c r="S30" s="30"/>
      <c r="T30" s="30"/>
      <c r="U30" s="274"/>
    </row>
    <row r="31" spans="1:22" ht="12.75" customHeight="1" outlineLevel="1" x14ac:dyDescent="0.2">
      <c r="A31" s="459"/>
      <c r="B31" s="467" t="str">
        <f t="shared" si="8"/>
        <v>Plastics</v>
      </c>
      <c r="C31" s="643" t="s">
        <v>93</v>
      </c>
      <c r="D31" s="27"/>
      <c r="E31" s="27"/>
      <c r="F31" s="27"/>
      <c r="G31" s="27"/>
      <c r="H31" s="280"/>
      <c r="I31" s="1480"/>
      <c r="J31" s="1480"/>
      <c r="K31" s="1480"/>
      <c r="L31" s="1480"/>
      <c r="M31" s="1481"/>
      <c r="N31" s="907"/>
      <c r="O31" s="907"/>
      <c r="P31" s="908"/>
      <c r="Q31" s="27"/>
      <c r="R31" s="27"/>
      <c r="S31" s="27"/>
      <c r="T31" s="27"/>
      <c r="U31" s="271"/>
      <c r="V31" s="74"/>
    </row>
    <row r="32" spans="1:22" ht="12.75" customHeight="1" outlineLevel="1" x14ac:dyDescent="0.2">
      <c r="A32" s="459"/>
      <c r="B32" s="467" t="str">
        <f t="shared" si="8"/>
        <v>Plastics</v>
      </c>
      <c r="C32" s="643" t="s">
        <v>94</v>
      </c>
      <c r="D32" s="27"/>
      <c r="E32" s="27"/>
      <c r="F32" s="27"/>
      <c r="G32" s="27"/>
      <c r="H32" s="280"/>
      <c r="I32" s="1480"/>
      <c r="J32" s="1480"/>
      <c r="K32" s="1480"/>
      <c r="L32" s="1480"/>
      <c r="M32" s="1481"/>
      <c r="N32" s="907"/>
      <c r="O32" s="907"/>
      <c r="P32" s="908"/>
      <c r="Q32" s="27"/>
      <c r="R32" s="27"/>
      <c r="S32" s="27"/>
      <c r="T32" s="27"/>
      <c r="U32" s="271"/>
      <c r="V32" s="74"/>
    </row>
    <row r="33" spans="1:30" ht="12.75" customHeight="1" outlineLevel="1" x14ac:dyDescent="0.2">
      <c r="A33" s="459"/>
      <c r="B33" s="467" t="str">
        <f t="shared" si="8"/>
        <v>Plastics</v>
      </c>
      <c r="C33" s="643" t="s">
        <v>95</v>
      </c>
      <c r="D33" s="27"/>
      <c r="E33" s="27"/>
      <c r="F33" s="27"/>
      <c r="G33" s="27"/>
      <c r="H33" s="280"/>
      <c r="I33" s="1480"/>
      <c r="J33" s="1480"/>
      <c r="K33" s="1480"/>
      <c r="L33" s="1480"/>
      <c r="M33" s="1481"/>
      <c r="N33" s="907"/>
      <c r="O33" s="907"/>
      <c r="P33" s="908"/>
      <c r="Q33" s="27"/>
      <c r="R33" s="27"/>
      <c r="S33" s="27"/>
      <c r="T33" s="27"/>
      <c r="U33" s="271"/>
      <c r="V33" s="74"/>
    </row>
    <row r="34" spans="1:30" ht="12.75" customHeight="1" outlineLevel="1" x14ac:dyDescent="0.2">
      <c r="A34" s="459"/>
      <c r="B34" s="467" t="str">
        <f t="shared" si="8"/>
        <v>Plastics</v>
      </c>
      <c r="C34" s="643" t="s">
        <v>96</v>
      </c>
      <c r="D34" s="27"/>
      <c r="E34" s="27"/>
      <c r="F34" s="27"/>
      <c r="G34" s="27"/>
      <c r="H34" s="280"/>
      <c r="I34" s="1480"/>
      <c r="J34" s="1480"/>
      <c r="K34" s="1480"/>
      <c r="L34" s="1480"/>
      <c r="M34" s="1481"/>
      <c r="N34" s="907"/>
      <c r="O34" s="907"/>
      <c r="P34" s="908"/>
      <c r="Q34" s="27"/>
      <c r="R34" s="27"/>
      <c r="S34" s="27"/>
      <c r="T34" s="27"/>
      <c r="U34" s="271"/>
      <c r="V34" s="74"/>
    </row>
    <row r="35" spans="1:30" s="76" customFormat="1" ht="12.75" customHeight="1" outlineLevel="1" x14ac:dyDescent="0.2">
      <c r="A35" s="459"/>
      <c r="B35" s="467" t="str">
        <f t="shared" si="8"/>
        <v>Plastics</v>
      </c>
      <c r="C35" s="647" t="s">
        <v>119</v>
      </c>
      <c r="D35" s="30">
        <f>Vic!G94</f>
        <v>138164.22099447515</v>
      </c>
      <c r="E35" s="30">
        <f>Vic!H94</f>
        <v>126461.62531645568</v>
      </c>
      <c r="F35" s="30">
        <f>Vic!I94</f>
        <v>5487.7607250755291</v>
      </c>
      <c r="G35" s="30">
        <f>SUM(D35:F35)</f>
        <v>270113.6070360064</v>
      </c>
      <c r="H35" s="285">
        <f>G35/Pop_Vic*1000</f>
        <v>45.886534150450714</v>
      </c>
      <c r="I35" s="1482"/>
      <c r="J35" s="1482"/>
      <c r="K35" s="1482"/>
      <c r="L35" s="1482"/>
      <c r="M35" s="1483"/>
      <c r="N35" s="907"/>
      <c r="O35" s="907"/>
      <c r="P35" s="908"/>
      <c r="Q35" s="30"/>
      <c r="R35" s="30"/>
      <c r="S35" s="30"/>
      <c r="T35" s="30"/>
      <c r="U35" s="274"/>
    </row>
    <row r="36" spans="1:30" s="247" customFormat="1" x14ac:dyDescent="0.2">
      <c r="A36" s="459"/>
      <c r="B36" s="465" t="str">
        <f t="shared" si="8"/>
        <v>Plastics</v>
      </c>
      <c r="C36" s="644" t="s">
        <v>115</v>
      </c>
      <c r="D36" s="237">
        <f>D30+D35</f>
        <v>237949.49171270721</v>
      </c>
      <c r="E36" s="237">
        <f>E30+E35</f>
        <v>232804.35569620252</v>
      </c>
      <c r="F36" s="237">
        <f>F30+F35</f>
        <v>17377.908962739173</v>
      </c>
      <c r="G36" s="237">
        <f>SUM(D36:F36)</f>
        <v>488131.75637164887</v>
      </c>
      <c r="H36" s="275">
        <f>G36/Pop_Vic*1000</f>
        <v>82.923162422104085</v>
      </c>
      <c r="I36" s="237">
        <f>Vic!G170</f>
        <v>87396.59</v>
      </c>
      <c r="J36" s="237">
        <f>Vic!H170</f>
        <v>71978.25</v>
      </c>
      <c r="K36" s="237">
        <f>Vic!I170</f>
        <v>1159</v>
      </c>
      <c r="L36" s="237">
        <f t="shared" ref="L36:L42" si="9">SUM(I36:K36)</f>
        <v>160533.84</v>
      </c>
      <c r="M36" s="273">
        <f t="shared" ref="M36:M61" si="10">L36/Pop_Vic*1000</f>
        <v>27.271271567156003</v>
      </c>
      <c r="N36" s="907"/>
      <c r="O36" s="907"/>
      <c r="P36" s="908"/>
      <c r="Q36" s="237"/>
      <c r="R36" s="237"/>
      <c r="S36" s="237"/>
      <c r="T36" s="237"/>
      <c r="U36" s="275"/>
    </row>
    <row r="37" spans="1:30" s="76" customFormat="1" x14ac:dyDescent="0.2">
      <c r="A37" s="459"/>
      <c r="B37" s="306" t="s">
        <v>30</v>
      </c>
      <c r="C37" s="648" t="s">
        <v>30</v>
      </c>
      <c r="D37" s="973">
        <f>Vic!G95</f>
        <v>71640.707182320446</v>
      </c>
      <c r="E37" s="973">
        <f>Vic!H95</f>
        <v>28741.278481012658</v>
      </c>
      <c r="F37" s="973">
        <f>Vic!I95</f>
        <v>914.62678751258818</v>
      </c>
      <c r="G37" s="973">
        <f>SUM(D37:F37)</f>
        <v>101296.6124508457</v>
      </c>
      <c r="H37" s="974">
        <f>G37/Pop_Vic*1000</f>
        <v>17.208131487915377</v>
      </c>
      <c r="I37" s="973">
        <f>Vic!G171</f>
        <v>166529</v>
      </c>
      <c r="J37" s="973">
        <f>Vic!H171</f>
        <v>30312</v>
      </c>
      <c r="K37" s="973">
        <f>Vic!I171</f>
        <v>185</v>
      </c>
      <c r="L37" s="973">
        <f t="shared" si="9"/>
        <v>197026</v>
      </c>
      <c r="M37" s="975">
        <f t="shared" si="10"/>
        <v>33.470510340937956</v>
      </c>
      <c r="N37" s="910"/>
      <c r="O37" s="910"/>
      <c r="P37" s="911"/>
      <c r="Q37" s="913"/>
      <c r="R37" s="913"/>
      <c r="S37" s="913"/>
      <c r="T37" s="913"/>
      <c r="U37" s="929"/>
    </row>
    <row r="38" spans="1:30" ht="12.75" customHeight="1" outlineLevel="1" x14ac:dyDescent="0.2">
      <c r="A38" s="459"/>
      <c r="B38" s="465" t="s">
        <v>27</v>
      </c>
      <c r="C38" s="643" t="s">
        <v>83</v>
      </c>
      <c r="D38" s="29"/>
      <c r="E38" s="29"/>
      <c r="F38" s="29"/>
      <c r="G38" s="29"/>
      <c r="H38" s="283"/>
      <c r="I38" s="29">
        <f>Vic!G172</f>
        <v>1508</v>
      </c>
      <c r="J38" s="29">
        <f>Vic!H172</f>
        <v>646</v>
      </c>
      <c r="K38" s="29">
        <f>Vic!I172</f>
        <v>6</v>
      </c>
      <c r="L38" s="29">
        <f t="shared" si="9"/>
        <v>2160</v>
      </c>
      <c r="M38" s="272">
        <f t="shared" si="10"/>
        <v>0.36693787792690291</v>
      </c>
      <c r="N38" s="29"/>
      <c r="O38" s="29"/>
      <c r="P38" s="28"/>
      <c r="Q38" s="29"/>
      <c r="R38" s="29"/>
      <c r="S38" s="29"/>
      <c r="T38" s="29"/>
      <c r="U38" s="272"/>
      <c r="V38" s="74"/>
    </row>
    <row r="39" spans="1:30" ht="12.75" customHeight="1" outlineLevel="1" x14ac:dyDescent="0.2">
      <c r="A39" s="459"/>
      <c r="B39" s="467" t="str">
        <f>B38</f>
        <v>Other</v>
      </c>
      <c r="C39" s="643" t="s">
        <v>568</v>
      </c>
      <c r="D39" s="27"/>
      <c r="E39" s="27"/>
      <c r="F39" s="27"/>
      <c r="G39" s="27"/>
      <c r="H39" s="280"/>
      <c r="I39" s="29">
        <f>Vic!G173</f>
        <v>98</v>
      </c>
      <c r="J39" s="29">
        <f>Vic!H173</f>
        <v>24513</v>
      </c>
      <c r="K39" s="29">
        <f>Vic!I173</f>
        <v>0</v>
      </c>
      <c r="L39" s="29">
        <f t="shared" si="9"/>
        <v>24611</v>
      </c>
      <c r="M39" s="272">
        <f t="shared" si="10"/>
        <v>4.1808833859532442</v>
      </c>
      <c r="N39" s="27"/>
      <c r="O39" s="29"/>
      <c r="P39" s="297"/>
      <c r="Q39" s="27"/>
      <c r="R39" s="29">
        <f>Vic!H181</f>
        <v>0</v>
      </c>
      <c r="S39" s="27"/>
      <c r="T39" s="29"/>
      <c r="U39" s="272"/>
      <c r="V39" s="74"/>
    </row>
    <row r="40" spans="1:30" s="247" customFormat="1" x14ac:dyDescent="0.2">
      <c r="A40" s="459"/>
      <c r="B40" s="465" t="str">
        <f>B39</f>
        <v>Other</v>
      </c>
      <c r="C40" s="644" t="s">
        <v>115</v>
      </c>
      <c r="D40" s="237">
        <f>Vic!G96</f>
        <v>48893.607888575789</v>
      </c>
      <c r="E40" s="237">
        <f>Vic!H96</f>
        <v>66111.335742273804</v>
      </c>
      <c r="F40" s="237">
        <f>Vic!I96</f>
        <v>8415.3805013327365</v>
      </c>
      <c r="G40" s="237">
        <f t="shared" ref="G40:G47" si="11">SUM(D40:F40)</f>
        <v>123420.32413218233</v>
      </c>
      <c r="H40" s="275">
        <f t="shared" ref="H40:H61" si="12">G40/Pop_Vic*1000</f>
        <v>20.966477699126624</v>
      </c>
      <c r="I40" s="237">
        <f>SUM(I38:I39)</f>
        <v>1606</v>
      </c>
      <c r="J40" s="237">
        <f>SUM(J38:J39)</f>
        <v>25159</v>
      </c>
      <c r="K40" s="237">
        <f>SUM(K38:K39)</f>
        <v>6</v>
      </c>
      <c r="L40" s="237">
        <f t="shared" si="9"/>
        <v>26771</v>
      </c>
      <c r="M40" s="273">
        <f t="shared" si="10"/>
        <v>4.547821263880147</v>
      </c>
      <c r="N40" s="237">
        <f>'Other national data'!G352</f>
        <v>20188.502608661791</v>
      </c>
      <c r="O40" s="237">
        <f>'Other national data'!H352</f>
        <v>27297.819321017341</v>
      </c>
      <c r="P40" s="238">
        <f>'Other national data'!I352</f>
        <v>3474.7677363309081</v>
      </c>
      <c r="Q40" s="237">
        <f>N40+SUM(Q38:Q39)</f>
        <v>20188.502608661791</v>
      </c>
      <c r="R40" s="237">
        <f>O40+SUM(R38:R39)</f>
        <v>27297.819321017341</v>
      </c>
      <c r="S40" s="237">
        <f>P40+SUM(S38:S39)</f>
        <v>3474.7677363309081</v>
      </c>
      <c r="T40" s="237">
        <f>SUM(Q40:S40)</f>
        <v>50961.089666010041</v>
      </c>
      <c r="U40" s="273">
        <f>T40/Pop_Vic*1000</f>
        <v>8.6572009717075673</v>
      </c>
      <c r="V40" s="246"/>
      <c r="Z40" s="74"/>
      <c r="AA40" s="74"/>
      <c r="AB40" s="74"/>
      <c r="AC40" s="74"/>
      <c r="AD40" s="74"/>
    </row>
    <row r="41" spans="1:30" outlineLevel="1" x14ac:dyDescent="0.2">
      <c r="A41" s="459"/>
      <c r="B41" s="454" t="s">
        <v>35</v>
      </c>
      <c r="C41" s="1079" t="s">
        <v>867</v>
      </c>
      <c r="D41" s="1073"/>
      <c r="E41" s="963">
        <f>Vic!$G188*'Other national data'!I447</f>
        <v>6.0199094238119574E-2</v>
      </c>
      <c r="F41" s="963">
        <f>Vic!$G188*'Other national data'!J447</f>
        <v>0</v>
      </c>
      <c r="G41" s="963">
        <f t="shared" si="11"/>
        <v>6.0199094238119574E-2</v>
      </c>
      <c r="H41" s="964">
        <f t="shared" si="12"/>
        <v>1.0226540691137613E-5</v>
      </c>
      <c r="I41" s="1073"/>
      <c r="J41" s="963">
        <f>Vic!$H188*'Other national data'!I447</f>
        <v>9.8009057618804324E-3</v>
      </c>
      <c r="K41" s="963">
        <f>Vic!$H188*'Other national data'!J447</f>
        <v>0</v>
      </c>
      <c r="L41" s="963">
        <f t="shared" si="9"/>
        <v>9.8009057618804324E-3</v>
      </c>
      <c r="M41" s="964">
        <f t="shared" si="10"/>
        <v>1.6649646120490562E-6</v>
      </c>
      <c r="N41" s="910"/>
      <c r="O41" s="910"/>
      <c r="P41" s="911"/>
      <c r="Q41" s="927"/>
      <c r="R41" s="913"/>
      <c r="S41" s="913"/>
      <c r="T41" s="928"/>
      <c r="U41" s="926"/>
      <c r="V41" s="74"/>
    </row>
    <row r="42" spans="1:30" outlineLevel="1" x14ac:dyDescent="0.2">
      <c r="A42" s="459"/>
      <c r="B42" s="468" t="str">
        <f>B41</f>
        <v>Hazardous</v>
      </c>
      <c r="C42" s="1080" t="s">
        <v>152</v>
      </c>
      <c r="D42" s="910"/>
      <c r="E42" s="29">
        <f>Vic!$G189*'Other national data'!I448</f>
        <v>4264.4283914226871</v>
      </c>
      <c r="F42" s="29">
        <f>Vic!$G189*'Other national data'!J448</f>
        <v>0</v>
      </c>
      <c r="G42" s="29">
        <f t="shared" si="11"/>
        <v>4264.4283914226871</v>
      </c>
      <c r="H42" s="272">
        <f t="shared" si="12"/>
        <v>0.72443532616660977</v>
      </c>
      <c r="I42" s="910"/>
      <c r="J42" s="29">
        <f>Vic!$H189*'Other national data'!I448</f>
        <v>16193.254608577325</v>
      </c>
      <c r="K42" s="29">
        <f>Vic!$H189*'Other national data'!J448</f>
        <v>0</v>
      </c>
      <c r="L42" s="29">
        <f t="shared" si="9"/>
        <v>16193.254608577325</v>
      </c>
      <c r="M42" s="272">
        <f t="shared" si="10"/>
        <v>2.7508881864821317</v>
      </c>
      <c r="N42" s="910"/>
      <c r="O42" s="910"/>
      <c r="P42" s="911"/>
      <c r="Q42" s="927"/>
      <c r="R42" s="913"/>
      <c r="S42" s="913"/>
      <c r="T42" s="928"/>
      <c r="U42" s="926"/>
      <c r="V42" s="74"/>
    </row>
    <row r="43" spans="1:30" outlineLevel="1" x14ac:dyDescent="0.2">
      <c r="A43" s="459"/>
      <c r="B43" s="468" t="str">
        <f t="shared" ref="B43:B60" si="13">B42</f>
        <v>Hazardous</v>
      </c>
      <c r="C43" s="1080" t="s">
        <v>156</v>
      </c>
      <c r="D43" s="910"/>
      <c r="E43" s="29">
        <f>Vic!$G190*'Other national data'!I449</f>
        <v>386.98070770111656</v>
      </c>
      <c r="F43" s="29">
        <f>Vic!$G190*'Other national data'!J449</f>
        <v>0</v>
      </c>
      <c r="G43" s="29">
        <f t="shared" si="11"/>
        <v>386.98070770111656</v>
      </c>
      <c r="H43" s="272">
        <f t="shared" si="12"/>
        <v>6.5739759112267968E-2</v>
      </c>
      <c r="I43" s="910"/>
      <c r="J43" s="29">
        <f>Vic!$H190*'Other national data'!I449</f>
        <v>6326.8782922988858</v>
      </c>
      <c r="K43" s="29">
        <f>Vic!$H190*'Other national data'!J449</f>
        <v>0</v>
      </c>
      <c r="L43" s="29">
        <f>SUM(I43:K43)</f>
        <v>6326.8782922988858</v>
      </c>
      <c r="M43" s="272">
        <f t="shared" si="10"/>
        <v>1.0748015252212688</v>
      </c>
      <c r="N43" s="910"/>
      <c r="O43" s="910"/>
      <c r="P43" s="911"/>
      <c r="Q43" s="927"/>
      <c r="R43" s="913"/>
      <c r="S43" s="913"/>
      <c r="T43" s="928"/>
      <c r="U43" s="926"/>
      <c r="V43" s="74"/>
    </row>
    <row r="44" spans="1:30" outlineLevel="1" x14ac:dyDescent="0.2">
      <c r="A44" s="459"/>
      <c r="B44" s="468" t="str">
        <f t="shared" si="13"/>
        <v>Hazardous</v>
      </c>
      <c r="C44" s="1080" t="s">
        <v>160</v>
      </c>
      <c r="D44" s="910"/>
      <c r="E44" s="29">
        <f>Vic!$G191*'Other national data'!I450</f>
        <v>2055.6099118000975</v>
      </c>
      <c r="F44" s="29">
        <f>Vic!$G191*'Other national data'!J450</f>
        <v>0</v>
      </c>
      <c r="G44" s="29">
        <f t="shared" si="11"/>
        <v>2055.6099118000975</v>
      </c>
      <c r="H44" s="272">
        <f t="shared" si="12"/>
        <v>0.34920423096362774</v>
      </c>
      <c r="I44" s="910"/>
      <c r="J44" s="29">
        <f>Vic!$H191*'Other national data'!I450</f>
        <v>23054.667088199902</v>
      </c>
      <c r="K44" s="29">
        <f>Vic!$H191*'Other national data'!J450</f>
        <v>0</v>
      </c>
      <c r="L44" s="29">
        <f>SUM(I44:K44)</f>
        <v>23054.667088199902</v>
      </c>
      <c r="M44" s="272">
        <f t="shared" si="10"/>
        <v>3.91649565632189</v>
      </c>
      <c r="N44" s="910"/>
      <c r="O44" s="910"/>
      <c r="P44" s="911"/>
      <c r="Q44" s="927"/>
      <c r="R44" s="913"/>
      <c r="S44" s="913"/>
      <c r="T44" s="928"/>
      <c r="U44" s="925"/>
      <c r="V44" s="74"/>
    </row>
    <row r="45" spans="1:30" outlineLevel="1" x14ac:dyDescent="0.2">
      <c r="A45" s="459"/>
      <c r="B45" s="468" t="str">
        <f t="shared" si="13"/>
        <v>Hazardous</v>
      </c>
      <c r="C45" s="1080" t="s">
        <v>210</v>
      </c>
      <c r="D45" s="910"/>
      <c r="E45" s="29">
        <f>Vic!$G192*'Other national data'!I451</f>
        <v>0.12151031267111732</v>
      </c>
      <c r="F45" s="29">
        <f>Vic!$G192*'Other national data'!J451</f>
        <v>0</v>
      </c>
      <c r="G45" s="29">
        <f t="shared" si="11"/>
        <v>0.12151031267111732</v>
      </c>
      <c r="H45" s="272">
        <f t="shared" si="12"/>
        <v>2.0642007536006599E-5</v>
      </c>
      <c r="I45" s="910"/>
      <c r="J45" s="29">
        <f>Vic!$H192*'Other national data'!I451</f>
        <v>11.058489687328882</v>
      </c>
      <c r="K45" s="29">
        <f>Vic!$H192*'Other national data'!J451</f>
        <v>0</v>
      </c>
      <c r="L45" s="29">
        <f>SUM(I45:K45)</f>
        <v>11.058489687328882</v>
      </c>
      <c r="M45" s="272">
        <f t="shared" si="10"/>
        <v>1.8786012680300926E-3</v>
      </c>
      <c r="N45" s="910"/>
      <c r="O45" s="910"/>
      <c r="P45" s="911"/>
      <c r="Q45" s="927"/>
      <c r="R45" s="29">
        <f>Vic!$I192*'Other national data'!I451</f>
        <v>1.118E-13</v>
      </c>
      <c r="S45" s="29">
        <f>Vic!$I192*'Other national data'!J451</f>
        <v>0</v>
      </c>
      <c r="T45" s="29">
        <f>SUM(Q45:S45)</f>
        <v>1.118E-13</v>
      </c>
      <c r="U45" s="272">
        <f>T45/Pop_Vic*1000</f>
        <v>1.8992432755660992E-17</v>
      </c>
      <c r="V45" s="74"/>
    </row>
    <row r="46" spans="1:30" outlineLevel="1" x14ac:dyDescent="0.2">
      <c r="A46" s="459"/>
      <c r="B46" s="468" t="str">
        <f t="shared" si="13"/>
        <v>Hazardous</v>
      </c>
      <c r="C46" s="1080" t="s">
        <v>214</v>
      </c>
      <c r="D46" s="910"/>
      <c r="E46" s="29">
        <f>Vic!$G193*'Other national data'!I452</f>
        <v>60.875010548988833</v>
      </c>
      <c r="F46" s="29">
        <f>Vic!$G193*'Other national data'!J452</f>
        <v>0</v>
      </c>
      <c r="G46" s="29">
        <f t="shared" si="11"/>
        <v>60.875010548988833</v>
      </c>
      <c r="H46" s="272">
        <f t="shared" si="12"/>
        <v>1.0341364439640644E-2</v>
      </c>
      <c r="I46" s="910"/>
      <c r="J46" s="29">
        <f>Vic!$H193*'Other national data'!I452</f>
        <v>15109.776989450998</v>
      </c>
      <c r="K46" s="29">
        <f>Vic!$H193*'Other national data'!J452</f>
        <v>0</v>
      </c>
      <c r="L46" s="29">
        <f>SUM(I46:K46)</f>
        <v>15109.776989450998</v>
      </c>
      <c r="M46" s="272">
        <f t="shared" si="10"/>
        <v>2.5668284742860634</v>
      </c>
      <c r="N46" s="910"/>
      <c r="O46" s="910"/>
      <c r="P46" s="911"/>
      <c r="Q46" s="927"/>
      <c r="R46" s="29">
        <f>Vic!$I193*'Other national data'!I452</f>
        <v>1.5170651999999986E-10</v>
      </c>
      <c r="S46" s="29">
        <f>Vic!$I193*'Other national data'!J452</f>
        <v>0</v>
      </c>
      <c r="T46" s="29">
        <f>SUM(Q46:S46)</f>
        <v>1.5170651999999986E-10</v>
      </c>
      <c r="U46" s="272">
        <f>T46/Pop_Vic*1000</f>
        <v>2.5771698387257038E-14</v>
      </c>
      <c r="V46" s="74"/>
    </row>
    <row r="47" spans="1:30" outlineLevel="1" x14ac:dyDescent="0.2">
      <c r="A47" s="459"/>
      <c r="B47" s="468" t="str">
        <f t="shared" si="13"/>
        <v>Hazardous</v>
      </c>
      <c r="C47" s="1080" t="s">
        <v>220</v>
      </c>
      <c r="D47" s="910"/>
      <c r="E47" s="29">
        <f>Vic!$G194*'Other national data'!I453</f>
        <v>5.3375143367868292</v>
      </c>
      <c r="F47" s="29">
        <f>Vic!$G194*'Other national data'!J453</f>
        <v>0</v>
      </c>
      <c r="G47" s="29">
        <f t="shared" si="11"/>
        <v>5.3375143367868292</v>
      </c>
      <c r="H47" s="272">
        <f t="shared" si="12"/>
        <v>9.0672971488193511E-4</v>
      </c>
      <c r="I47" s="910"/>
      <c r="J47" s="29">
        <f>Vic!$H194*'Other national data'!I453</f>
        <v>3331.9084856632135</v>
      </c>
      <c r="K47" s="29">
        <f>Vic!$H194*'Other national data'!J453</f>
        <v>0</v>
      </c>
      <c r="L47" s="29">
        <f>SUM(I47:K47)</f>
        <v>3331.9084856632135</v>
      </c>
      <c r="M47" s="272">
        <f t="shared" si="10"/>
        <v>0.56602010609995379</v>
      </c>
      <c r="N47" s="910"/>
      <c r="O47" s="910"/>
      <c r="P47" s="911"/>
      <c r="Q47" s="927"/>
      <c r="R47" s="29">
        <f>Vic!$I194*'Other national data'!I453</f>
        <v>3.3372460000000002E-11</v>
      </c>
      <c r="S47" s="29">
        <f>Vic!$I194*'Other national data'!J453</f>
        <v>0</v>
      </c>
      <c r="T47" s="29">
        <f>SUM(Q47:S47)</f>
        <v>3.3372460000000002E-11</v>
      </c>
      <c r="U47" s="272">
        <f>T47/Pop_Vic*1000</f>
        <v>5.6692683581483575E-15</v>
      </c>
      <c r="V47" s="74"/>
    </row>
    <row r="48" spans="1:30" outlineLevel="1" x14ac:dyDescent="0.2">
      <c r="A48" s="459"/>
      <c r="B48" s="468" t="str">
        <f t="shared" si="13"/>
        <v>Hazardous</v>
      </c>
      <c r="C48" s="1080" t="s">
        <v>230</v>
      </c>
      <c r="D48" s="910"/>
      <c r="E48" s="29">
        <f>Vic!$G195*'Other national data'!I454</f>
        <v>81.803356273340384</v>
      </c>
      <c r="F48" s="29">
        <f>Vic!$G195*'Other national data'!J454</f>
        <v>0</v>
      </c>
      <c r="G48" s="29">
        <f t="shared" ref="G48:G55" si="14">SUM(D48:F48)</f>
        <v>81.803356273340384</v>
      </c>
      <c r="H48" s="272">
        <f t="shared" si="12"/>
        <v>1.3896643499184224E-2</v>
      </c>
      <c r="I48" s="910"/>
      <c r="J48" s="29">
        <f>Vic!$H195*'Other national data'!I454</f>
        <v>1138.3576437266595</v>
      </c>
      <c r="K48" s="29">
        <f>Vic!$H195*'Other national data'!J454</f>
        <v>0</v>
      </c>
      <c r="L48" s="29">
        <f t="shared" ref="L48:L55" si="15">SUM(I48:K48)</f>
        <v>1138.3576437266595</v>
      </c>
      <c r="M48" s="272">
        <f t="shared" si="10"/>
        <v>0.1933826565328379</v>
      </c>
      <c r="N48" s="910"/>
      <c r="O48" s="910"/>
      <c r="P48" s="911"/>
      <c r="Q48" s="927"/>
      <c r="R48" s="913"/>
      <c r="S48" s="913"/>
      <c r="T48" s="928"/>
      <c r="U48" s="926"/>
      <c r="V48" s="74"/>
    </row>
    <row r="49" spans="1:47" outlineLevel="1" x14ac:dyDescent="0.2">
      <c r="A49" s="459"/>
      <c r="B49" s="468" t="str">
        <f t="shared" si="13"/>
        <v>Hazardous</v>
      </c>
      <c r="C49" s="1080" t="s">
        <v>238</v>
      </c>
      <c r="D49" s="910"/>
      <c r="E49" s="29">
        <f>Vic!$G196*'Other national data'!I455</f>
        <v>85.184866303955459</v>
      </c>
      <c r="F49" s="29">
        <f>Vic!$G196*'Other national data'!J455</f>
        <v>0</v>
      </c>
      <c r="G49" s="29">
        <f t="shared" si="14"/>
        <v>85.184866303955459</v>
      </c>
      <c r="H49" s="272">
        <f t="shared" si="12"/>
        <v>1.4471089848639053E-2</v>
      </c>
      <c r="I49" s="910"/>
      <c r="J49" s="29">
        <f>Vic!$H196*'Other national data'!I455</f>
        <v>79911.863133696112</v>
      </c>
      <c r="K49" s="29">
        <f>Vic!$H196*'Other national data'!J455</f>
        <v>0</v>
      </c>
      <c r="L49" s="29">
        <f t="shared" si="15"/>
        <v>79911.863133696112</v>
      </c>
      <c r="M49" s="272">
        <f t="shared" si="10"/>
        <v>13.575319203455351</v>
      </c>
      <c r="N49" s="910"/>
      <c r="O49" s="910"/>
      <c r="P49" s="911"/>
      <c r="Q49" s="927"/>
      <c r="R49" s="29">
        <f>Vic!$I196*'Other national data'!I455</f>
        <v>7.9997048000000067E-10</v>
      </c>
      <c r="S49" s="29">
        <f>Vic!$I196*'Other national data'!J455</f>
        <v>0</v>
      </c>
      <c r="T49" s="29">
        <f>SUM(Q49:S49)</f>
        <v>7.9997048000000067E-10</v>
      </c>
      <c r="U49" s="272">
        <f>T49/Pop_Vic*1000</f>
        <v>1.3589790293303991E-13</v>
      </c>
      <c r="V49" s="74"/>
    </row>
    <row r="50" spans="1:47" outlineLevel="1" x14ac:dyDescent="0.2">
      <c r="A50" s="459"/>
      <c r="B50" s="468" t="str">
        <f t="shared" si="13"/>
        <v>Hazardous</v>
      </c>
      <c r="C50" s="1080" t="s">
        <v>246</v>
      </c>
      <c r="D50" s="910"/>
      <c r="E50" s="29">
        <f>Vic!$G197*'Other national data'!I456</f>
        <v>146.83490003747193</v>
      </c>
      <c r="F50" s="29">
        <f>Vic!$G197*'Other national data'!J456</f>
        <v>0</v>
      </c>
      <c r="G50" s="29">
        <f t="shared" si="14"/>
        <v>146.83490003747193</v>
      </c>
      <c r="H50" s="272">
        <f t="shared" si="12"/>
        <v>2.4944114178406883E-2</v>
      </c>
      <c r="I50" s="910"/>
      <c r="J50" s="29">
        <f>Vic!$H197*'Other national data'!I456</f>
        <v>161262.83209996184</v>
      </c>
      <c r="K50" s="29">
        <f>Vic!$H197*'Other national data'!J456</f>
        <v>0</v>
      </c>
      <c r="L50" s="29">
        <f t="shared" si="15"/>
        <v>161262.83209996184</v>
      </c>
      <c r="M50" s="272">
        <f t="shared" si="10"/>
        <v>27.395111758908538</v>
      </c>
      <c r="N50" s="910"/>
      <c r="O50" s="910"/>
      <c r="P50" s="911"/>
      <c r="Q50" s="927"/>
      <c r="R50" s="29">
        <f>Vic!$I197*'Other national data'!I456</f>
        <v>1.6140966699999933E-9</v>
      </c>
      <c r="S50" s="29">
        <f>Vic!$I197*'Other national data'!J456</f>
        <v>0</v>
      </c>
      <c r="T50" s="29">
        <f>SUM(Q50:S50)</f>
        <v>1.6140966699999933E-9</v>
      </c>
      <c r="U50" s="272">
        <f>T50/Pop_Vic*1000</f>
        <v>2.742005587308695E-13</v>
      </c>
      <c r="V50" s="74"/>
    </row>
    <row r="51" spans="1:47" outlineLevel="1" x14ac:dyDescent="0.2">
      <c r="A51" s="459"/>
      <c r="B51" s="468" t="str">
        <f t="shared" si="13"/>
        <v>Hazardous</v>
      </c>
      <c r="C51" s="1080" t="s">
        <v>256</v>
      </c>
      <c r="D51" s="910"/>
      <c r="E51" s="29">
        <f>Vic!$G198*'Other national data'!I457</f>
        <v>17564.946923440824</v>
      </c>
      <c r="F51" s="29">
        <f>Vic!$G198*'Other national data'!J457</f>
        <v>0</v>
      </c>
      <c r="G51" s="29">
        <f t="shared" si="14"/>
        <v>17564.946923440824</v>
      </c>
      <c r="H51" s="272">
        <f t="shared" si="12"/>
        <v>2.9839094212898418</v>
      </c>
      <c r="I51" s="910"/>
      <c r="J51" s="29">
        <f>Vic!$H198*'Other national data'!I457</f>
        <v>517.79907655917123</v>
      </c>
      <c r="K51" s="29">
        <f>Vic!$H198*'Other national data'!J457</f>
        <v>0</v>
      </c>
      <c r="L51" s="29">
        <f t="shared" si="15"/>
        <v>517.79907655917123</v>
      </c>
      <c r="M51" s="272">
        <f t="shared" si="10"/>
        <v>8.7963006641264913E-2</v>
      </c>
      <c r="N51" s="910"/>
      <c r="O51" s="910"/>
      <c r="P51" s="911"/>
      <c r="Q51" s="927"/>
      <c r="R51" s="29">
        <f>Vic!$I198*'Other national data'!I457</f>
        <v>1.8082745999999997E-10</v>
      </c>
      <c r="S51" s="29">
        <f>Vic!$I198*'Other national data'!J457</f>
        <v>0</v>
      </c>
      <c r="T51" s="29">
        <f>SUM(Q51:S51)</f>
        <v>1.8082745999999997E-10</v>
      </c>
      <c r="U51" s="272">
        <f>T51/Pop_Vic*1000</f>
        <v>3.0718724279311069E-14</v>
      </c>
      <c r="V51" s="74"/>
    </row>
    <row r="52" spans="1:47" outlineLevel="1" x14ac:dyDescent="0.2">
      <c r="A52" s="459"/>
      <c r="B52" s="468" t="str">
        <f t="shared" si="13"/>
        <v>Hazardous</v>
      </c>
      <c r="C52" s="1081" t="s">
        <v>343</v>
      </c>
      <c r="D52" s="910"/>
      <c r="E52" s="29">
        <f>Vic!$G199*'Other national data'!I458</f>
        <v>96645.438907979624</v>
      </c>
      <c r="F52" s="29">
        <f>Vic!$G199*'Other national data'!J458</f>
        <v>248516.84290623327</v>
      </c>
      <c r="G52" s="29">
        <f t="shared" si="14"/>
        <v>345162.28181421291</v>
      </c>
      <c r="H52" s="272">
        <f t="shared" si="12"/>
        <v>58.635701495053205</v>
      </c>
      <c r="I52" s="910"/>
      <c r="J52" s="29">
        <f>Vic!$H199*'Other national data'!I458</f>
        <v>4229.7704920204123</v>
      </c>
      <c r="K52" s="29">
        <f>Vic!$H199*'Other national data'!J458</f>
        <v>10876.552693766775</v>
      </c>
      <c r="L52" s="29">
        <f t="shared" si="15"/>
        <v>15106.323185787187</v>
      </c>
      <c r="M52" s="272">
        <f t="shared" si="10"/>
        <v>2.5662417467920009</v>
      </c>
      <c r="N52" s="910"/>
      <c r="O52" s="910"/>
      <c r="P52" s="911"/>
      <c r="Q52" s="927"/>
      <c r="R52" s="29">
        <f>Vic!$I199*'Other national data'!I458</f>
        <v>1.0087520940000005E-9</v>
      </c>
      <c r="S52" s="29">
        <f>Vic!$I199*'Other national data'!J458</f>
        <v>2.5939339560000005E-9</v>
      </c>
      <c r="T52" s="29">
        <f>SUM(Q52:S52)</f>
        <v>3.6026860500000009E-9</v>
      </c>
      <c r="U52" s="272">
        <f>T52/Pop_Vic*1000</f>
        <v>6.1201943241845201E-13</v>
      </c>
      <c r="V52" s="74"/>
    </row>
    <row r="53" spans="1:47" outlineLevel="1" x14ac:dyDescent="0.2">
      <c r="A53" s="459"/>
      <c r="B53" s="468" t="str">
        <f t="shared" si="13"/>
        <v>Hazardous</v>
      </c>
      <c r="C53" s="1081" t="s">
        <v>97</v>
      </c>
      <c r="D53" s="910"/>
      <c r="E53" s="29">
        <f>Vic!$G200*'Other national data'!I459</f>
        <v>36815.30826250479</v>
      </c>
      <c r="F53" s="29">
        <f>Vic!$G200*'Other national data'!J459</f>
        <v>43217.970569027362</v>
      </c>
      <c r="G53" s="29">
        <f t="shared" si="14"/>
        <v>80033.278831532152</v>
      </c>
      <c r="H53" s="272">
        <f t="shared" si="12"/>
        <v>13.595945137951171</v>
      </c>
      <c r="I53" s="910"/>
      <c r="J53" s="29">
        <f>Vic!$H200*'Other national data'!I459</f>
        <v>20.72629749520798</v>
      </c>
      <c r="K53" s="29">
        <f>Vic!$H200*'Other national data'!J459</f>
        <v>24.330870972635459</v>
      </c>
      <c r="L53" s="29">
        <f t="shared" si="15"/>
        <v>45.057168467843439</v>
      </c>
      <c r="M53" s="272">
        <f t="shared" si="10"/>
        <v>7.6542508254562203E-3</v>
      </c>
      <c r="N53" s="910"/>
      <c r="O53" s="910"/>
      <c r="P53" s="911"/>
      <c r="Q53" s="927"/>
      <c r="R53" s="913"/>
      <c r="S53" s="913"/>
      <c r="T53" s="928"/>
      <c r="U53" s="926"/>
      <c r="V53" s="74"/>
    </row>
    <row r="54" spans="1:47" outlineLevel="1" x14ac:dyDescent="0.2">
      <c r="A54" s="459"/>
      <c r="B54" s="468" t="str">
        <f t="shared" si="13"/>
        <v>Hazardous</v>
      </c>
      <c r="C54" s="1081" t="s">
        <v>345</v>
      </c>
      <c r="D54" s="910"/>
      <c r="E54" s="29">
        <f>Vic!$G201*'Other national data'!I460</f>
        <v>13983.639013247712</v>
      </c>
      <c r="F54" s="29">
        <f>Vic!$G201*'Other national data'!J460</f>
        <v>0</v>
      </c>
      <c r="G54" s="29">
        <f t="shared" si="14"/>
        <v>13983.639013247712</v>
      </c>
      <c r="H54" s="272">
        <f t="shared" si="12"/>
        <v>2.3755216783411881</v>
      </c>
      <c r="I54" s="910"/>
      <c r="J54" s="29">
        <f>Vic!$H201*'Other national data'!I460</f>
        <v>449168.80794137256</v>
      </c>
      <c r="K54" s="29">
        <f>Vic!$H201*'Other national data'!J460</f>
        <v>0</v>
      </c>
      <c r="L54" s="29">
        <f t="shared" si="15"/>
        <v>449168.80794137256</v>
      </c>
      <c r="M54" s="272">
        <f t="shared" si="10"/>
        <v>76.304189452298075</v>
      </c>
      <c r="N54" s="910"/>
      <c r="O54" s="910"/>
      <c r="P54" s="911"/>
      <c r="Q54" s="927"/>
      <c r="R54" s="29">
        <f>Vic!$I201*'Other national data'!I460</f>
        <v>0</v>
      </c>
      <c r="S54" s="29">
        <f>Vic!$I201*'Other national data'!J460</f>
        <v>0</v>
      </c>
      <c r="T54" s="29">
        <f t="shared" ref="T54:T59" si="16">SUM(Q54:S54)</f>
        <v>0</v>
      </c>
      <c r="U54" s="272">
        <f t="shared" ref="U54:U59" si="17">T54/Pop_Vic*1000</f>
        <v>0</v>
      </c>
      <c r="V54" s="74"/>
    </row>
    <row r="55" spans="1:47" outlineLevel="1" x14ac:dyDescent="0.2">
      <c r="A55" s="459"/>
      <c r="B55" s="468" t="str">
        <f t="shared" si="13"/>
        <v>Hazardous</v>
      </c>
      <c r="C55" s="1080" t="s">
        <v>297</v>
      </c>
      <c r="D55" s="910"/>
      <c r="E55" s="29">
        <f>Vic!$G202*'Other national data'!I461</f>
        <v>12079.50235185641</v>
      </c>
      <c r="F55" s="29">
        <f>Vic!$G202*'Other national data'!J461</f>
        <v>0</v>
      </c>
      <c r="G55" s="29">
        <f t="shared" si="14"/>
        <v>12079.50235185641</v>
      </c>
      <c r="H55" s="272">
        <f t="shared" si="12"/>
        <v>2.0520495182422334</v>
      </c>
      <c r="I55" s="910"/>
      <c r="J55" s="29">
        <f>Vic!$H202*'Other national data'!I461</f>
        <v>124.25464814363113</v>
      </c>
      <c r="K55" s="29">
        <f>Vic!$H202*'Other national data'!J461</f>
        <v>0</v>
      </c>
      <c r="L55" s="29">
        <f t="shared" si="15"/>
        <v>124.25464814363113</v>
      </c>
      <c r="M55" s="272">
        <f t="shared" si="10"/>
        <v>2.110821153350833E-2</v>
      </c>
      <c r="N55" s="910"/>
      <c r="O55" s="910"/>
      <c r="P55" s="911"/>
      <c r="Q55" s="927"/>
      <c r="R55" s="29">
        <f>Vic!$I202*'Other national data'!I461</f>
        <v>1.2203757000000042E-10</v>
      </c>
      <c r="S55" s="29">
        <f>Vic!$I202*'Other national data'!J461</f>
        <v>0</v>
      </c>
      <c r="T55" s="29">
        <f t="shared" si="16"/>
        <v>1.2203757000000042E-10</v>
      </c>
      <c r="U55" s="272">
        <f t="shared" si="17"/>
        <v>2.0731577297757417E-14</v>
      </c>
      <c r="V55" s="74"/>
    </row>
    <row r="56" spans="1:47" outlineLevel="1" x14ac:dyDescent="0.2">
      <c r="A56" s="459"/>
      <c r="B56" s="468" t="str">
        <f t="shared" si="13"/>
        <v>Hazardous</v>
      </c>
      <c r="C56" s="1274" t="s">
        <v>39</v>
      </c>
      <c r="D56" s="910"/>
      <c r="E56" s="29">
        <f>Vic!$G203*'Other national data'!I462</f>
        <v>32961.703845511569</v>
      </c>
      <c r="F56" s="29">
        <f>Vic!$G203*'Other national data'!J462</f>
        <v>0</v>
      </c>
      <c r="G56" s="29">
        <f t="shared" ref="G56:G61" si="18">SUM(D56:F56)</f>
        <v>32961.703845511569</v>
      </c>
      <c r="H56" s="272">
        <f>G56/Pop_Vic*1000</f>
        <v>5.5994896582995608</v>
      </c>
      <c r="I56" s="910"/>
      <c r="J56" s="29">
        <f>Vic!$H203*'Other national data'!I462</f>
        <v>58856.756271461229</v>
      </c>
      <c r="K56" s="29">
        <f>Vic!$H203*'Other national data'!J462</f>
        <v>0</v>
      </c>
      <c r="L56" s="29">
        <f t="shared" ref="L56:L61" si="19">SUM(I56:K56)</f>
        <v>58856.756271461229</v>
      </c>
      <c r="M56" s="272">
        <f>L56/Pop_Vic*1000</f>
        <v>9.998506133292091</v>
      </c>
      <c r="N56" s="910"/>
      <c r="O56" s="910"/>
      <c r="P56" s="911"/>
      <c r="Q56" s="927"/>
      <c r="R56" s="29">
        <f>Vic!$I203*'Other national data'!I462</f>
        <v>9.1818460116972794E-10</v>
      </c>
      <c r="S56" s="29">
        <f>Vic!$I203*'Other national data'!J462</f>
        <v>0</v>
      </c>
      <c r="T56" s="29">
        <f t="shared" si="16"/>
        <v>9.1818460116972794E-10</v>
      </c>
      <c r="U56" s="272">
        <f t="shared" si="17"/>
        <v>1.5597995791591652E-13</v>
      </c>
      <c r="V56" s="74"/>
    </row>
    <row r="57" spans="1:47" outlineLevel="1" x14ac:dyDescent="0.2">
      <c r="A57" s="459"/>
      <c r="B57" s="468" t="str">
        <f t="shared" si="13"/>
        <v>Hazardous</v>
      </c>
      <c r="C57" s="1274" t="s">
        <v>904</v>
      </c>
      <c r="D57" s="910"/>
      <c r="E57" s="29">
        <f>Vic!$G204*'Other national data'!I463</f>
        <v>17.394037783529271</v>
      </c>
      <c r="F57" s="29">
        <f>Vic!$G204*'Other national data'!J463</f>
        <v>0</v>
      </c>
      <c r="G57" s="29">
        <f t="shared" si="18"/>
        <v>17.394037783529271</v>
      </c>
      <c r="H57" s="272">
        <f>G57/Pop_Vic*1000</f>
        <v>2.9548756078095375E-3</v>
      </c>
      <c r="I57" s="910"/>
      <c r="J57" s="29">
        <f>Vic!$H204*'Other national data'!I463</f>
        <v>470.85296221647377</v>
      </c>
      <c r="K57" s="29">
        <f>Vic!$H204*'Other national data'!J463</f>
        <v>0</v>
      </c>
      <c r="L57" s="29">
        <f t="shared" si="19"/>
        <v>470.85296221647377</v>
      </c>
      <c r="M57" s="272">
        <f>L57/Pop_Vic*1000</f>
        <v>7.9987864245976426E-2</v>
      </c>
      <c r="N57" s="910"/>
      <c r="O57" s="910"/>
      <c r="P57" s="911"/>
      <c r="Q57" s="927"/>
      <c r="R57" s="29">
        <f>Vic!$I204*'Other national data'!I463</f>
        <v>4.8824700000000302E-12</v>
      </c>
      <c r="S57" s="29">
        <f>Vic!$I204*'Other national data'!J463</f>
        <v>0</v>
      </c>
      <c r="T57" s="29">
        <f t="shared" si="16"/>
        <v>4.8824700000000302E-12</v>
      </c>
      <c r="U57" s="272">
        <f t="shared" si="17"/>
        <v>8.2942739853785965E-16</v>
      </c>
      <c r="V57" s="74"/>
    </row>
    <row r="58" spans="1:47" outlineLevel="1" x14ac:dyDescent="0.2">
      <c r="A58" s="459"/>
      <c r="B58" s="468" t="str">
        <f t="shared" si="13"/>
        <v>Hazardous</v>
      </c>
      <c r="C58" s="649" t="s">
        <v>567</v>
      </c>
      <c r="D58" s="1074"/>
      <c r="E58" s="30">
        <f>SUMIF(Hazstate,"Solid",E$41:E$57)</f>
        <v>194558.59633068374</v>
      </c>
      <c r="F58" s="30">
        <f>SUMIF(Hazstate,"Solid",F$41:F$57)</f>
        <v>291734.81347526063</v>
      </c>
      <c r="G58" s="30">
        <f t="shared" si="18"/>
        <v>486293.40980594436</v>
      </c>
      <c r="H58" s="285">
        <f>G58/Pop_Vic*1000</f>
        <v>82.610866594458798</v>
      </c>
      <c r="I58" s="1076"/>
      <c r="J58" s="30">
        <f>SUMIF(Hazstate,"Solid",J$41:J$57)</f>
        <v>535925.83570090949</v>
      </c>
      <c r="K58" s="30">
        <f>SUMIF(Hazstate,"Solid",K$41:K$57)</f>
        <v>10900.88356473941</v>
      </c>
      <c r="L58" s="30">
        <f t="shared" si="19"/>
        <v>546826.71926564886</v>
      </c>
      <c r="M58" s="285">
        <f>L58/Pop_Vic*1000</f>
        <v>92.894183315309022</v>
      </c>
      <c r="N58" s="930"/>
      <c r="O58" s="930"/>
      <c r="P58" s="931"/>
      <c r="Q58" s="927"/>
      <c r="R58" s="30">
        <f>SUMIF(Hazstate,"Solid",R$41:R$57)</f>
        <v>2.053856735169729E-9</v>
      </c>
      <c r="S58" s="30">
        <f>SUMIF(Hazstate,"Solid",S$41:S$57)</f>
        <v>2.5939339560000005E-9</v>
      </c>
      <c r="T58" s="30">
        <f t="shared" si="16"/>
        <v>4.6477906911697294E-9</v>
      </c>
      <c r="U58" s="924">
        <f t="shared" si="17"/>
        <v>7.8956039503066385E-13</v>
      </c>
      <c r="V58" s="74"/>
    </row>
    <row r="59" spans="1:47" outlineLevel="1" x14ac:dyDescent="0.2">
      <c r="A59" s="459"/>
      <c r="B59" s="468" t="str">
        <f t="shared" si="13"/>
        <v>Hazardous</v>
      </c>
      <c r="C59" s="649" t="s">
        <v>459</v>
      </c>
      <c r="D59" s="1074"/>
      <c r="E59" s="30">
        <f>SUMIF(Hazstate,"Liquid",E$41:E$57)</f>
        <v>22596.57337947208</v>
      </c>
      <c r="F59" s="30">
        <f>SUMIF(Hazstate,"Liquid",F$41:F$57)</f>
        <v>0</v>
      </c>
      <c r="G59" s="30">
        <f t="shared" si="18"/>
        <v>22596.57337947208</v>
      </c>
      <c r="H59" s="285">
        <f>G59/Pop_Vic*1000</f>
        <v>3.8386753167976995</v>
      </c>
      <c r="I59" s="1076"/>
      <c r="J59" s="30">
        <f>SUMIF(Hazstate,"Liquid",J$41:J$57)</f>
        <v>283803.73862052732</v>
      </c>
      <c r="K59" s="30">
        <f>SUMIF(Hazstate,"Liquid",K$41:K$57)</f>
        <v>0</v>
      </c>
      <c r="L59" s="30">
        <f t="shared" si="19"/>
        <v>283803.73862052732</v>
      </c>
      <c r="M59" s="285">
        <f>L59/Pop_Vic*1000</f>
        <v>48.212195183860054</v>
      </c>
      <c r="N59" s="930"/>
      <c r="O59" s="930"/>
      <c r="P59" s="931"/>
      <c r="Q59" s="927"/>
      <c r="R59" s="30">
        <f>SUMIF(Hazstate,"Liquid",R$41:R$57)</f>
        <v>2.7800853899999938E-9</v>
      </c>
      <c r="S59" s="30">
        <f>SUMIF(Hazstate,"Liquid",S$41:S$57)</f>
        <v>0</v>
      </c>
      <c r="T59" s="30">
        <f t="shared" si="16"/>
        <v>2.7800853899999938E-9</v>
      </c>
      <c r="U59" s="924">
        <f t="shared" si="17"/>
        <v>4.722771451213815E-13</v>
      </c>
      <c r="V59" s="74"/>
    </row>
    <row r="60" spans="1:47" s="76" customFormat="1" outlineLevel="1" x14ac:dyDescent="0.2">
      <c r="A60" s="459"/>
      <c r="B60" s="468" t="str">
        <f t="shared" si="13"/>
        <v>Hazardous</v>
      </c>
      <c r="C60" s="827" t="s">
        <v>2</v>
      </c>
      <c r="D60" s="932"/>
      <c r="E60" s="237">
        <f>'Other national data'!K148</f>
        <v>645187.65419283789</v>
      </c>
      <c r="F60" s="932"/>
      <c r="G60" s="237">
        <f t="shared" si="18"/>
        <v>645187.65419283789</v>
      </c>
      <c r="H60" s="275">
        <f>G60/Pop_Vic*1000</f>
        <v>109.60360587692426</v>
      </c>
      <c r="I60" s="913"/>
      <c r="J60" s="237">
        <f>'Other national data'!K149</f>
        <v>1560706.2309039575</v>
      </c>
      <c r="K60" s="913"/>
      <c r="L60" s="237">
        <f t="shared" si="19"/>
        <v>1560706.2309039575</v>
      </c>
      <c r="M60" s="273">
        <f>L60/Pop_Vic*1000</f>
        <v>265.13066316444127</v>
      </c>
      <c r="N60" s="932"/>
      <c r="O60" s="932"/>
      <c r="P60" s="933"/>
      <c r="Q60" s="927"/>
      <c r="R60" s="913"/>
      <c r="S60" s="913"/>
      <c r="T60" s="928"/>
      <c r="U60" s="929"/>
      <c r="Y60" s="74"/>
      <c r="Z60" s="74"/>
      <c r="AA60" s="74"/>
      <c r="AB60" s="74"/>
      <c r="AC60" s="74"/>
      <c r="AD60" s="74"/>
      <c r="AI60" s="74"/>
      <c r="AJ60" s="74"/>
      <c r="AK60" s="74"/>
      <c r="AL60" s="74"/>
      <c r="AM60" s="74"/>
      <c r="AN60" s="74"/>
      <c r="AO60" s="74"/>
      <c r="AP60" s="74"/>
      <c r="AQ60" s="74"/>
      <c r="AR60" s="74"/>
      <c r="AS60" s="74"/>
      <c r="AT60" s="74"/>
      <c r="AU60" s="74"/>
    </row>
    <row r="61" spans="1:47" s="247" customFormat="1" x14ac:dyDescent="0.2">
      <c r="A61" s="459"/>
      <c r="B61" s="498" t="str">
        <f>B59</f>
        <v>Hazardous</v>
      </c>
      <c r="C61" s="650" t="s">
        <v>115</v>
      </c>
      <c r="D61" s="1075"/>
      <c r="E61" s="966">
        <f>SUM(E58:E60)</f>
        <v>862342.8239029937</v>
      </c>
      <c r="F61" s="966">
        <f>SUM(F58:F60)</f>
        <v>291734.81347526063</v>
      </c>
      <c r="G61" s="966">
        <f t="shared" si="18"/>
        <v>1154077.6373782544</v>
      </c>
      <c r="H61" s="967">
        <f t="shared" si="12"/>
        <v>196.05314778818078</v>
      </c>
      <c r="I61" s="1077"/>
      <c r="J61" s="966">
        <f>SUM(J58:J60)</f>
        <v>2380435.8052253942</v>
      </c>
      <c r="K61" s="966">
        <f>SUM(K58:K60)</f>
        <v>10900.88356473941</v>
      </c>
      <c r="L61" s="966">
        <f t="shared" si="19"/>
        <v>2391336.6887901337</v>
      </c>
      <c r="M61" s="968">
        <f t="shared" si="10"/>
        <v>406.23704166361034</v>
      </c>
      <c r="N61" s="934"/>
      <c r="O61" s="934"/>
      <c r="P61" s="935"/>
      <c r="Q61" s="927"/>
      <c r="R61" s="966">
        <f>SUM(R59,R58)</f>
        <v>4.8339421251697232E-9</v>
      </c>
      <c r="S61" s="966">
        <f>SUM(S59,S58)</f>
        <v>2.5939339560000005E-9</v>
      </c>
      <c r="T61" s="966">
        <f>SUM(Q61:S61)</f>
        <v>7.4278760811697237E-9</v>
      </c>
      <c r="U61" s="968">
        <f>T61/Pop_Vic*1000</f>
        <v>1.2618375401520454E-12</v>
      </c>
      <c r="V61" s="957" t="s">
        <v>847</v>
      </c>
      <c r="X61" s="957" t="str">
        <f>IF(SUM(G58:G59,L58:L59,T58:T59)=SUM(Vic!G188:I204),"OK","Error")</f>
        <v>OK</v>
      </c>
      <c r="Y61" s="74"/>
      <c r="AI61" s="249"/>
      <c r="AJ61" s="249"/>
      <c r="AK61" s="249"/>
      <c r="AL61" s="249"/>
      <c r="AM61" s="249"/>
      <c r="AN61" s="249"/>
      <c r="AO61" s="249"/>
      <c r="AP61" s="249"/>
      <c r="AQ61" s="249"/>
      <c r="AR61" s="249"/>
      <c r="AS61" s="249"/>
      <c r="AT61" s="249"/>
      <c r="AU61" s="249"/>
    </row>
    <row r="62" spans="1:47" ht="14.25" customHeight="1" x14ac:dyDescent="0.2">
      <c r="C62" s="951" t="s">
        <v>98</v>
      </c>
      <c r="D62" s="286"/>
      <c r="E62" s="286"/>
      <c r="F62" s="286"/>
      <c r="G62" s="286"/>
      <c r="H62" s="287"/>
      <c r="I62" s="977"/>
      <c r="J62" s="977"/>
      <c r="K62" s="977"/>
      <c r="L62" s="977"/>
      <c r="M62" s="291"/>
      <c r="N62" s="934"/>
      <c r="O62" s="934"/>
      <c r="P62" s="935"/>
      <c r="Q62" s="927"/>
      <c r="R62" s="27"/>
      <c r="S62" s="27"/>
      <c r="T62" s="27"/>
      <c r="U62" s="287"/>
    </row>
    <row r="63" spans="1:47" x14ac:dyDescent="0.2">
      <c r="C63" s="303" t="s">
        <v>1350</v>
      </c>
      <c r="D63" s="289">
        <f>SUM(D61,D40,D37,D36,D26,D21,D15,D11,D62)</f>
        <v>1455427.9285881054</v>
      </c>
      <c r="E63" s="987">
        <f t="shared" ref="E63:G63" si="20">SUM(E61,E40,E37,E36,E26,E21,E15,E11,E62)</f>
        <v>2020251.5856930902</v>
      </c>
      <c r="F63" s="289">
        <f t="shared" si="20"/>
        <v>1183901.8114539501</v>
      </c>
      <c r="G63" s="294">
        <f t="shared" si="20"/>
        <v>4659581.3257351462</v>
      </c>
      <c r="H63" s="290">
        <f>G63/Pop_Vic*1000</f>
        <v>791.5633720801294</v>
      </c>
      <c r="I63" s="289">
        <f>SUM(I61,I40,I37,I36,I26,I21,I15,I11,I62)</f>
        <v>1242331.5899999999</v>
      </c>
      <c r="J63" s="987">
        <f>SUM(J61,J40,J37,J36,J26,J21,J15,J11,J62)</f>
        <v>5093676.0552253947</v>
      </c>
      <c r="K63" s="289">
        <f t="shared" ref="K63:L63" si="21">SUM(K61,K40,K37,K36,K26,K21,K15,K11,K62)</f>
        <v>3636203.8835647395</v>
      </c>
      <c r="L63" s="294">
        <f t="shared" si="21"/>
        <v>9972211.5287901331</v>
      </c>
      <c r="M63" s="959">
        <f>L63/Pop_Vic*1000</f>
        <v>1694.0658039872442</v>
      </c>
      <c r="N63" s="289">
        <f>SUM(N40,N26,N21)</f>
        <v>396996.0714118944</v>
      </c>
      <c r="O63" s="289">
        <f>SUM(O40,O26,O21)</f>
        <v>204427.83820990365</v>
      </c>
      <c r="P63" s="298">
        <f>SUM(P40,P26,P21)</f>
        <v>16057.40202131048</v>
      </c>
      <c r="Q63" s="289">
        <f>SUM(Q62,Q61,Q40,Q36,Q26,Q21)</f>
        <v>396996.0714118944</v>
      </c>
      <c r="R63" s="289">
        <f t="shared" ref="R63:T63" si="22">SUM(R62,R61,R40,R36,R26,R21)</f>
        <v>204427.83820990851</v>
      </c>
      <c r="S63" s="289">
        <f t="shared" si="22"/>
        <v>16057.402021313073</v>
      </c>
      <c r="T63" s="294">
        <f t="shared" si="22"/>
        <v>617481.31164311594</v>
      </c>
      <c r="U63" s="293">
        <f>SUM(U58,U40,U37,U36,U26,U21,U15,U11,U62)</f>
        <v>104.89688988603916</v>
      </c>
      <c r="V63" s="74"/>
      <c r="Y63" s="75"/>
    </row>
    <row r="64" spans="1:47" x14ac:dyDescent="0.2">
      <c r="C64" s="2414" t="s">
        <v>1314</v>
      </c>
      <c r="E64" s="2413">
        <f>E63-E60</f>
        <v>1375063.9315002523</v>
      </c>
      <c r="G64" s="272">
        <f>G63-G60</f>
        <v>4014393.6715423083</v>
      </c>
      <c r="H64" s="283">
        <f>G64/Pop_Vic*1000</f>
        <v>681.95976620320516</v>
      </c>
      <c r="J64" s="2413">
        <f>J63-J60</f>
        <v>3532969.8243214372</v>
      </c>
      <c r="L64" s="272">
        <f>L63-L60</f>
        <v>8411505.297886176</v>
      </c>
      <c r="M64" s="272">
        <f>L64/Pop_Vic*1000</f>
        <v>1428.9351408228033</v>
      </c>
      <c r="T64" s="272">
        <f>T63-T60</f>
        <v>617481.31164311594</v>
      </c>
      <c r="U64" s="283">
        <f>U63+U49</f>
        <v>104.8968898860393</v>
      </c>
      <c r="V64" s="74"/>
    </row>
    <row r="65" spans="1:44" x14ac:dyDescent="0.2">
      <c r="C65" s="304" t="s">
        <v>1351</v>
      </c>
      <c r="E65" s="955" t="s">
        <v>397</v>
      </c>
      <c r="F65" s="956" t="str">
        <f>IF(ROUND(SUM(D63:F63),0)=ROUND(G63,0),"Ok","Error")</f>
        <v>Ok</v>
      </c>
      <c r="G65" s="2415">
        <f>G64-SUM(G58:G59)</f>
        <v>3505503.6883568917</v>
      </c>
      <c r="H65" s="292">
        <f>G65/Pop_Vic*1000</f>
        <v>595.5102242919487</v>
      </c>
      <c r="J65" s="955" t="s">
        <v>397</v>
      </c>
      <c r="K65" s="956" t="str">
        <f>IF(ROUND(SUM(I63:K63),0)=ROUND(L63,0),"Ok","Error")</f>
        <v>Ok</v>
      </c>
      <c r="L65" s="2415">
        <f>L64-SUM(L58:L59)</f>
        <v>7580874.8399999999</v>
      </c>
      <c r="M65" s="291">
        <f>L65/Pop_Vic*1000</f>
        <v>1287.8287623236342</v>
      </c>
      <c r="R65" s="955" t="s">
        <v>397</v>
      </c>
      <c r="S65" s="956" t="str">
        <f>IF(ROUND(SUM(Q63:S63),0)=ROUND(T63,0),"Ok","Error")</f>
        <v>Ok</v>
      </c>
      <c r="T65" s="2415">
        <f>T64-SUM(T58:T59)</f>
        <v>617481.31164310849</v>
      </c>
      <c r="U65" s="292">
        <f>T65/Pop_Vic*1000</f>
        <v>104.89688988603835</v>
      </c>
    </row>
    <row r="66" spans="1:44" x14ac:dyDescent="0.2">
      <c r="C66" s="138"/>
      <c r="F66" s="250"/>
      <c r="G66" s="251"/>
    </row>
    <row r="67" spans="1:44" ht="15" customHeight="1" x14ac:dyDescent="0.2">
      <c r="C67" s="2444" t="s">
        <v>410</v>
      </c>
      <c r="D67" s="2440" t="s">
        <v>16</v>
      </c>
      <c r="E67" s="2441" t="s">
        <v>17</v>
      </c>
      <c r="F67" s="2441" t="s">
        <v>1354</v>
      </c>
      <c r="G67" s="2441" t="s">
        <v>18</v>
      </c>
      <c r="H67" s="2547" t="s">
        <v>88</v>
      </c>
      <c r="I67" s="2442" t="s">
        <v>1368</v>
      </c>
      <c r="J67" s="2443" t="s">
        <v>1369</v>
      </c>
      <c r="K67" s="2788" t="s">
        <v>1423</v>
      </c>
      <c r="L67" s="2775"/>
      <c r="M67" s="2776"/>
    </row>
    <row r="68" spans="1:44" ht="15" customHeight="1" x14ac:dyDescent="0.2">
      <c r="C68" s="936"/>
      <c r="D68" s="930"/>
      <c r="E68" s="2280" t="s">
        <v>455</v>
      </c>
      <c r="F68" s="2280" t="s">
        <v>454</v>
      </c>
      <c r="G68" s="2280"/>
      <c r="H68" s="2279" t="s">
        <v>88</v>
      </c>
      <c r="I68" s="2280" t="s">
        <v>454</v>
      </c>
      <c r="J68" s="2341" t="s">
        <v>1352</v>
      </c>
      <c r="K68" s="943" t="s">
        <v>455</v>
      </c>
      <c r="L68" s="2280" t="s">
        <v>454</v>
      </c>
      <c r="M68" s="2341" t="s">
        <v>1352</v>
      </c>
    </row>
    <row r="69" spans="1:44" x14ac:dyDescent="0.2">
      <c r="C69" s="937"/>
      <c r="D69" s="944" t="s">
        <v>16</v>
      </c>
      <c r="E69" s="945" t="s">
        <v>17</v>
      </c>
      <c r="F69" s="945" t="s">
        <v>17</v>
      </c>
      <c r="G69" s="945" t="s">
        <v>18</v>
      </c>
      <c r="H69" s="944" t="s">
        <v>112</v>
      </c>
      <c r="I69" s="945" t="s">
        <v>112</v>
      </c>
      <c r="J69" s="946" t="s">
        <v>112</v>
      </c>
      <c r="K69" s="944" t="s">
        <v>112</v>
      </c>
      <c r="L69" s="945" t="s">
        <v>112</v>
      </c>
      <c r="M69" s="946" t="s">
        <v>112</v>
      </c>
    </row>
    <row r="70" spans="1:44" s="76" customFormat="1" x14ac:dyDescent="0.2">
      <c r="A70" s="74"/>
      <c r="B70" s="74"/>
      <c r="C70" s="252" t="s">
        <v>113</v>
      </c>
      <c r="D70" s="253">
        <f>D63/1000</f>
        <v>1455.4279285881053</v>
      </c>
      <c r="E70" s="253">
        <f>E63/1000</f>
        <v>2020.2515856930902</v>
      </c>
      <c r="F70" s="253">
        <f>E64/1000</f>
        <v>1375.0639315002522</v>
      </c>
      <c r="G70" s="253">
        <f>F63/1000</f>
        <v>1183.9018114539501</v>
      </c>
      <c r="H70" s="255">
        <f>G63/1000</f>
        <v>4659.5813257351465</v>
      </c>
      <c r="I70" s="253">
        <f>G64/1000</f>
        <v>4014.3936715423083</v>
      </c>
      <c r="J70" s="254">
        <f>G65/1000</f>
        <v>3505.5036883568919</v>
      </c>
      <c r="K70" s="255">
        <f>H63</f>
        <v>791.5633720801294</v>
      </c>
      <c r="L70" s="253">
        <f>H64</f>
        <v>681.95976620320516</v>
      </c>
      <c r="M70" s="254">
        <f>H65</f>
        <v>595.5102242919487</v>
      </c>
      <c r="N70" s="2149"/>
      <c r="O70" s="2149">
        <f t="shared" ref="O70:O72" si="23">H70/1000</f>
        <v>4.6595813257351466</v>
      </c>
      <c r="P70" s="2149">
        <f t="shared" ref="P70:P72" si="24">I70/1000</f>
        <v>4.0143936715423081</v>
      </c>
      <c r="Q70" s="2149">
        <f t="shared" ref="Q70:Q72" si="25">J70/1000</f>
        <v>3.505503688356892</v>
      </c>
      <c r="R70" s="74"/>
      <c r="S70" s="74"/>
      <c r="T70" s="74"/>
      <c r="U70" s="74"/>
      <c r="V70" s="75"/>
      <c r="W70" s="74"/>
      <c r="X70" s="74"/>
      <c r="Y70" s="74"/>
      <c r="Z70" s="74"/>
      <c r="AA70" s="74"/>
      <c r="AB70" s="74"/>
      <c r="AC70" s="74"/>
      <c r="AD70" s="74"/>
      <c r="AE70" s="74"/>
      <c r="AF70" s="74"/>
      <c r="AG70" s="74"/>
      <c r="AH70" s="74"/>
      <c r="AI70" s="74"/>
      <c r="AJ70" s="74"/>
      <c r="AK70" s="74"/>
      <c r="AL70" s="74"/>
      <c r="AM70" s="74"/>
      <c r="AN70" s="74"/>
      <c r="AO70" s="74"/>
      <c r="AP70" s="74"/>
      <c r="AQ70" s="74"/>
      <c r="AR70" s="74"/>
    </row>
    <row r="71" spans="1:44" x14ac:dyDescent="0.2">
      <c r="C71" s="256" t="s">
        <v>114</v>
      </c>
      <c r="D71" s="253">
        <f>I63/1000</f>
        <v>1242.3315899999998</v>
      </c>
      <c r="E71" s="253">
        <f>J63/1000</f>
        <v>5093.6760552253945</v>
      </c>
      <c r="F71" s="253">
        <f>J64/1000</f>
        <v>3532.969824321437</v>
      </c>
      <c r="G71" s="253">
        <f>K63/1000</f>
        <v>3636.2038835647395</v>
      </c>
      <c r="H71" s="255">
        <f>L63/1000</f>
        <v>9972.2115287901324</v>
      </c>
      <c r="I71" s="253">
        <f>L64/1000</f>
        <v>8411.5052978861768</v>
      </c>
      <c r="J71" s="254">
        <f>L65/1000</f>
        <v>7580.8748399999995</v>
      </c>
      <c r="K71" s="255">
        <f>M63</f>
        <v>1694.0658039872442</v>
      </c>
      <c r="L71" s="253">
        <f>M64</f>
        <v>1428.9351408228033</v>
      </c>
      <c r="M71" s="254">
        <f>M65</f>
        <v>1287.8287623236342</v>
      </c>
      <c r="N71" s="2149"/>
      <c r="O71" s="2149">
        <f t="shared" si="23"/>
        <v>9.9722115287901332</v>
      </c>
      <c r="P71" s="2149">
        <f t="shared" si="24"/>
        <v>8.4115052978861762</v>
      </c>
      <c r="Q71" s="2149">
        <f t="shared" si="25"/>
        <v>7.5808748399999999</v>
      </c>
    </row>
    <row r="72" spans="1:44" x14ac:dyDescent="0.2">
      <c r="C72" s="256" t="s">
        <v>38</v>
      </c>
      <c r="D72" s="253">
        <f>Q63/1000</f>
        <v>396.99607141189438</v>
      </c>
      <c r="E72" s="253">
        <f>R63/1000</f>
        <v>204.42783820990851</v>
      </c>
      <c r="F72" s="253">
        <f>E72</f>
        <v>204.42783820990851</v>
      </c>
      <c r="G72" s="253">
        <f>S63/1000</f>
        <v>16.057402021313074</v>
      </c>
      <c r="H72" s="255">
        <f>T63/1000</f>
        <v>617.48131164311599</v>
      </c>
      <c r="I72" s="253">
        <f>T64/1000</f>
        <v>617.48131164311599</v>
      </c>
      <c r="J72" s="254">
        <f>T65/1000</f>
        <v>617.48131164310848</v>
      </c>
      <c r="K72" s="255">
        <f>U63</f>
        <v>104.89688988603916</v>
      </c>
      <c r="L72" s="253">
        <f>U64</f>
        <v>104.8968898860393</v>
      </c>
      <c r="M72" s="254">
        <f>U65</f>
        <v>104.89688988603835</v>
      </c>
      <c r="N72" s="2149"/>
      <c r="O72" s="2149">
        <f t="shared" si="23"/>
        <v>0.61748131164311604</v>
      </c>
      <c r="P72" s="2149">
        <f t="shared" si="24"/>
        <v>0.61748131164311604</v>
      </c>
      <c r="Q72" s="2149">
        <f t="shared" si="25"/>
        <v>0.61748131164310849</v>
      </c>
    </row>
    <row r="73" spans="1:44" x14ac:dyDescent="0.2">
      <c r="C73" s="252" t="s">
        <v>116</v>
      </c>
      <c r="D73" s="257">
        <f t="shared" ref="D73:J73" si="26">SUM(D71:D72)/D74</f>
        <v>0.52971151153551821</v>
      </c>
      <c r="E73" s="257">
        <f t="shared" si="26"/>
        <v>0.72394732785873095</v>
      </c>
      <c r="F73" s="257">
        <f t="shared" si="26"/>
        <v>0.73103681930725273</v>
      </c>
      <c r="G73" s="257">
        <f t="shared" si="26"/>
        <v>0.75519812138292786</v>
      </c>
      <c r="H73" s="259">
        <f t="shared" si="26"/>
        <v>0.6944391401872253</v>
      </c>
      <c r="I73" s="257">
        <f t="shared" si="26"/>
        <v>0.69222750659444099</v>
      </c>
      <c r="J73" s="258">
        <f t="shared" si="26"/>
        <v>0.70048311101810901</v>
      </c>
      <c r="K73" s="259">
        <f>SUM(K71:K72)/K74</f>
        <v>0.69443914018722541</v>
      </c>
      <c r="L73" s="257">
        <f>SUM(L71:L72)/L74</f>
        <v>0.69222750659444088</v>
      </c>
      <c r="M73" s="258">
        <f>SUM(M71:M72)/M74</f>
        <v>0.70048311101810901</v>
      </c>
      <c r="N73" s="2150"/>
      <c r="O73" s="2150">
        <f>H73*1000</f>
        <v>694.43914018722535</v>
      </c>
      <c r="P73" s="2150">
        <f t="shared" ref="P73:Q73" si="27">I73*1000</f>
        <v>692.22750659444102</v>
      </c>
      <c r="Q73" s="2150">
        <f t="shared" si="27"/>
        <v>700.48311101810896</v>
      </c>
    </row>
    <row r="74" spans="1:44" x14ac:dyDescent="0.2">
      <c r="C74" s="260" t="s">
        <v>117</v>
      </c>
      <c r="D74" s="261">
        <f t="shared" ref="D74:J74" si="28">SUM(D70:D72)</f>
        <v>3094.7555899999993</v>
      </c>
      <c r="E74" s="261">
        <f t="shared" si="28"/>
        <v>7318.3554791283932</v>
      </c>
      <c r="F74" s="261">
        <f t="shared" si="28"/>
        <v>5112.4615940315971</v>
      </c>
      <c r="G74" s="261">
        <f t="shared" si="28"/>
        <v>4836.1630970400029</v>
      </c>
      <c r="H74" s="263">
        <f t="shared" si="28"/>
        <v>15249.274166168396</v>
      </c>
      <c r="I74" s="2412">
        <f t="shared" si="28"/>
        <v>13043.380281071601</v>
      </c>
      <c r="J74" s="262">
        <f t="shared" si="28"/>
        <v>11703.859839999999</v>
      </c>
      <c r="K74" s="263">
        <f>SUM(K70:K72)</f>
        <v>2590.5260659534124</v>
      </c>
      <c r="L74" s="2412">
        <f>SUM(L70:L72)</f>
        <v>2215.7917969120481</v>
      </c>
      <c r="M74" s="262">
        <f>SUM(M70:M72)</f>
        <v>1988.2358765016213</v>
      </c>
      <c r="N74" s="2149"/>
      <c r="O74" s="2149">
        <f>H74/1000</f>
        <v>15.249274166168396</v>
      </c>
      <c r="P74" s="2149">
        <f t="shared" ref="P74:Q74" si="29">I74/1000</f>
        <v>13.043380281071601</v>
      </c>
      <c r="Q74" s="2149">
        <f t="shared" si="29"/>
        <v>11.70385984</v>
      </c>
    </row>
    <row r="75" spans="1:44" s="76" customFormat="1" x14ac:dyDescent="0.2">
      <c r="A75" s="74"/>
      <c r="B75" s="74"/>
      <c r="C75" s="2076" t="s">
        <v>1308</v>
      </c>
      <c r="D75" s="2439">
        <f>D74/Pop_Vic*1000000</f>
        <v>525.73289300787962</v>
      </c>
      <c r="E75" s="2439">
        <f>E74/Pop_Vic*1000000</f>
        <v>1243.2323284380072</v>
      </c>
      <c r="F75" s="2439">
        <f>F74/Pop_Vic*1000000</f>
        <v>868.49805939664157</v>
      </c>
      <c r="G75" s="2439">
        <f>G74/Pop_Vic*1000000</f>
        <v>821.56084450752655</v>
      </c>
      <c r="H75" s="74"/>
      <c r="I75" s="74"/>
      <c r="J75" s="74"/>
      <c r="K75" s="74"/>
      <c r="L75" s="74"/>
      <c r="M75" s="74"/>
      <c r="N75" s="2076" t="s">
        <v>1146</v>
      </c>
      <c r="O75" s="2076" t="s">
        <v>1147</v>
      </c>
      <c r="P75" s="2076" t="s">
        <v>1148</v>
      </c>
      <c r="Q75" s="2076" t="s">
        <v>1149</v>
      </c>
      <c r="R75" s="2076" t="s">
        <v>1312</v>
      </c>
      <c r="S75" s="74"/>
      <c r="T75" s="74"/>
      <c r="U75" s="74"/>
      <c r="V75" s="75"/>
      <c r="W75" s="74"/>
      <c r="X75" s="74"/>
      <c r="Y75" s="74"/>
      <c r="Z75" s="74"/>
      <c r="AA75" s="74"/>
      <c r="AB75" s="74"/>
      <c r="AC75" s="74"/>
      <c r="AD75" s="74"/>
      <c r="AE75" s="74"/>
      <c r="AF75" s="74"/>
      <c r="AG75" s="74"/>
      <c r="AH75" s="74"/>
      <c r="AI75" s="74"/>
      <c r="AJ75" s="74"/>
      <c r="AK75" s="74"/>
      <c r="AL75" s="74"/>
      <c r="AM75" s="74"/>
      <c r="AN75" s="74"/>
      <c r="AO75" s="74"/>
      <c r="AP75" s="74"/>
      <c r="AQ75" s="74"/>
      <c r="AR75" s="74"/>
    </row>
    <row r="76" spans="1:44" x14ac:dyDescent="0.2">
      <c r="C76" s="76"/>
      <c r="D76" s="76"/>
      <c r="E76" s="76"/>
      <c r="F76" s="76"/>
      <c r="G76" s="76"/>
      <c r="H76" s="76"/>
      <c r="I76" s="76"/>
      <c r="J76" s="76"/>
      <c r="N76" s="2076" t="s">
        <v>1367</v>
      </c>
      <c r="O76" s="2076" t="s">
        <v>1309</v>
      </c>
      <c r="P76" s="2076" t="s">
        <v>1367</v>
      </c>
      <c r="Q76" s="2076" t="s">
        <v>1309</v>
      </c>
      <c r="R76" s="2076" t="s">
        <v>1367</v>
      </c>
      <c r="S76" s="2076" t="s">
        <v>1309</v>
      </c>
    </row>
    <row r="77" spans="1:44" x14ac:dyDescent="0.2">
      <c r="C77" s="941"/>
      <c r="D77" s="2775" t="s">
        <v>410</v>
      </c>
      <c r="E77" s="2775"/>
      <c r="F77" s="2775"/>
      <c r="G77" s="2776"/>
      <c r="H77" s="942"/>
      <c r="I77" s="2788" t="s">
        <v>1311</v>
      </c>
      <c r="J77" s="2775"/>
      <c r="K77" s="2775"/>
      <c r="L77" s="2776"/>
    </row>
    <row r="78" spans="1:44" ht="25.5" x14ac:dyDescent="0.2">
      <c r="C78" s="940"/>
      <c r="D78" s="947" t="s">
        <v>113</v>
      </c>
      <c r="E78" s="947" t="s">
        <v>114</v>
      </c>
      <c r="F78" s="947" t="s">
        <v>38</v>
      </c>
      <c r="G78" s="948" t="s">
        <v>117</v>
      </c>
      <c r="H78" s="949" t="s">
        <v>116</v>
      </c>
      <c r="I78" s="2148" t="s">
        <v>113</v>
      </c>
      <c r="J78" s="947" t="s">
        <v>114</v>
      </c>
      <c r="K78" s="947" t="s">
        <v>38</v>
      </c>
      <c r="L78" s="948" t="s">
        <v>117</v>
      </c>
    </row>
    <row r="79" spans="1:44" s="77" customFormat="1" x14ac:dyDescent="0.2">
      <c r="A79" s="74"/>
      <c r="B79" s="2130" t="s">
        <v>1121</v>
      </c>
      <c r="C79" s="264" t="s">
        <v>25</v>
      </c>
      <c r="D79" s="253">
        <f>G11/1000</f>
        <v>931.66260210602138</v>
      </c>
      <c r="E79" s="253">
        <f>L11/1000</f>
        <v>3326.701</v>
      </c>
      <c r="F79" s="253">
        <f>T11/1000</f>
        <v>0</v>
      </c>
      <c r="G79" s="254">
        <f t="shared" ref="G79:G87" si="30">SUM(D79:F79)</f>
        <v>4258.3636021060211</v>
      </c>
      <c r="H79" s="938">
        <f t="shared" ref="H79:H87" si="31">SUM(E79:F79)/G79</f>
        <v>0.78121581688203967</v>
      </c>
      <c r="I79" s="255">
        <f>H11</f>
        <v>158.26958248177777</v>
      </c>
      <c r="J79" s="253">
        <f>M11</f>
        <v>565.13546548023419</v>
      </c>
      <c r="K79" s="253">
        <f>U11</f>
        <v>0</v>
      </c>
      <c r="L79" s="254">
        <f>SUM(I79:K79)</f>
        <v>723.40504796201196</v>
      </c>
      <c r="M79" s="74"/>
      <c r="N79" s="74"/>
      <c r="O79" s="74"/>
      <c r="P79" s="74"/>
      <c r="Q79" s="74"/>
      <c r="R79" s="74"/>
      <c r="S79" s="74"/>
      <c r="T79" s="74"/>
      <c r="U79" s="74"/>
      <c r="V79" s="75"/>
      <c r="W79" s="74"/>
      <c r="X79" s="74"/>
      <c r="Y79" s="74"/>
      <c r="Z79" s="74"/>
      <c r="AA79" s="74"/>
      <c r="AB79" s="74"/>
      <c r="AC79" s="74"/>
      <c r="AD79" s="74"/>
      <c r="AE79" s="74"/>
      <c r="AF79" s="74"/>
      <c r="AG79" s="74"/>
      <c r="AH79" s="74"/>
      <c r="AI79" s="74"/>
      <c r="AJ79" s="74"/>
      <c r="AK79" s="74"/>
      <c r="AL79" s="74"/>
      <c r="AM79" s="74"/>
      <c r="AN79" s="74"/>
      <c r="AO79" s="74"/>
      <c r="AP79" s="74"/>
      <c r="AQ79" s="74"/>
      <c r="AR79" s="74"/>
    </row>
    <row r="80" spans="1:44" x14ac:dyDescent="0.2">
      <c r="B80" s="2130" t="s">
        <v>28</v>
      </c>
      <c r="C80" s="264" t="s">
        <v>28</v>
      </c>
      <c r="D80" s="253">
        <f>G15/1000</f>
        <v>81.513937488110884</v>
      </c>
      <c r="E80" s="253">
        <f>L15/1000</f>
        <v>1413.1569999999999</v>
      </c>
      <c r="F80" s="253">
        <f>T15/1000</f>
        <v>0</v>
      </c>
      <c r="G80" s="254">
        <f t="shared" si="30"/>
        <v>1494.6709374881109</v>
      </c>
      <c r="H80" s="938">
        <f t="shared" si="31"/>
        <v>0.94546362316704957</v>
      </c>
      <c r="I80" s="255">
        <f>H15</f>
        <v>13.84747742747853</v>
      </c>
      <c r="J80" s="253">
        <f>M15</f>
        <v>240.0651994247909</v>
      </c>
      <c r="K80" s="253">
        <f>U15</f>
        <v>0</v>
      </c>
      <c r="L80" s="254">
        <f t="shared" ref="L80:L87" si="32">SUM(I80:K80)</f>
        <v>253.91267685226944</v>
      </c>
    </row>
    <row r="81" spans="1:50" x14ac:dyDescent="0.2">
      <c r="B81" s="2130" t="s">
        <v>22</v>
      </c>
      <c r="C81" s="264" t="s">
        <v>22</v>
      </c>
      <c r="D81" s="253">
        <f>G21/1000</f>
        <v>1386.5339433509384</v>
      </c>
      <c r="E81" s="253">
        <f>L21/1000</f>
        <v>1013.38</v>
      </c>
      <c r="F81" s="253">
        <f>T21/1000</f>
        <v>403.09266373858975</v>
      </c>
      <c r="G81" s="254">
        <f t="shared" si="30"/>
        <v>2803.0066070895282</v>
      </c>
      <c r="H81" s="938">
        <f t="shared" si="31"/>
        <v>0.50534046554009693</v>
      </c>
      <c r="I81" s="255">
        <f>H21</f>
        <v>235.54251057722868</v>
      </c>
      <c r="J81" s="253">
        <f>M21</f>
        <v>172.15162348776153</v>
      </c>
      <c r="K81" s="253">
        <f>U21</f>
        <v>68.476836407472589</v>
      </c>
      <c r="L81" s="254">
        <f t="shared" si="32"/>
        <v>476.17097047246278</v>
      </c>
    </row>
    <row r="82" spans="1:50" x14ac:dyDescent="0.2">
      <c r="B82" s="2130" t="s">
        <v>1120</v>
      </c>
      <c r="C82" s="264" t="s">
        <v>20</v>
      </c>
      <c r="D82" s="253">
        <f>G26/1000</f>
        <v>392.94451245714401</v>
      </c>
      <c r="E82" s="253">
        <f>L26/1000</f>
        <v>1443.306</v>
      </c>
      <c r="F82" s="253">
        <f>T26/1000</f>
        <v>163.42755823850879</v>
      </c>
      <c r="G82" s="254">
        <f t="shared" si="30"/>
        <v>1999.6780706956527</v>
      </c>
      <c r="H82" s="938">
        <f t="shared" si="31"/>
        <v>0.80349611359170159</v>
      </c>
      <c r="I82" s="255">
        <f>H26</f>
        <v>66.752882196317543</v>
      </c>
      <c r="J82" s="253">
        <f>M26</f>
        <v>245.1868707588734</v>
      </c>
      <c r="K82" s="253">
        <f>U26</f>
        <v>27.76285250685822</v>
      </c>
      <c r="L82" s="254">
        <f t="shared" si="32"/>
        <v>339.70260546204918</v>
      </c>
    </row>
    <row r="83" spans="1:50" x14ac:dyDescent="0.2">
      <c r="B83" s="2130" t="s">
        <v>32</v>
      </c>
      <c r="C83" s="264" t="s">
        <v>32</v>
      </c>
      <c r="D83" s="253">
        <f>G36/1000</f>
        <v>488.13175637164886</v>
      </c>
      <c r="E83" s="253">
        <f>L36/1000</f>
        <v>160.53384</v>
      </c>
      <c r="F83" s="253">
        <f>T36/1000</f>
        <v>0</v>
      </c>
      <c r="G83" s="254">
        <f t="shared" si="30"/>
        <v>648.66559637164892</v>
      </c>
      <c r="H83" s="938">
        <f t="shared" si="31"/>
        <v>0.24748320382328884</v>
      </c>
      <c r="I83" s="255">
        <f>H36</f>
        <v>82.923162422104085</v>
      </c>
      <c r="J83" s="253">
        <f>M36</f>
        <v>27.271271567156003</v>
      </c>
      <c r="K83" s="253">
        <f>U36</f>
        <v>0</v>
      </c>
      <c r="L83" s="254">
        <f t="shared" si="32"/>
        <v>110.19443398926009</v>
      </c>
      <c r="AE83" s="79"/>
      <c r="AF83" s="79"/>
      <c r="AG83" s="79"/>
      <c r="AH83" s="79"/>
      <c r="AI83" s="79"/>
      <c r="AJ83" s="79"/>
    </row>
    <row r="84" spans="1:50" s="77" customFormat="1" x14ac:dyDescent="0.2">
      <c r="A84" s="74"/>
      <c r="B84" s="2130" t="s">
        <v>30</v>
      </c>
      <c r="C84" s="264" t="s">
        <v>30</v>
      </c>
      <c r="D84" s="253">
        <f>G37/1000</f>
        <v>101.2966124508457</v>
      </c>
      <c r="E84" s="253">
        <f>L37/1000</f>
        <v>197.02600000000001</v>
      </c>
      <c r="F84" s="253">
        <f>T37/1000</f>
        <v>0</v>
      </c>
      <c r="G84" s="254">
        <f t="shared" si="30"/>
        <v>298.32261245084572</v>
      </c>
      <c r="H84" s="938">
        <f t="shared" si="31"/>
        <v>0.66044608010552253</v>
      </c>
      <c r="I84" s="255">
        <f>H37</f>
        <v>17.208131487915377</v>
      </c>
      <c r="J84" s="253">
        <f>M37</f>
        <v>33.470510340937956</v>
      </c>
      <c r="K84" s="253">
        <f>U37</f>
        <v>0</v>
      </c>
      <c r="L84" s="254">
        <f t="shared" si="32"/>
        <v>50.67864182885333</v>
      </c>
      <c r="M84" s="74"/>
      <c r="N84" s="74"/>
      <c r="O84" s="74"/>
      <c r="P84" s="74"/>
      <c r="Q84" s="74"/>
      <c r="R84" s="74"/>
      <c r="S84" s="74"/>
      <c r="AB84" s="74"/>
      <c r="AC84" s="74"/>
      <c r="AD84" s="74"/>
      <c r="AE84" s="80"/>
      <c r="AF84" s="80"/>
      <c r="AG84" s="80"/>
      <c r="AH84" s="81"/>
      <c r="AI84" s="81"/>
      <c r="AJ84" s="82"/>
      <c r="AK84" s="74"/>
      <c r="AL84" s="74"/>
      <c r="AM84" s="74"/>
      <c r="AN84" s="74"/>
      <c r="AO84" s="74"/>
      <c r="AP84" s="74"/>
      <c r="AQ84" s="74"/>
      <c r="AR84" s="74"/>
      <c r="AS84" s="74"/>
      <c r="AT84" s="74"/>
      <c r="AU84" s="74"/>
      <c r="AV84" s="74"/>
      <c r="AW84" s="74"/>
      <c r="AX84" s="74"/>
    </row>
    <row r="85" spans="1:50" s="76" customFormat="1" x14ac:dyDescent="0.2">
      <c r="A85" s="74"/>
      <c r="B85" s="2130" t="s">
        <v>27</v>
      </c>
      <c r="C85" s="264" t="s">
        <v>27</v>
      </c>
      <c r="D85" s="253">
        <f>G40/1000</f>
        <v>123.42032413218233</v>
      </c>
      <c r="E85" s="253">
        <f>L40/1000</f>
        <v>26.771000000000001</v>
      </c>
      <c r="F85" s="253">
        <f>T40/1000</f>
        <v>50.961089666010039</v>
      </c>
      <c r="G85" s="254">
        <f t="shared" si="30"/>
        <v>201.15241379819236</v>
      </c>
      <c r="H85" s="938">
        <f t="shared" si="31"/>
        <v>0.38643379017064811</v>
      </c>
      <c r="I85" s="255">
        <f>H40</f>
        <v>20.966477699126624</v>
      </c>
      <c r="J85" s="253">
        <f>M40</f>
        <v>4.547821263880147</v>
      </c>
      <c r="K85" s="253">
        <f>U40</f>
        <v>8.6572009717075673</v>
      </c>
      <c r="L85" s="254">
        <f t="shared" si="32"/>
        <v>34.17149993471434</v>
      </c>
      <c r="M85" s="74"/>
      <c r="N85" s="74"/>
      <c r="O85" s="74"/>
      <c r="P85" s="74"/>
      <c r="Q85" s="74"/>
      <c r="R85" s="74"/>
      <c r="S85" s="74"/>
      <c r="AB85" s="74"/>
      <c r="AC85" s="74"/>
      <c r="AD85" s="74"/>
      <c r="AE85" s="80"/>
      <c r="AF85" s="80"/>
      <c r="AG85" s="80"/>
      <c r="AH85" s="81"/>
      <c r="AI85" s="81"/>
      <c r="AJ85" s="82"/>
      <c r="AK85" s="74"/>
      <c r="AL85" s="74"/>
      <c r="AM85" s="74"/>
      <c r="AN85" s="74"/>
      <c r="AO85" s="74"/>
      <c r="AP85" s="74"/>
      <c r="AQ85" s="74"/>
      <c r="AR85" s="74"/>
      <c r="AS85" s="74"/>
      <c r="AT85" s="74"/>
      <c r="AU85" s="74"/>
      <c r="AV85" s="74"/>
      <c r="AW85" s="74"/>
      <c r="AX85" s="74"/>
    </row>
    <row r="86" spans="1:50" s="76" customFormat="1" x14ac:dyDescent="0.2">
      <c r="A86" s="74"/>
      <c r="B86" s="2130" t="s">
        <v>1370</v>
      </c>
      <c r="C86" s="264" t="s">
        <v>35</v>
      </c>
      <c r="D86" s="253">
        <f>SUM(G59:G60)/1000</f>
        <v>667.78422757230999</v>
      </c>
      <c r="E86" s="253">
        <f>SUM(L58:L59)/1000</f>
        <v>830.63045788617615</v>
      </c>
      <c r="F86" s="253">
        <f>SUM(T58:T59)/1000</f>
        <v>7.4278760811697235E-12</v>
      </c>
      <c r="G86" s="254">
        <f t="shared" si="30"/>
        <v>1498.4146854584935</v>
      </c>
      <c r="H86" s="938">
        <f t="shared" si="31"/>
        <v>0.55433950691161471</v>
      </c>
      <c r="I86" s="255">
        <f>SUM(H58:H59)</f>
        <v>86.449541911256503</v>
      </c>
      <c r="J86" s="253">
        <f>SUM(M58:M59)</f>
        <v>141.10637849916907</v>
      </c>
      <c r="K86" s="253">
        <f>SUM(U58:U59)</f>
        <v>1.2618375401520452E-12</v>
      </c>
      <c r="L86" s="254">
        <f t="shared" si="32"/>
        <v>227.55592041042684</v>
      </c>
      <c r="M86" s="74"/>
      <c r="N86" s="74"/>
      <c r="O86" s="74"/>
      <c r="P86" s="74"/>
      <c r="Q86" s="74"/>
      <c r="R86" s="74"/>
      <c r="S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row>
    <row r="87" spans="1:50" x14ac:dyDescent="0.2">
      <c r="B87" s="2130" t="s">
        <v>2</v>
      </c>
      <c r="C87" s="265" t="s">
        <v>2</v>
      </c>
      <c r="D87" s="261">
        <f>G60/1000</f>
        <v>645.18765419283784</v>
      </c>
      <c r="E87" s="261">
        <f>L60/1000</f>
        <v>1560.7062309039575</v>
      </c>
      <c r="F87" s="261">
        <f>T60/1000</f>
        <v>0</v>
      </c>
      <c r="G87" s="266">
        <f t="shared" si="30"/>
        <v>2205.8938850967952</v>
      </c>
      <c r="H87" s="939">
        <f t="shared" si="31"/>
        <v>0.70751645917703487</v>
      </c>
      <c r="I87" s="1677">
        <f>H60</f>
        <v>109.60360587692426</v>
      </c>
      <c r="J87" s="261">
        <f>M60</f>
        <v>265.13066316444127</v>
      </c>
      <c r="K87" s="261">
        <f>U60</f>
        <v>0</v>
      </c>
      <c r="L87" s="266">
        <f t="shared" si="32"/>
        <v>374.73426904136556</v>
      </c>
      <c r="AB87" s="76"/>
      <c r="AC87" s="76"/>
      <c r="AE87" s="76"/>
      <c r="AF87" s="76"/>
      <c r="AG87" s="76"/>
      <c r="AH87" s="76"/>
      <c r="AI87" s="76"/>
      <c r="AJ87" s="76"/>
      <c r="AK87" s="76"/>
      <c r="AL87" s="76"/>
      <c r="AM87" s="76"/>
      <c r="AN87" s="76"/>
      <c r="AO87" s="76"/>
      <c r="AP87" s="76"/>
      <c r="AQ87" s="76"/>
      <c r="AR87" s="76"/>
      <c r="AS87" s="76"/>
      <c r="AT87" s="76"/>
      <c r="AU87" s="76"/>
      <c r="AV87" s="76"/>
      <c r="AW87" s="76"/>
      <c r="AX87" s="76"/>
    </row>
    <row r="88" spans="1:50" x14ac:dyDescent="0.2">
      <c r="C88" s="2240" t="s">
        <v>1438</v>
      </c>
      <c r="D88" s="2331">
        <f>D16/1000</f>
        <v>642.80406297812715</v>
      </c>
      <c r="E88" s="2331">
        <f>I16/1000</f>
        <v>15.298999999999999</v>
      </c>
      <c r="F88" s="2331">
        <f>Q16/1000</f>
        <v>278.29074365170709</v>
      </c>
      <c r="G88" s="2422">
        <f t="shared" ref="G88" si="33">SUM(D88:F88)</f>
        <v>936.39380662983422</v>
      </c>
      <c r="H88" s="2566">
        <f>SUM(E88:F88)/G88</f>
        <v>0.31353234245361261</v>
      </c>
      <c r="I88" s="2567"/>
      <c r="J88" s="2331"/>
      <c r="K88" s="2331"/>
      <c r="L88" s="1652"/>
    </row>
    <row r="89" spans="1:50" s="76" customFormat="1" x14ac:dyDescent="0.2">
      <c r="A89" s="74"/>
      <c r="B89" s="74"/>
      <c r="C89" s="1641" t="s">
        <v>1439</v>
      </c>
      <c r="D89" s="2314">
        <f>G16/1000</f>
        <v>814.29709425547787</v>
      </c>
      <c r="E89" s="2314">
        <f>L16/1000</f>
        <v>81.013999999999996</v>
      </c>
      <c r="F89" s="2314">
        <f>T16/1000</f>
        <v>352.5356433870146</v>
      </c>
      <c r="G89" s="254">
        <f t="shared" ref="G89:G91" si="34">SUM(D89:F89)</f>
        <v>1247.8467376424924</v>
      </c>
      <c r="H89" s="938">
        <f>SUM(E89:F89)/G89</f>
        <v>0.34743821521391549</v>
      </c>
      <c r="I89" s="2568"/>
      <c r="J89" s="2314"/>
      <c r="K89" s="2314"/>
      <c r="L89" s="253"/>
      <c r="M89" s="74"/>
      <c r="N89" s="74"/>
      <c r="O89" s="74"/>
      <c r="P89" s="74"/>
      <c r="Q89" s="74"/>
      <c r="R89" s="74"/>
      <c r="S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row>
    <row r="90" spans="1:50" x14ac:dyDescent="0.2">
      <c r="C90" s="1641" t="s">
        <v>1437</v>
      </c>
      <c r="D90" s="2314">
        <f>(SUMIFS('Basel data'!$E$8:$E$604,'Basel data'!$C$8:$C$604,"K100",'Basel data'!$G$8:$G$604,"victoria")+SUMIFS('Basel data'!$F$8:$F$604,'Basel data'!$C$8:$C$604,"K100",'Basel data'!$G$8:$G$604,"victoria")+SUMIFS('Basel data'!$E$8:$E$604,'Basel data'!$C$8:$C$604,"K110",'Basel data'!$G$8:$G$604,"victoria")+SUMIFS('Basel data'!$F$8:$F$604,'Basel data'!$C$8:$C$604,"K110",'Basel data'!$G$8:$G$604,"victoria"))*(1-SUM('Other national data'!M432:N432))/1000</f>
        <v>8.0513018230280391</v>
      </c>
      <c r="E90" s="2314">
        <f>(SUMIFS('Basel data'!$E$8:$E$604,'Basel data'!$C$8:$C$604,"K100",'Basel data'!$G$8:$G$604,"victoria")+SUMIFS('Basel data'!$F$8:$F$604,'Basel data'!$C$8:$C$604,"K100",'Basel data'!$G$8:$G$604,"victoria")+SUMIFS('Basel data'!$E$8:$E$604,'Basel data'!$C$8:$C$604,"K110",'Basel data'!$G$8:$G$604,"victoria")+SUMIFS('Basel data'!$F$8:$F$604,'Basel data'!$C$8:$C$604,"K110",'Basel data'!$G$8:$G$604,"victoria"))*'Other national data'!M432/1000</f>
        <v>151.33056517696969</v>
      </c>
      <c r="F90" s="2314">
        <f>(SUMIFS('Basel data'!$E$8:$E$604,'Basel data'!$C$8:$C$604,"K100",'Basel data'!$G$8:$G$604,"victoria")+SUMIFS('Basel data'!$F$8:$F$604,'Basel data'!$C$8:$C$604,"K100",'Basel data'!$G$8:$G$604,"victoria")+SUMIFS('Basel data'!$E$8:$E$604,'Basel data'!$C$8:$C$604,"K110",'Basel data'!$G$8:$G$604,"victoria")+SUMIFS('Basel data'!$F$8:$F$604,'Basel data'!$C$8:$C$604,"K110",'Basel data'!$G$8:$G$604,"victoria"))*'Other national data'!N432/1000</f>
        <v>1.5938186699999933E-12</v>
      </c>
      <c r="G90" s="254">
        <f t="shared" si="34"/>
        <v>159.38186699999932</v>
      </c>
      <c r="H90" s="938">
        <f>SUM(E90:F90)/G90</f>
        <v>0.94948420435413727</v>
      </c>
      <c r="I90" s="2568"/>
      <c r="J90" s="2314"/>
      <c r="K90" s="2314"/>
      <c r="L90" s="253"/>
    </row>
    <row r="91" spans="1:50" x14ac:dyDescent="0.2">
      <c r="C91" s="2049" t="s">
        <v>1436</v>
      </c>
      <c r="D91" s="2315">
        <f>SUM(D89:D90)</f>
        <v>822.34839607850586</v>
      </c>
      <c r="E91" s="2315">
        <f t="shared" ref="E91:F91" si="35">SUM(E89:E90)</f>
        <v>232.3445651769697</v>
      </c>
      <c r="F91" s="2315">
        <f t="shared" si="35"/>
        <v>352.53564338701619</v>
      </c>
      <c r="G91" s="266">
        <f t="shared" si="34"/>
        <v>1407.2286046424915</v>
      </c>
      <c r="H91" s="939">
        <f>SUM(E91:F91)/G91</f>
        <v>0.41562558253466969</v>
      </c>
      <c r="AB91" s="76"/>
      <c r="AC91" s="76"/>
      <c r="AE91" s="76"/>
      <c r="AF91" s="76"/>
      <c r="AG91" s="76"/>
      <c r="AH91" s="76"/>
      <c r="AI91" s="76"/>
      <c r="AJ91" s="76"/>
      <c r="AK91" s="76"/>
      <c r="AL91" s="76"/>
      <c r="AM91" s="76"/>
      <c r="AN91" s="76"/>
      <c r="AO91" s="76"/>
      <c r="AP91" s="76"/>
      <c r="AQ91" s="76"/>
      <c r="AR91" s="76"/>
      <c r="AS91" s="76"/>
      <c r="AT91" s="76"/>
      <c r="AU91" s="76"/>
      <c r="AV91" s="76"/>
      <c r="AW91" s="76"/>
      <c r="AX91" s="76"/>
    </row>
    <row r="93" spans="1:50" x14ac:dyDescent="0.2">
      <c r="C93" s="1629" t="s">
        <v>342</v>
      </c>
      <c r="D93" s="253">
        <f>SUM(G11,G15,G21,G26,G36,G37,G40,G52:G53,N63:P63)/1000</f>
        <v>4548.1805606457456</v>
      </c>
    </row>
    <row r="94" spans="1:50" s="76" customFormat="1" x14ac:dyDescent="0.2">
      <c r="A94" s="74"/>
      <c r="B94" s="74"/>
      <c r="C94" s="74"/>
      <c r="D94" s="74"/>
      <c r="E94" s="74"/>
      <c r="F94" s="74"/>
      <c r="G94" s="74"/>
      <c r="H94" s="74"/>
      <c r="I94" s="74"/>
      <c r="J94" s="74"/>
      <c r="K94" s="74"/>
      <c r="L94" s="74"/>
      <c r="M94" s="74"/>
      <c r="N94" s="74"/>
      <c r="O94" s="74"/>
      <c r="P94" s="74"/>
      <c r="Q94" s="74"/>
      <c r="R94" s="74"/>
      <c r="S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row>
    <row r="95" spans="1:50" s="76" customFormat="1" x14ac:dyDescent="0.2">
      <c r="A95" s="74"/>
      <c r="B95" s="74"/>
      <c r="C95" s="74"/>
      <c r="D95" s="74"/>
      <c r="E95" s="74"/>
      <c r="F95" s="74"/>
      <c r="G95" s="74"/>
      <c r="H95" s="74"/>
      <c r="I95" s="74"/>
      <c r="J95" s="74"/>
      <c r="K95" s="74"/>
      <c r="L95" s="74"/>
      <c r="M95" s="74"/>
      <c r="N95" s="74"/>
      <c r="O95" s="74"/>
      <c r="P95" s="74"/>
      <c r="Q95" s="74"/>
      <c r="R95" s="74"/>
      <c r="S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row>
    <row r="97" spans="1:50" x14ac:dyDescent="0.2">
      <c r="AB97" s="76"/>
      <c r="AC97" s="76"/>
      <c r="AE97" s="76"/>
      <c r="AF97" s="76"/>
      <c r="AG97" s="76"/>
      <c r="AH97" s="76"/>
      <c r="AI97" s="76"/>
      <c r="AJ97" s="76"/>
      <c r="AK97" s="76"/>
      <c r="AL97" s="76"/>
      <c r="AM97" s="76"/>
      <c r="AN97" s="76"/>
      <c r="AO97" s="76"/>
      <c r="AP97" s="76"/>
      <c r="AQ97" s="76"/>
      <c r="AR97" s="76"/>
      <c r="AS97" s="76"/>
      <c r="AT97" s="76"/>
      <c r="AU97" s="76"/>
      <c r="AV97" s="76"/>
      <c r="AW97" s="76"/>
      <c r="AX97" s="76"/>
    </row>
    <row r="102" spans="1:50" ht="12.75" customHeight="1" x14ac:dyDescent="0.2">
      <c r="AB102" s="76"/>
      <c r="AC102" s="76"/>
      <c r="AE102" s="76"/>
      <c r="AF102" s="76"/>
      <c r="AG102" s="76"/>
      <c r="AH102" s="76"/>
      <c r="AI102" s="76"/>
      <c r="AJ102" s="76"/>
      <c r="AK102" s="76"/>
      <c r="AL102" s="76"/>
      <c r="AM102" s="76"/>
      <c r="AN102" s="76"/>
      <c r="AO102" s="76"/>
      <c r="AP102" s="76"/>
      <c r="AQ102" s="76"/>
      <c r="AR102" s="76"/>
      <c r="AS102" s="76"/>
      <c r="AT102" s="76"/>
      <c r="AU102" s="76"/>
      <c r="AV102" s="76"/>
      <c r="AW102" s="76"/>
      <c r="AX102" s="76"/>
    </row>
    <row r="103" spans="1:50" x14ac:dyDescent="0.2">
      <c r="V103" s="74"/>
    </row>
    <row r="104" spans="1:50" x14ac:dyDescent="0.2">
      <c r="V104" s="74"/>
    </row>
    <row r="105" spans="1:50" x14ac:dyDescent="0.2">
      <c r="V105" s="74"/>
    </row>
    <row r="106" spans="1:50" x14ac:dyDescent="0.2">
      <c r="T106" s="77"/>
      <c r="U106" s="77"/>
      <c r="V106" s="77"/>
      <c r="W106" s="77"/>
      <c r="X106" s="77"/>
      <c r="Y106" s="77"/>
      <c r="Z106" s="77"/>
      <c r="AA106" s="77"/>
      <c r="AB106" s="77"/>
      <c r="AC106" s="77"/>
      <c r="AE106" s="77"/>
      <c r="AF106" s="77"/>
      <c r="AG106" s="77"/>
      <c r="AH106" s="77"/>
      <c r="AI106" s="77"/>
      <c r="AJ106" s="77"/>
      <c r="AK106" s="77"/>
      <c r="AL106" s="77"/>
      <c r="AM106" s="77"/>
      <c r="AN106" s="77"/>
      <c r="AO106" s="77"/>
      <c r="AP106" s="77"/>
      <c r="AQ106" s="77"/>
      <c r="AR106" s="77"/>
      <c r="AS106" s="77"/>
      <c r="AT106" s="77"/>
      <c r="AU106" s="77"/>
      <c r="AV106" s="77"/>
      <c r="AW106" s="77"/>
      <c r="AX106" s="77"/>
    </row>
    <row r="107" spans="1:50" s="76" customFormat="1" x14ac:dyDescent="0.2">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row>
    <row r="108" spans="1:50" x14ac:dyDescent="0.2">
      <c r="V108" s="74"/>
    </row>
    <row r="109" spans="1:50" x14ac:dyDescent="0.2">
      <c r="V109" s="74"/>
    </row>
    <row r="110" spans="1:50" x14ac:dyDescent="0.2">
      <c r="V110" s="74"/>
    </row>
    <row r="111" spans="1:50" s="76" customFormat="1" x14ac:dyDescent="0.2">
      <c r="A111" s="74"/>
      <c r="B111" s="74"/>
      <c r="C111" s="74"/>
      <c r="D111" s="74"/>
      <c r="E111" s="74"/>
      <c r="F111" s="74"/>
      <c r="G111" s="74"/>
      <c r="H111" s="74"/>
      <c r="I111" s="74"/>
      <c r="J111" s="74"/>
      <c r="K111" s="74"/>
      <c r="L111" s="74"/>
      <c r="M111" s="74"/>
      <c r="N111" s="74"/>
      <c r="O111" s="74"/>
      <c r="P111" s="74"/>
      <c r="Q111" s="74"/>
      <c r="R111" s="74"/>
      <c r="S111" s="74"/>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row>
    <row r="112" spans="1:50" x14ac:dyDescent="0.2">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row>
    <row r="113" spans="1:50" x14ac:dyDescent="0.2">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row>
    <row r="114" spans="1:50" x14ac:dyDescent="0.2">
      <c r="V114" s="74"/>
    </row>
    <row r="115" spans="1:50" x14ac:dyDescent="0.2">
      <c r="V115" s="74"/>
    </row>
    <row r="116" spans="1:50" x14ac:dyDescent="0.2">
      <c r="T116" s="76"/>
      <c r="U116" s="76"/>
      <c r="V116" s="76"/>
      <c r="W116" s="76"/>
      <c r="X116" s="76"/>
      <c r="Y116" s="76"/>
      <c r="Z116" s="76"/>
      <c r="AA116" s="76"/>
      <c r="AB116" s="76"/>
      <c r="AC116" s="76"/>
      <c r="AD116" s="76"/>
      <c r="AE116" s="76"/>
      <c r="AS116" s="76"/>
      <c r="AT116" s="76"/>
      <c r="AU116" s="76"/>
      <c r="AV116" s="76"/>
      <c r="AW116" s="76"/>
      <c r="AX116" s="76"/>
    </row>
    <row r="117" spans="1:50" s="76" customFormat="1" x14ac:dyDescent="0.2">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row>
    <row r="118" spans="1:50" x14ac:dyDescent="0.2">
      <c r="V118" s="74"/>
    </row>
    <row r="119" spans="1:50" x14ac:dyDescent="0.2">
      <c r="V119" s="74"/>
    </row>
    <row r="120" spans="1:50" x14ac:dyDescent="0.2">
      <c r="V120" s="74"/>
    </row>
    <row r="122" spans="1:50" s="76" customFormat="1" x14ac:dyDescent="0.2">
      <c r="A122" s="74"/>
      <c r="B122" s="74"/>
      <c r="C122" s="74"/>
      <c r="D122" s="74"/>
      <c r="E122" s="74"/>
      <c r="F122" s="74"/>
      <c r="G122" s="74"/>
      <c r="H122" s="74"/>
      <c r="I122" s="74"/>
      <c r="J122" s="74"/>
      <c r="K122" s="74"/>
      <c r="L122" s="74"/>
      <c r="M122" s="74"/>
      <c r="N122" s="74"/>
      <c r="O122" s="74"/>
      <c r="P122" s="74"/>
      <c r="Q122" s="74"/>
      <c r="R122" s="74"/>
      <c r="S122" s="74"/>
      <c r="T122" s="74"/>
      <c r="U122" s="74"/>
      <c r="V122" s="75"/>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6" spans="1:50" s="77" customFormat="1" x14ac:dyDescent="0.2">
      <c r="A126" s="74"/>
      <c r="B126" s="74"/>
      <c r="C126" s="74"/>
      <c r="D126" s="74"/>
      <c r="E126" s="74"/>
      <c r="F126" s="74"/>
      <c r="G126" s="74"/>
      <c r="H126" s="74"/>
      <c r="I126" s="74"/>
      <c r="J126" s="74"/>
      <c r="K126" s="74"/>
      <c r="L126" s="74"/>
      <c r="M126" s="74"/>
      <c r="N126" s="74"/>
      <c r="O126" s="74"/>
      <c r="P126" s="74"/>
      <c r="Q126" s="74"/>
      <c r="R126" s="74"/>
      <c r="S126" s="74"/>
      <c r="T126" s="74"/>
      <c r="U126" s="74"/>
      <c r="V126" s="75"/>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31" spans="1:44" s="77" customFormat="1" x14ac:dyDescent="0.2">
      <c r="A131" s="74"/>
      <c r="B131" s="74"/>
      <c r="C131" s="74"/>
      <c r="D131" s="74"/>
      <c r="E131" s="74"/>
      <c r="F131" s="74"/>
      <c r="G131" s="74"/>
      <c r="H131" s="74"/>
      <c r="I131" s="74"/>
      <c r="J131" s="74"/>
      <c r="K131" s="74"/>
      <c r="L131" s="74"/>
      <c r="M131" s="74"/>
      <c r="N131" s="74"/>
      <c r="O131" s="74"/>
      <c r="P131" s="74"/>
      <c r="Q131" s="74"/>
      <c r="R131" s="74"/>
      <c r="S131" s="74"/>
      <c r="T131" s="74"/>
      <c r="U131" s="74"/>
      <c r="V131" s="75"/>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spans="1:44" s="76" customFormat="1" x14ac:dyDescent="0.2">
      <c r="A132" s="74"/>
      <c r="B132" s="74"/>
      <c r="C132" s="74"/>
      <c r="D132" s="74"/>
      <c r="E132" s="74"/>
      <c r="F132" s="74"/>
      <c r="G132" s="74"/>
      <c r="H132" s="74"/>
      <c r="I132" s="74"/>
      <c r="J132" s="74"/>
      <c r="K132" s="74"/>
      <c r="L132" s="74"/>
      <c r="M132" s="74"/>
      <c r="N132" s="74"/>
      <c r="O132" s="74"/>
      <c r="P132" s="74"/>
      <c r="Q132" s="74"/>
      <c r="R132" s="74"/>
      <c r="S132" s="74"/>
      <c r="T132" s="74"/>
      <c r="U132" s="74"/>
      <c r="V132" s="75"/>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spans="1:44" s="76" customFormat="1" x14ac:dyDescent="0.2">
      <c r="A133" s="74"/>
      <c r="B133" s="74"/>
      <c r="C133" s="74"/>
      <c r="D133" s="74"/>
      <c r="E133" s="74"/>
      <c r="F133" s="74"/>
      <c r="G133" s="74"/>
      <c r="H133" s="74"/>
      <c r="I133" s="74"/>
      <c r="J133" s="74"/>
      <c r="K133" s="74"/>
      <c r="L133" s="74"/>
      <c r="M133" s="74"/>
      <c r="N133" s="74"/>
      <c r="O133" s="74"/>
      <c r="P133" s="74"/>
      <c r="Q133" s="74"/>
      <c r="R133" s="74"/>
      <c r="S133" s="74"/>
      <c r="T133" s="74"/>
      <c r="U133" s="74"/>
      <c r="V133" s="75"/>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6" spans="1:44" s="76" customFormat="1" x14ac:dyDescent="0.2">
      <c r="A136" s="74"/>
      <c r="B136" s="74"/>
      <c r="C136" s="74"/>
      <c r="D136" s="74"/>
      <c r="E136" s="74"/>
      <c r="F136" s="74"/>
      <c r="G136" s="74"/>
      <c r="H136" s="74"/>
      <c r="I136" s="74"/>
      <c r="J136" s="74"/>
      <c r="K136" s="74"/>
      <c r="L136" s="74"/>
      <c r="M136" s="74"/>
      <c r="N136" s="74"/>
      <c r="O136" s="74"/>
      <c r="P136" s="74"/>
      <c r="Q136" s="74"/>
      <c r="R136" s="74"/>
      <c r="S136" s="74"/>
      <c r="T136" s="74"/>
      <c r="U136" s="74"/>
      <c r="V136" s="75"/>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spans="1:44" x14ac:dyDescent="0.2">
      <c r="AJ137" s="76"/>
      <c r="AK137" s="76"/>
      <c r="AL137" s="76"/>
      <c r="AM137" s="76"/>
      <c r="AN137" s="76"/>
      <c r="AO137" s="76"/>
      <c r="AP137" s="76"/>
      <c r="AQ137" s="76"/>
    </row>
    <row r="141" spans="1:44" s="76" customFormat="1" x14ac:dyDescent="0.2">
      <c r="A141" s="74"/>
      <c r="B141" s="74"/>
      <c r="C141" s="74"/>
      <c r="D141" s="74"/>
      <c r="E141" s="74"/>
      <c r="F141" s="74"/>
      <c r="G141" s="74"/>
      <c r="H141" s="74"/>
      <c r="I141" s="74"/>
      <c r="J141" s="74"/>
      <c r="K141" s="74"/>
      <c r="L141" s="74"/>
      <c r="M141" s="74"/>
      <c r="N141" s="74"/>
      <c r="O141" s="74"/>
      <c r="P141" s="74"/>
      <c r="Q141" s="74"/>
      <c r="R141" s="74"/>
      <c r="S141" s="74"/>
      <c r="T141" s="74"/>
      <c r="U141" s="74"/>
      <c r="V141" s="75"/>
      <c r="W141" s="74"/>
      <c r="X141" s="74"/>
      <c r="Y141" s="74"/>
      <c r="Z141" s="74"/>
      <c r="AA141" s="74"/>
      <c r="AB141" s="74"/>
      <c r="AC141" s="74"/>
      <c r="AD141" s="74"/>
      <c r="AE141" s="74"/>
      <c r="AJ141" s="74"/>
      <c r="AK141" s="74"/>
      <c r="AL141" s="74"/>
      <c r="AM141" s="74"/>
      <c r="AN141" s="74"/>
      <c r="AO141" s="74"/>
      <c r="AP141" s="74"/>
      <c r="AQ141" s="74"/>
    </row>
    <row r="142" spans="1:44" s="76" customFormat="1" x14ac:dyDescent="0.2">
      <c r="A142" s="74"/>
      <c r="B142" s="74"/>
      <c r="C142" s="74"/>
      <c r="D142" s="74"/>
      <c r="E142" s="74"/>
      <c r="F142" s="74"/>
      <c r="G142" s="74"/>
      <c r="H142" s="74"/>
      <c r="I142" s="74"/>
      <c r="J142" s="74"/>
      <c r="K142" s="74"/>
      <c r="L142" s="74"/>
      <c r="M142" s="74"/>
      <c r="N142" s="74"/>
      <c r="O142" s="74"/>
      <c r="P142" s="74"/>
      <c r="Q142" s="74"/>
      <c r="R142" s="74"/>
      <c r="S142" s="74"/>
      <c r="T142" s="74"/>
      <c r="U142" s="74"/>
      <c r="V142" s="75"/>
      <c r="W142" s="74"/>
      <c r="X142" s="74"/>
      <c r="Y142" s="74"/>
      <c r="Z142" s="74"/>
      <c r="AA142" s="74"/>
      <c r="AB142" s="74"/>
      <c r="AC142" s="74"/>
      <c r="AD142" s="74"/>
      <c r="AE142" s="74"/>
    </row>
    <row r="143" spans="1:44" x14ac:dyDescent="0.2">
      <c r="AJ143" s="76"/>
      <c r="AK143" s="76"/>
      <c r="AL143" s="76"/>
      <c r="AM143" s="76"/>
      <c r="AN143" s="76"/>
      <c r="AO143" s="76"/>
      <c r="AP143" s="76"/>
      <c r="AQ143" s="76"/>
    </row>
    <row r="149" spans="1:43" ht="12.75" customHeight="1" x14ac:dyDescent="0.2">
      <c r="AF149" s="78"/>
      <c r="AG149" s="78"/>
      <c r="AH149" s="78"/>
      <c r="AI149" s="78"/>
    </row>
    <row r="150" spans="1:43" x14ac:dyDescent="0.2">
      <c r="AF150" s="79"/>
      <c r="AG150" s="79"/>
      <c r="AH150" s="79"/>
      <c r="AI150" s="79"/>
      <c r="AJ150" s="78"/>
    </row>
    <row r="151" spans="1:43" x14ac:dyDescent="0.2">
      <c r="AF151" s="80"/>
      <c r="AG151" s="80"/>
      <c r="AH151" s="81"/>
      <c r="AI151" s="81"/>
      <c r="AJ151" s="79"/>
    </row>
    <row r="152" spans="1:43" x14ac:dyDescent="0.2">
      <c r="AF152" s="80"/>
      <c r="AG152" s="80"/>
      <c r="AH152" s="81"/>
      <c r="AI152" s="81"/>
      <c r="AJ152" s="82"/>
    </row>
    <row r="153" spans="1:43" x14ac:dyDescent="0.2">
      <c r="AJ153" s="82"/>
    </row>
    <row r="154" spans="1:43" s="76" customFormat="1" x14ac:dyDescent="0.2">
      <c r="A154" s="74"/>
      <c r="B154" s="74"/>
      <c r="C154" s="74"/>
      <c r="D154" s="74"/>
      <c r="E154" s="74"/>
      <c r="F154" s="74"/>
      <c r="G154" s="74"/>
      <c r="H154" s="74"/>
      <c r="I154" s="74"/>
      <c r="J154" s="74"/>
      <c r="K154" s="74"/>
      <c r="L154" s="74"/>
      <c r="M154" s="74"/>
      <c r="N154" s="74"/>
      <c r="O154" s="74"/>
      <c r="P154" s="74"/>
      <c r="Q154" s="74"/>
      <c r="R154" s="74"/>
      <c r="S154" s="74"/>
      <c r="T154" s="74"/>
      <c r="U154" s="74"/>
      <c r="V154" s="75"/>
      <c r="W154" s="74"/>
      <c r="X154" s="74"/>
      <c r="Y154" s="74"/>
      <c r="Z154" s="74"/>
      <c r="AA154" s="74"/>
      <c r="AB154" s="74"/>
      <c r="AC154" s="74"/>
      <c r="AD154" s="74"/>
      <c r="AE154" s="74"/>
      <c r="AJ154" s="74"/>
      <c r="AK154" s="74"/>
      <c r="AL154" s="74"/>
      <c r="AM154" s="74"/>
      <c r="AN154" s="74"/>
      <c r="AO154" s="74"/>
      <c r="AP154" s="74"/>
      <c r="AQ154" s="74"/>
    </row>
    <row r="155" spans="1:43" x14ac:dyDescent="0.2">
      <c r="AJ155" s="76"/>
      <c r="AK155" s="76"/>
      <c r="AL155" s="76"/>
      <c r="AM155" s="76"/>
      <c r="AN155" s="76"/>
      <c r="AO155" s="76"/>
      <c r="AP155" s="76"/>
      <c r="AQ155" s="76"/>
    </row>
    <row r="158" spans="1:43" s="76" customFormat="1" x14ac:dyDescent="0.2">
      <c r="A158" s="74"/>
      <c r="B158" s="74"/>
      <c r="C158" s="74"/>
      <c r="D158" s="74"/>
      <c r="E158" s="74"/>
      <c r="F158" s="74"/>
      <c r="G158" s="74"/>
      <c r="H158" s="74"/>
      <c r="I158" s="74"/>
      <c r="J158" s="74"/>
      <c r="K158" s="74"/>
      <c r="L158" s="74"/>
      <c r="M158" s="74"/>
      <c r="N158" s="74"/>
      <c r="O158" s="74"/>
      <c r="P158" s="74"/>
      <c r="Q158" s="74"/>
      <c r="R158" s="74"/>
      <c r="S158" s="74"/>
      <c r="T158" s="74"/>
      <c r="U158" s="74"/>
      <c r="V158" s="75"/>
      <c r="W158" s="74"/>
      <c r="X158" s="74"/>
      <c r="Y158" s="74"/>
      <c r="Z158" s="74"/>
      <c r="AA158" s="74"/>
      <c r="AB158" s="74"/>
      <c r="AC158" s="74"/>
      <c r="AD158" s="74"/>
      <c r="AE158" s="74"/>
      <c r="AJ158" s="74"/>
      <c r="AK158" s="74"/>
      <c r="AL158" s="74"/>
      <c r="AM158" s="74"/>
      <c r="AN158" s="74"/>
      <c r="AO158" s="74"/>
      <c r="AP158" s="74"/>
      <c r="AQ158" s="74"/>
    </row>
    <row r="159" spans="1:43" x14ac:dyDescent="0.2">
      <c r="AJ159" s="76"/>
      <c r="AK159" s="76"/>
      <c r="AL159" s="76"/>
      <c r="AM159" s="76"/>
      <c r="AN159" s="76"/>
      <c r="AO159" s="76"/>
      <c r="AP159" s="76"/>
      <c r="AQ159" s="76"/>
    </row>
    <row r="164" spans="1:43" s="76" customFormat="1" x14ac:dyDescent="0.2">
      <c r="A164" s="74"/>
      <c r="B164" s="74"/>
      <c r="C164" s="74"/>
      <c r="D164" s="74"/>
      <c r="E164" s="74"/>
      <c r="F164" s="74"/>
      <c r="G164" s="74"/>
      <c r="H164" s="74"/>
      <c r="I164" s="74"/>
      <c r="J164" s="74"/>
      <c r="K164" s="74"/>
      <c r="L164" s="74"/>
      <c r="M164" s="74"/>
      <c r="N164" s="74"/>
      <c r="O164" s="74"/>
      <c r="P164" s="74"/>
      <c r="Q164" s="74"/>
      <c r="R164" s="74"/>
      <c r="S164" s="74"/>
      <c r="T164" s="74"/>
      <c r="U164" s="74"/>
      <c r="V164" s="75"/>
      <c r="W164" s="74"/>
      <c r="X164" s="74"/>
      <c r="Y164" s="74"/>
      <c r="Z164" s="74"/>
      <c r="AA164" s="74"/>
      <c r="AB164" s="74"/>
      <c r="AC164" s="74"/>
      <c r="AD164" s="74"/>
      <c r="AE164" s="74"/>
      <c r="AJ164" s="74"/>
      <c r="AK164" s="74"/>
      <c r="AL164" s="74"/>
      <c r="AM164" s="74"/>
      <c r="AN164" s="74"/>
      <c r="AO164" s="74"/>
      <c r="AP164" s="74"/>
      <c r="AQ164" s="74"/>
    </row>
    <row r="165" spans="1:43" x14ac:dyDescent="0.2">
      <c r="AJ165" s="76"/>
      <c r="AK165" s="76"/>
      <c r="AL165" s="76"/>
      <c r="AM165" s="76"/>
      <c r="AN165" s="76"/>
      <c r="AO165" s="76"/>
      <c r="AP165" s="76"/>
      <c r="AQ165" s="76"/>
    </row>
    <row r="169" spans="1:43" s="76" customFormat="1" x14ac:dyDescent="0.2">
      <c r="A169" s="74"/>
      <c r="B169" s="74"/>
      <c r="C169" s="74"/>
      <c r="D169" s="74"/>
      <c r="E169" s="74"/>
      <c r="F169" s="74"/>
      <c r="G169" s="74"/>
      <c r="H169" s="74"/>
      <c r="I169" s="74"/>
      <c r="J169" s="74"/>
      <c r="K169" s="74"/>
      <c r="L169" s="74"/>
      <c r="M169" s="74"/>
      <c r="N169" s="74"/>
      <c r="O169" s="74"/>
      <c r="P169" s="74"/>
      <c r="Q169" s="74"/>
      <c r="R169" s="74"/>
      <c r="S169" s="74"/>
      <c r="T169" s="74"/>
      <c r="U169" s="74"/>
      <c r="V169" s="75"/>
      <c r="W169" s="74"/>
      <c r="X169" s="74"/>
      <c r="Y169" s="74"/>
      <c r="Z169" s="74"/>
      <c r="AA169" s="74"/>
      <c r="AB169" s="74"/>
      <c r="AC169" s="74"/>
      <c r="AD169" s="74"/>
      <c r="AE169" s="74"/>
      <c r="AJ169" s="74"/>
      <c r="AK169" s="74"/>
      <c r="AL169" s="74"/>
      <c r="AM169" s="74"/>
      <c r="AN169" s="74"/>
      <c r="AO169" s="74"/>
      <c r="AP169" s="74"/>
      <c r="AQ169" s="74"/>
    </row>
    <row r="170" spans="1:43" x14ac:dyDescent="0.2">
      <c r="AJ170" s="76"/>
      <c r="AK170" s="76"/>
      <c r="AL170" s="76"/>
      <c r="AM170" s="76"/>
      <c r="AN170" s="76"/>
      <c r="AO170" s="76"/>
      <c r="AP170" s="76"/>
      <c r="AQ170" s="76"/>
    </row>
    <row r="173" spans="1:43" s="77" customFormat="1" x14ac:dyDescent="0.2">
      <c r="A173" s="74"/>
      <c r="B173" s="74"/>
      <c r="C173" s="74"/>
      <c r="D173" s="74"/>
      <c r="E173" s="74"/>
      <c r="F173" s="74"/>
      <c r="G173" s="74"/>
      <c r="H173" s="74"/>
      <c r="I173" s="74"/>
      <c r="J173" s="74"/>
      <c r="K173" s="74"/>
      <c r="L173" s="74"/>
      <c r="M173" s="74"/>
      <c r="N173" s="74"/>
      <c r="O173" s="74"/>
      <c r="P173" s="74"/>
      <c r="Q173" s="74"/>
      <c r="R173" s="74"/>
      <c r="S173" s="74"/>
      <c r="T173" s="74"/>
      <c r="U173" s="74"/>
      <c r="V173" s="75"/>
      <c r="W173" s="74"/>
      <c r="X173" s="74"/>
      <c r="Y173" s="74"/>
      <c r="Z173" s="74"/>
      <c r="AA173" s="74"/>
      <c r="AB173" s="74"/>
      <c r="AC173" s="74"/>
      <c r="AD173" s="74"/>
      <c r="AE173" s="74"/>
      <c r="AJ173" s="74"/>
      <c r="AK173" s="74"/>
      <c r="AL173" s="74"/>
      <c r="AM173" s="74"/>
      <c r="AN173" s="74"/>
      <c r="AO173" s="74"/>
      <c r="AP173" s="74"/>
      <c r="AQ173" s="74"/>
    </row>
    <row r="174" spans="1:43" x14ac:dyDescent="0.2">
      <c r="AJ174" s="77"/>
      <c r="AK174" s="77"/>
      <c r="AL174" s="77"/>
      <c r="AM174" s="77"/>
      <c r="AN174" s="77"/>
      <c r="AO174" s="77"/>
      <c r="AP174" s="77"/>
      <c r="AQ174" s="77"/>
    </row>
    <row r="178" spans="1:43" s="77" customFormat="1" x14ac:dyDescent="0.2">
      <c r="A178" s="74"/>
      <c r="B178" s="74"/>
      <c r="C178" s="74"/>
      <c r="D178" s="74"/>
      <c r="E178" s="74"/>
      <c r="F178" s="74"/>
      <c r="G178" s="74"/>
      <c r="H178" s="74"/>
      <c r="I178" s="74"/>
      <c r="J178" s="74"/>
      <c r="K178" s="74"/>
      <c r="L178" s="74"/>
      <c r="M178" s="74"/>
      <c r="N178" s="74"/>
      <c r="O178" s="74"/>
      <c r="P178" s="74"/>
      <c r="Q178" s="74"/>
      <c r="R178" s="74"/>
      <c r="S178" s="74"/>
      <c r="T178" s="74"/>
      <c r="U178" s="74"/>
      <c r="V178" s="75"/>
      <c r="W178" s="74"/>
      <c r="X178" s="74"/>
      <c r="Y178" s="74"/>
      <c r="Z178" s="74"/>
      <c r="AA178" s="74"/>
      <c r="AB178" s="74"/>
      <c r="AC178" s="74"/>
      <c r="AD178" s="74"/>
      <c r="AE178" s="74"/>
      <c r="AJ178" s="74"/>
      <c r="AK178" s="74"/>
      <c r="AL178" s="74"/>
      <c r="AM178" s="74"/>
      <c r="AN178" s="74"/>
      <c r="AO178" s="74"/>
      <c r="AP178" s="74"/>
      <c r="AQ178" s="74"/>
    </row>
    <row r="179" spans="1:43" s="76" customFormat="1" x14ac:dyDescent="0.2">
      <c r="A179" s="74"/>
      <c r="B179" s="74"/>
      <c r="C179" s="74"/>
      <c r="D179" s="74"/>
      <c r="E179" s="74"/>
      <c r="F179" s="74"/>
      <c r="G179" s="74"/>
      <c r="H179" s="74"/>
      <c r="I179" s="74"/>
      <c r="J179" s="74"/>
      <c r="K179" s="74"/>
      <c r="L179" s="74"/>
      <c r="M179" s="74"/>
      <c r="N179" s="74"/>
      <c r="O179" s="74"/>
      <c r="P179" s="74"/>
      <c r="Q179" s="74"/>
      <c r="R179" s="74"/>
      <c r="S179" s="74"/>
      <c r="T179" s="74"/>
      <c r="U179" s="74"/>
      <c r="V179" s="75"/>
      <c r="W179" s="74"/>
      <c r="X179" s="74"/>
      <c r="Y179" s="74"/>
      <c r="Z179" s="74"/>
      <c r="AA179" s="74"/>
      <c r="AB179" s="74"/>
      <c r="AC179" s="74"/>
      <c r="AD179" s="74"/>
      <c r="AE179" s="74"/>
      <c r="AJ179" s="77"/>
      <c r="AK179" s="77"/>
      <c r="AL179" s="77"/>
      <c r="AM179" s="77"/>
      <c r="AN179" s="77"/>
      <c r="AO179" s="77"/>
      <c r="AP179" s="77"/>
      <c r="AQ179" s="77"/>
    </row>
    <row r="180" spans="1:43" s="76" customFormat="1" x14ac:dyDescent="0.2">
      <c r="A180" s="74"/>
      <c r="B180" s="74"/>
      <c r="C180" s="74"/>
      <c r="D180" s="74"/>
      <c r="E180" s="74"/>
      <c r="F180" s="74"/>
      <c r="G180" s="74"/>
      <c r="H180" s="74"/>
      <c r="I180" s="74"/>
      <c r="J180" s="74"/>
      <c r="K180" s="74"/>
      <c r="L180" s="74"/>
      <c r="M180" s="74"/>
      <c r="N180" s="74"/>
      <c r="O180" s="74"/>
      <c r="P180" s="74"/>
      <c r="Q180" s="74"/>
      <c r="R180" s="74"/>
      <c r="S180" s="74"/>
      <c r="T180" s="74"/>
      <c r="U180" s="74"/>
      <c r="V180" s="75"/>
      <c r="W180" s="74"/>
      <c r="X180" s="74"/>
      <c r="Y180" s="74"/>
      <c r="Z180" s="74"/>
      <c r="AA180" s="74"/>
      <c r="AB180" s="74"/>
      <c r="AC180" s="74"/>
      <c r="AD180" s="74"/>
      <c r="AE180" s="74"/>
    </row>
    <row r="181" spans="1:43" x14ac:dyDescent="0.2">
      <c r="AJ181" s="76"/>
      <c r="AK181" s="76"/>
      <c r="AL181" s="76"/>
      <c r="AM181" s="76"/>
      <c r="AN181" s="76"/>
      <c r="AO181" s="76"/>
      <c r="AP181" s="76"/>
      <c r="AQ181" s="76"/>
    </row>
    <row r="183" spans="1:43" s="76" customFormat="1" x14ac:dyDescent="0.2">
      <c r="A183" s="74"/>
      <c r="B183" s="74"/>
      <c r="C183" s="74"/>
      <c r="D183" s="74"/>
      <c r="E183" s="74"/>
      <c r="F183" s="74"/>
      <c r="G183" s="74"/>
      <c r="H183" s="74"/>
      <c r="I183" s="74"/>
      <c r="J183" s="74"/>
      <c r="K183" s="74"/>
      <c r="L183" s="74"/>
      <c r="M183" s="74"/>
      <c r="N183" s="74"/>
      <c r="O183" s="74"/>
      <c r="P183" s="74"/>
      <c r="Q183" s="74"/>
      <c r="R183" s="74"/>
      <c r="S183" s="74"/>
      <c r="T183" s="74"/>
      <c r="U183" s="74"/>
      <c r="V183" s="75"/>
      <c r="W183" s="74"/>
      <c r="X183" s="74"/>
      <c r="Y183" s="74"/>
      <c r="Z183" s="74"/>
      <c r="AA183" s="74"/>
      <c r="AB183" s="74"/>
      <c r="AC183" s="74"/>
      <c r="AD183" s="74"/>
      <c r="AE183" s="74"/>
      <c r="AJ183" s="74"/>
      <c r="AK183" s="74"/>
      <c r="AL183" s="74"/>
      <c r="AM183" s="74"/>
      <c r="AN183" s="74"/>
      <c r="AO183" s="74"/>
      <c r="AP183" s="74"/>
      <c r="AQ183" s="74"/>
    </row>
    <row r="184" spans="1:43" x14ac:dyDescent="0.2">
      <c r="AJ184" s="76"/>
      <c r="AK184" s="76"/>
      <c r="AL184" s="76"/>
      <c r="AM184" s="76"/>
      <c r="AN184" s="76"/>
      <c r="AO184" s="76"/>
      <c r="AP184" s="76"/>
      <c r="AQ184" s="76"/>
    </row>
    <row r="188" spans="1:43" s="76" customFormat="1" x14ac:dyDescent="0.2">
      <c r="A188" s="74"/>
      <c r="B188" s="74"/>
      <c r="C188" s="74"/>
      <c r="D188" s="74"/>
      <c r="E188" s="74"/>
      <c r="F188" s="74"/>
      <c r="G188" s="74"/>
      <c r="H188" s="74"/>
      <c r="I188" s="74"/>
      <c r="J188" s="74"/>
      <c r="K188" s="74"/>
      <c r="L188" s="74"/>
      <c r="M188" s="74"/>
      <c r="N188" s="74"/>
      <c r="O188" s="74"/>
      <c r="P188" s="74"/>
      <c r="Q188" s="74"/>
      <c r="R188" s="74"/>
      <c r="S188" s="74"/>
      <c r="T188" s="74"/>
      <c r="U188" s="74"/>
      <c r="V188" s="75"/>
      <c r="W188" s="74"/>
      <c r="X188" s="74"/>
      <c r="Y188" s="74"/>
      <c r="Z188" s="74"/>
      <c r="AA188" s="74"/>
      <c r="AB188" s="74"/>
      <c r="AC188" s="74"/>
      <c r="AD188" s="74"/>
      <c r="AE188" s="74"/>
      <c r="AJ188" s="74"/>
      <c r="AK188" s="74"/>
      <c r="AL188" s="74"/>
      <c r="AM188" s="74"/>
      <c r="AN188" s="74"/>
      <c r="AO188" s="74"/>
      <c r="AP188" s="74"/>
      <c r="AQ188" s="74"/>
    </row>
    <row r="189" spans="1:43" s="76" customFormat="1" x14ac:dyDescent="0.2">
      <c r="A189" s="74"/>
      <c r="B189" s="74"/>
      <c r="C189" s="74"/>
      <c r="D189" s="74"/>
      <c r="E189" s="74"/>
      <c r="F189" s="74"/>
      <c r="G189" s="74"/>
      <c r="H189" s="74"/>
      <c r="I189" s="74"/>
      <c r="J189" s="74"/>
      <c r="K189" s="74"/>
      <c r="L189" s="74"/>
      <c r="M189" s="74"/>
      <c r="N189" s="74"/>
      <c r="O189" s="74"/>
      <c r="P189" s="74"/>
      <c r="Q189" s="74"/>
      <c r="R189" s="74"/>
      <c r="S189" s="74"/>
      <c r="T189" s="74"/>
      <c r="U189" s="74"/>
      <c r="V189" s="75"/>
      <c r="W189" s="74"/>
      <c r="X189" s="74"/>
      <c r="Y189" s="74"/>
      <c r="Z189" s="74"/>
      <c r="AA189" s="74"/>
      <c r="AB189" s="74"/>
      <c r="AC189" s="74"/>
      <c r="AD189" s="74"/>
      <c r="AE189" s="74"/>
    </row>
    <row r="190" spans="1:43" x14ac:dyDescent="0.2">
      <c r="AJ190" s="76"/>
      <c r="AK190" s="76"/>
      <c r="AL190" s="76"/>
      <c r="AM190" s="76"/>
      <c r="AN190" s="76"/>
      <c r="AO190" s="76"/>
      <c r="AP190" s="76"/>
      <c r="AQ190" s="76"/>
    </row>
  </sheetData>
  <sheetProtection sheet="1" objects="1" scenarios="1"/>
  <mergeCells count="13">
    <mergeCell ref="B4:B5"/>
    <mergeCell ref="C4:C5"/>
    <mergeCell ref="D4:G4"/>
    <mergeCell ref="H4:H5"/>
    <mergeCell ref="I4:L4"/>
    <mergeCell ref="K67:M67"/>
    <mergeCell ref="D77:G77"/>
    <mergeCell ref="M4:M5"/>
    <mergeCell ref="N3:U3"/>
    <mergeCell ref="N4:P4"/>
    <mergeCell ref="Q4:T4"/>
    <mergeCell ref="U4:U5"/>
    <mergeCell ref="I77:L77"/>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AX190"/>
  <sheetViews>
    <sheetView zoomScale="85" zoomScaleNormal="85" workbookViewId="0">
      <pane xSplit="3" ySplit="5" topLeftCell="D6" activePane="bottomRight" state="frozen"/>
      <selection pane="topRight" activeCell="D1" sqref="D1"/>
      <selection pane="bottomLeft" activeCell="A6" sqref="A6"/>
      <selection pane="bottomRight" activeCell="D6" sqref="D6"/>
    </sheetView>
  </sheetViews>
  <sheetFormatPr defaultColWidth="9.140625" defaultRowHeight="12.75" outlineLevelRow="1" x14ac:dyDescent="0.2"/>
  <cols>
    <col min="1" max="1" width="4.28515625" style="74" customWidth="1"/>
    <col min="2" max="2" width="19.28515625" style="74" customWidth="1"/>
    <col min="3" max="3" width="35.5703125" style="74" customWidth="1"/>
    <col min="4" max="6" width="9.7109375" style="74" customWidth="1"/>
    <col min="7" max="7" width="10.85546875" style="74" customWidth="1"/>
    <col min="8" max="8" width="9.85546875" style="74" customWidth="1"/>
    <col min="9" max="9" width="10.5703125" style="74" customWidth="1"/>
    <col min="10" max="12" width="9.7109375" style="74" customWidth="1"/>
    <col min="13" max="13" width="7.85546875" style="74" customWidth="1"/>
    <col min="14" max="20" width="9.42578125" style="74" customWidth="1"/>
    <col min="21" max="21" width="9.140625" style="74"/>
    <col min="22" max="22" width="9.140625" style="75"/>
    <col min="23" max="24" width="9.140625" style="74"/>
    <col min="25" max="25" width="11" style="74" customWidth="1"/>
    <col min="26" max="26" width="10.42578125" style="74" customWidth="1"/>
    <col min="27" max="27" width="10" style="74" customWidth="1"/>
    <col min="28" max="16384" width="9.140625" style="74"/>
  </cols>
  <sheetData>
    <row r="1" spans="1:39" s="1715" customFormat="1" ht="21" x14ac:dyDescent="0.35">
      <c r="A1" s="1715" t="s">
        <v>842</v>
      </c>
      <c r="F1" s="1716" t="s">
        <v>958</v>
      </c>
      <c r="V1" s="1717"/>
    </row>
    <row r="2" spans="1:39" s="239" customFormat="1" x14ac:dyDescent="0.2">
      <c r="V2" s="240"/>
    </row>
    <row r="3" spans="1:39" s="241" customFormat="1" ht="18.75" x14ac:dyDescent="0.3">
      <c r="B3" s="268"/>
      <c r="C3" s="904" t="s">
        <v>845</v>
      </c>
      <c r="D3" s="277" t="s">
        <v>113</v>
      </c>
      <c r="E3" s="269"/>
      <c r="F3" s="269"/>
      <c r="G3" s="269"/>
      <c r="H3" s="278"/>
      <c r="I3" s="276" t="s">
        <v>114</v>
      </c>
      <c r="J3" s="270"/>
      <c r="K3" s="270"/>
      <c r="L3" s="270"/>
      <c r="M3" s="276"/>
      <c r="N3" s="2778" t="s">
        <v>38</v>
      </c>
      <c r="O3" s="2779"/>
      <c r="P3" s="2779"/>
      <c r="Q3" s="2779"/>
      <c r="R3" s="2779"/>
      <c r="S3" s="2779"/>
      <c r="T3" s="2779"/>
      <c r="U3" s="2780"/>
      <c r="Y3" s="242"/>
    </row>
    <row r="4" spans="1:39" ht="15" customHeight="1" x14ac:dyDescent="0.3">
      <c r="B4" s="2789" t="s">
        <v>843</v>
      </c>
      <c r="C4" s="2791" t="s">
        <v>844</v>
      </c>
      <c r="D4" s="2781" t="s">
        <v>453</v>
      </c>
      <c r="E4" s="2793"/>
      <c r="F4" s="2793"/>
      <c r="G4" s="2794"/>
      <c r="H4" s="2786" t="s">
        <v>110</v>
      </c>
      <c r="I4" s="2793" t="s">
        <v>111</v>
      </c>
      <c r="J4" s="2795"/>
      <c r="K4" s="2795"/>
      <c r="L4" s="2796"/>
      <c r="M4" s="2781" t="s">
        <v>110</v>
      </c>
      <c r="N4" s="2783" t="s">
        <v>456</v>
      </c>
      <c r="O4" s="2784"/>
      <c r="P4" s="2785"/>
      <c r="Q4" s="2784" t="s">
        <v>457</v>
      </c>
      <c r="R4" s="2784"/>
      <c r="S4" s="2784"/>
      <c r="T4" s="2785"/>
      <c r="U4" s="2786" t="s">
        <v>110</v>
      </c>
      <c r="V4" s="78"/>
      <c r="W4" s="241"/>
      <c r="X4" s="247"/>
      <c r="Y4" s="75"/>
    </row>
    <row r="5" spans="1:39" x14ac:dyDescent="0.2">
      <c r="B5" s="2790"/>
      <c r="C5" s="2792"/>
      <c r="D5" s="883" t="s">
        <v>16</v>
      </c>
      <c r="E5" s="300" t="s">
        <v>17</v>
      </c>
      <c r="F5" s="300" t="s">
        <v>18</v>
      </c>
      <c r="G5" s="300" t="s">
        <v>88</v>
      </c>
      <c r="H5" s="2787"/>
      <c r="I5" s="300" t="s">
        <v>16</v>
      </c>
      <c r="J5" s="300" t="s">
        <v>17</v>
      </c>
      <c r="K5" s="300" t="s">
        <v>18</v>
      </c>
      <c r="L5" s="300" t="s">
        <v>88</v>
      </c>
      <c r="M5" s="2782"/>
      <c r="N5" s="883" t="s">
        <v>16</v>
      </c>
      <c r="O5" s="300" t="s">
        <v>17</v>
      </c>
      <c r="P5" s="301" t="s">
        <v>18</v>
      </c>
      <c r="Q5" s="300" t="s">
        <v>16</v>
      </c>
      <c r="R5" s="300" t="s">
        <v>17</v>
      </c>
      <c r="S5" s="300" t="s">
        <v>18</v>
      </c>
      <c r="T5" s="300" t="s">
        <v>88</v>
      </c>
      <c r="U5" s="2787"/>
      <c r="V5" s="243"/>
      <c r="Y5" s="75"/>
    </row>
    <row r="6" spans="1:39" ht="12.75" customHeight="1" outlineLevel="1" x14ac:dyDescent="0.2">
      <c r="A6" s="459"/>
      <c r="B6" s="466" t="s">
        <v>25</v>
      </c>
      <c r="C6" s="642" t="s">
        <v>42</v>
      </c>
      <c r="D6" s="641"/>
      <c r="E6" s="27"/>
      <c r="F6" s="27"/>
      <c r="G6" s="27"/>
      <c r="H6" s="271"/>
      <c r="I6" s="29">
        <f>IF(ISNUMBER(WA!G99),WA!G99,"")</f>
        <v>16999.688000000027</v>
      </c>
      <c r="J6" s="29">
        <f>IF(ISNUMBER(WA!H99),WA!H99,"")</f>
        <v>25735.292000000001</v>
      </c>
      <c r="K6" s="29">
        <f>IF(ISNUMBER(WA!I99),WA!I99,"")</f>
        <v>82030.09</v>
      </c>
      <c r="L6" s="29">
        <f>IF(ISNUMBER(I6),SUM(I6:K6),WA!J99)</f>
        <v>124765.07000000002</v>
      </c>
      <c r="M6" s="282">
        <f t="shared" ref="M6:M34" si="0">L6/Pop_WA*1000</f>
        <v>48.491643149279099</v>
      </c>
      <c r="N6" s="906"/>
      <c r="O6" s="907"/>
      <c r="P6" s="908"/>
      <c r="Q6" s="916"/>
      <c r="R6" s="917"/>
      <c r="S6" s="917"/>
      <c r="T6" s="918"/>
      <c r="U6" s="922"/>
      <c r="V6" s="78"/>
      <c r="AH6" s="245"/>
      <c r="AI6" s="78"/>
      <c r="AJ6" s="78"/>
      <c r="AK6" s="78"/>
      <c r="AL6" s="78"/>
      <c r="AM6" s="78"/>
    </row>
    <row r="7" spans="1:39" ht="12.75" customHeight="1" outlineLevel="1" x14ac:dyDescent="0.2">
      <c r="A7" s="459"/>
      <c r="B7" s="467" t="str">
        <f>B6</f>
        <v>Masonry materials</v>
      </c>
      <c r="C7" s="643" t="s">
        <v>44</v>
      </c>
      <c r="D7" s="27"/>
      <c r="E7" s="27"/>
      <c r="F7" s="27"/>
      <c r="G7" s="27"/>
      <c r="H7" s="271"/>
      <c r="I7" s="29">
        <f>IF(ISNUMBER(WA!G100),WA!G100,"")</f>
        <v>3757.1729999999998</v>
      </c>
      <c r="J7" s="29">
        <f>IF(ISNUMBER(WA!H100),WA!H100,"")</f>
        <v>2803.8820000000001</v>
      </c>
      <c r="K7" s="29">
        <f>IF(ISNUMBER(WA!I100),WA!I100,"")</f>
        <v>27619.664999999997</v>
      </c>
      <c r="L7" s="29">
        <f>IF(ISNUMBER(I7),SUM(I7:K7),WA!J100)</f>
        <v>34180.720000000001</v>
      </c>
      <c r="M7" s="282">
        <f t="shared" si="0"/>
        <v>13.284802203256303</v>
      </c>
      <c r="N7" s="906"/>
      <c r="O7" s="907"/>
      <c r="P7" s="908"/>
      <c r="Q7" s="465"/>
      <c r="R7" s="914"/>
      <c r="S7" s="914"/>
      <c r="T7" s="919"/>
      <c r="U7" s="922"/>
      <c r="V7" s="78"/>
    </row>
    <row r="8" spans="1:39" ht="12.75" customHeight="1" outlineLevel="1" x14ac:dyDescent="0.2">
      <c r="A8" s="459"/>
      <c r="B8" s="467" t="str">
        <f t="shared" ref="B8:B15" si="1">B7</f>
        <v>Masonry materials</v>
      </c>
      <c r="C8" s="643" t="s">
        <v>46</v>
      </c>
      <c r="D8" s="27"/>
      <c r="E8" s="27"/>
      <c r="F8" s="27"/>
      <c r="G8" s="27"/>
      <c r="H8" s="271"/>
      <c r="I8" s="29">
        <f>IF(ISNUMBER(WA!G101),WA!G101,"")</f>
        <v>22477.952999999998</v>
      </c>
      <c r="J8" s="29">
        <f>IF(ISNUMBER(WA!H101),WA!H101,"")</f>
        <v>26333.402000000002</v>
      </c>
      <c r="K8" s="29">
        <f>IF(ISNUMBER(WA!I101),WA!I101,"")</f>
        <v>296257.255</v>
      </c>
      <c r="L8" s="29">
        <f>IF(ISNUMBER(I8),SUM(I8:K8),WA!J101)</f>
        <v>345068.61</v>
      </c>
      <c r="M8" s="282">
        <f t="shared" si="0"/>
        <v>134.11561343361373</v>
      </c>
      <c r="N8" s="906"/>
      <c r="O8" s="907"/>
      <c r="P8" s="908"/>
      <c r="Q8" s="465"/>
      <c r="R8" s="914"/>
      <c r="S8" s="914"/>
      <c r="T8" s="919"/>
      <c r="U8" s="922"/>
      <c r="V8" s="80"/>
    </row>
    <row r="9" spans="1:39" ht="12.75" customHeight="1" outlineLevel="1" x14ac:dyDescent="0.2">
      <c r="A9" s="459"/>
      <c r="B9" s="467" t="str">
        <f t="shared" si="1"/>
        <v>Masonry materials</v>
      </c>
      <c r="C9" s="643" t="s">
        <v>47</v>
      </c>
      <c r="D9" s="27"/>
      <c r="E9" s="27"/>
      <c r="F9" s="27"/>
      <c r="G9" s="27"/>
      <c r="H9" s="271"/>
      <c r="I9" s="29">
        <f>IF(ISNUMBER(WA!G102),WA!G102,"")</f>
        <v>38506.174500000001</v>
      </c>
      <c r="J9" s="29">
        <f>IF(ISNUMBER(WA!H102),WA!H102,"")</f>
        <v>70834.330500000011</v>
      </c>
      <c r="K9" s="29">
        <f>IF(ISNUMBER(WA!I102),WA!I102,"")</f>
        <v>695474.29499999993</v>
      </c>
      <c r="L9" s="29">
        <f>IF(ISNUMBER(I9),SUM(I9:K9),WA!J102)</f>
        <v>804814.79999999993</v>
      </c>
      <c r="M9" s="282">
        <f t="shared" si="0"/>
        <v>312.80222968542733</v>
      </c>
      <c r="N9" s="906"/>
      <c r="O9" s="907"/>
      <c r="P9" s="908"/>
      <c r="Q9" s="465"/>
      <c r="R9" s="914"/>
      <c r="S9" s="914"/>
      <c r="T9" s="919"/>
      <c r="U9" s="922"/>
      <c r="V9" s="80"/>
    </row>
    <row r="10" spans="1:39" ht="12.75" customHeight="1" outlineLevel="1" x14ac:dyDescent="0.2">
      <c r="A10" s="459"/>
      <c r="B10" s="467" t="str">
        <f t="shared" si="1"/>
        <v>Masonry materials</v>
      </c>
      <c r="C10" s="643" t="s">
        <v>49</v>
      </c>
      <c r="D10" s="27"/>
      <c r="E10" s="27"/>
      <c r="F10" s="27"/>
      <c r="G10" s="27"/>
      <c r="H10" s="280"/>
      <c r="I10" s="29">
        <f>IF(ISNUMBER(WA!G103),WA!G103,"")</f>
        <v>0</v>
      </c>
      <c r="J10" s="29">
        <f>IF(ISNUMBER(WA!H103),WA!H103,"")</f>
        <v>0</v>
      </c>
      <c r="K10" s="29">
        <f>IF(ISNUMBER(WA!I103),WA!I103,"")</f>
        <v>5609.34</v>
      </c>
      <c r="L10" s="29">
        <f>IF(ISNUMBER(I10),SUM(I10:K10),WA!J103)</f>
        <v>5609.34</v>
      </c>
      <c r="M10" s="282">
        <f t="shared" si="0"/>
        <v>2.1801463629441891</v>
      </c>
      <c r="N10" s="906"/>
      <c r="O10" s="907"/>
      <c r="P10" s="908"/>
      <c r="Q10" s="465"/>
      <c r="R10" s="914"/>
      <c r="S10" s="914"/>
      <c r="T10" s="919"/>
      <c r="U10" s="922"/>
      <c r="V10" s="80"/>
    </row>
    <row r="11" spans="1:39" s="501" customFormat="1" ht="15" x14ac:dyDescent="0.25">
      <c r="A11" s="499"/>
      <c r="B11" s="465" t="str">
        <f t="shared" si="1"/>
        <v>Masonry materials</v>
      </c>
      <c r="C11" s="644" t="s">
        <v>115</v>
      </c>
      <c r="D11" s="237">
        <f>WA!G48</f>
        <v>23018.769621086765</v>
      </c>
      <c r="E11" s="237">
        <f>WA!H48</f>
        <v>114232.96696979058</v>
      </c>
      <c r="F11" s="237">
        <f>WA!I48</f>
        <v>1440517.3914548198</v>
      </c>
      <c r="G11" s="237">
        <f>SUM(D11:F11)</f>
        <v>1577769.1280456972</v>
      </c>
      <c r="H11" s="275">
        <f>G11/Pop_WA*1000</f>
        <v>613.22145316105832</v>
      </c>
      <c r="I11" s="237">
        <f>IF(ISNUMBER(I6),SUM(I6:I10),"")</f>
        <v>81740.988500000036</v>
      </c>
      <c r="J11" s="237">
        <f>IF(ISNUMBER(J6),SUM(J6:J10),"")</f>
        <v>125706.90650000001</v>
      </c>
      <c r="K11" s="237">
        <f>IF(ISNUMBER(K6),SUM(K6:K10),"")</f>
        <v>1106990.645</v>
      </c>
      <c r="L11" s="237">
        <f>SUM(L6:L10)</f>
        <v>1314438.54</v>
      </c>
      <c r="M11" s="281">
        <f t="shared" si="0"/>
        <v>510.87443483452068</v>
      </c>
      <c r="N11" s="906"/>
      <c r="O11" s="907"/>
      <c r="P11" s="908"/>
      <c r="Q11" s="920"/>
      <c r="R11" s="915"/>
      <c r="S11" s="915"/>
      <c r="T11" s="921"/>
      <c r="U11" s="923"/>
      <c r="V11" s="500"/>
    </row>
    <row r="12" spans="1:39" ht="12.75" customHeight="1" outlineLevel="1" x14ac:dyDescent="0.2">
      <c r="A12" s="459"/>
      <c r="B12" s="464" t="s">
        <v>28</v>
      </c>
      <c r="C12" s="645" t="s">
        <v>56</v>
      </c>
      <c r="D12" s="960"/>
      <c r="E12" s="961"/>
      <c r="F12" s="961"/>
      <c r="G12" s="961"/>
      <c r="H12" s="962"/>
      <c r="I12" s="976">
        <f>IF(ISNUMBER(WA!G104),WA!G104,"")</f>
        <v>66731.271545334661</v>
      </c>
      <c r="J12" s="963">
        <f>IF(ISNUMBER(WA!H104),WA!H104,"")</f>
        <v>359621.74462753779</v>
      </c>
      <c r="K12" s="963">
        <f>IF(ISNUMBER(WA!I104),WA!I104,"")</f>
        <v>132622.98382712749</v>
      </c>
      <c r="L12" s="980">
        <f>IF(ISNUMBER(I12),SUM(I12:K12),WA!J104)</f>
        <v>558976</v>
      </c>
      <c r="M12" s="964">
        <f t="shared" si="0"/>
        <v>217.25363293597661</v>
      </c>
      <c r="N12" s="909"/>
      <c r="O12" s="910"/>
      <c r="P12" s="911"/>
      <c r="Q12" s="464"/>
      <c r="R12" s="912"/>
      <c r="S12" s="912"/>
      <c r="T12" s="925"/>
      <c r="U12" s="926"/>
      <c r="V12" s="80"/>
    </row>
    <row r="13" spans="1:39" ht="12.75" customHeight="1" outlineLevel="1" x14ac:dyDescent="0.2">
      <c r="A13" s="459"/>
      <c r="B13" s="468" t="str">
        <f t="shared" si="1"/>
        <v>Metals</v>
      </c>
      <c r="C13" s="645" t="s">
        <v>52</v>
      </c>
      <c r="D13" s="279"/>
      <c r="E13" s="27"/>
      <c r="F13" s="27"/>
      <c r="G13" s="27"/>
      <c r="H13" s="280"/>
      <c r="I13" s="282">
        <f>IF(ISNUMBER(WA!G105),WA!G105,"")</f>
        <v>3757.1802041961187</v>
      </c>
      <c r="J13" s="29">
        <f>IF(ISNUMBER(WA!H105),WA!H105,"")</f>
        <v>13408.485982710348</v>
      </c>
      <c r="K13" s="29">
        <f>IF(ISNUMBER(WA!I105),WA!I105,"")</f>
        <v>3942.5838130935335</v>
      </c>
      <c r="L13" s="28">
        <f>IF(ISNUMBER(I13),SUM(I13:K13),WA!J105)</f>
        <v>21108.25</v>
      </c>
      <c r="M13" s="272">
        <f t="shared" si="0"/>
        <v>8.2040087542592666</v>
      </c>
      <c r="N13" s="909"/>
      <c r="O13" s="910"/>
      <c r="P13" s="911"/>
      <c r="Q13" s="464"/>
      <c r="R13" s="912"/>
      <c r="S13" s="912"/>
      <c r="T13" s="925"/>
      <c r="U13" s="926"/>
      <c r="V13" s="80"/>
    </row>
    <row r="14" spans="1:39" ht="12.75" customHeight="1" outlineLevel="1" x14ac:dyDescent="0.2">
      <c r="A14" s="459"/>
      <c r="B14" s="468" t="str">
        <f t="shared" si="1"/>
        <v>Metals</v>
      </c>
      <c r="C14" s="645" t="s">
        <v>54</v>
      </c>
      <c r="D14" s="279"/>
      <c r="E14" s="27"/>
      <c r="F14" s="27"/>
      <c r="G14" s="27"/>
      <c r="H14" s="280"/>
      <c r="I14" s="282">
        <f>IF(ISNUMBER(WA!G106),WA!G106,"")</f>
        <v>582.16033660786456</v>
      </c>
      <c r="J14" s="29">
        <f>IF(ISNUMBER(WA!H106),WA!H106,"")</f>
        <v>27551.965102726095</v>
      </c>
      <c r="K14" s="29">
        <f>IF(ISNUMBER(WA!I106),WA!I106,"")</f>
        <v>709.87456066604022</v>
      </c>
      <c r="L14" s="28">
        <f>IF(ISNUMBER(I14),SUM(I14:K14),WA!J106)</f>
        <v>28844</v>
      </c>
      <c r="M14" s="272">
        <f t="shared" si="0"/>
        <v>11.210613315071326</v>
      </c>
      <c r="N14" s="909"/>
      <c r="O14" s="910"/>
      <c r="P14" s="911"/>
      <c r="Q14" s="464"/>
      <c r="R14" s="912"/>
      <c r="S14" s="912"/>
      <c r="T14" s="925"/>
      <c r="U14" s="926"/>
      <c r="V14" s="80"/>
    </row>
    <row r="15" spans="1:39" s="247" customFormat="1" x14ac:dyDescent="0.2">
      <c r="A15" s="459"/>
      <c r="B15" s="464" t="str">
        <f t="shared" si="1"/>
        <v>Metals</v>
      </c>
      <c r="C15" s="646" t="s">
        <v>115</v>
      </c>
      <c r="D15" s="965">
        <f>WA!G49</f>
        <v>38671.369555331075</v>
      </c>
      <c r="E15" s="966">
        <f>WA!H49</f>
        <v>22147.045909835913</v>
      </c>
      <c r="F15" s="966">
        <f>WA!I49</f>
        <v>80720.54178690206</v>
      </c>
      <c r="G15" s="966">
        <f t="shared" ref="G15:G21" si="2">SUM(D15:F15)</f>
        <v>141538.95725206906</v>
      </c>
      <c r="H15" s="967">
        <f t="shared" ref="H15:H21" si="3">G15/Pop_WA*1000</f>
        <v>55.011042808603399</v>
      </c>
      <c r="I15" s="965">
        <f>IF(ISNUMBER(I12),SUM(I12:I14),"")</f>
        <v>71070.612086138644</v>
      </c>
      <c r="J15" s="966">
        <f>IF(ISNUMBER(J12),SUM(J12:J14),"")</f>
        <v>400582.19571297418</v>
      </c>
      <c r="K15" s="966">
        <f>IF(ISNUMBER(K12),SUM(K12:K14),"")</f>
        <v>137275.44220088708</v>
      </c>
      <c r="L15" s="966">
        <f>SUM(L12:L14)</f>
        <v>608928.25</v>
      </c>
      <c r="M15" s="968">
        <f t="shared" si="0"/>
        <v>236.6682550053072</v>
      </c>
      <c r="N15" s="909"/>
      <c r="O15" s="910"/>
      <c r="P15" s="911"/>
      <c r="Q15" s="927"/>
      <c r="R15" s="913"/>
      <c r="S15" s="913"/>
      <c r="T15" s="928"/>
      <c r="U15" s="929"/>
      <c r="V15" s="246"/>
    </row>
    <row r="16" spans="1:39" ht="12.75" customHeight="1" outlineLevel="1" x14ac:dyDescent="0.2">
      <c r="A16" s="459"/>
      <c r="B16" s="465" t="s">
        <v>22</v>
      </c>
      <c r="C16" s="643" t="s">
        <v>61</v>
      </c>
      <c r="D16" s="29">
        <f>WA!G50</f>
        <v>297525.33047166729</v>
      </c>
      <c r="E16" s="29">
        <f>WA!H50</f>
        <v>129657.17849727583</v>
      </c>
      <c r="F16" s="29">
        <f>WA!I50</f>
        <v>0</v>
      </c>
      <c r="G16" s="29">
        <f t="shared" si="2"/>
        <v>427182.50896894315</v>
      </c>
      <c r="H16" s="283">
        <f t="shared" si="3"/>
        <v>166.03029826004752</v>
      </c>
      <c r="I16" s="282">
        <f>IF(ISNUMBER(WA!G107),WA!G107,"")</f>
        <v>71066.601769911475</v>
      </c>
      <c r="J16" s="29">
        <f>IF(ISNUMBER(WA!H107),WA!H107,"")</f>
        <v>12135.2</v>
      </c>
      <c r="K16" s="29">
        <f>IF(ISNUMBER(WA!I107),WA!I107,"")</f>
        <v>0</v>
      </c>
      <c r="L16" s="28">
        <f>IF(ISNUMBER(I16),SUM(I16:K16),WA!J107)</f>
        <v>83201.801769911472</v>
      </c>
      <c r="M16" s="282">
        <f t="shared" si="0"/>
        <v>32.337513061978036</v>
      </c>
      <c r="N16" s="282">
        <f>'Other national data'!K347</f>
        <v>81442.06024943119</v>
      </c>
      <c r="O16" s="29">
        <f>'Other national data'!L347</f>
        <v>35491.256244321536</v>
      </c>
      <c r="P16" s="28">
        <f>'Other national data'!M347</f>
        <v>0</v>
      </c>
      <c r="Q16" s="29">
        <f>N16</f>
        <v>81442.06024943119</v>
      </c>
      <c r="R16" s="29">
        <f>O16</f>
        <v>35491.256244321536</v>
      </c>
      <c r="S16" s="29">
        <f>P16</f>
        <v>0</v>
      </c>
      <c r="T16" s="29">
        <f>SUM(Q16:S16)</f>
        <v>116933.31649375273</v>
      </c>
      <c r="U16" s="272">
        <f t="shared" ref="U16:U21" si="4">T16/Pop_WA*1000</f>
        <v>45.447725518662942</v>
      </c>
      <c r="V16" s="80"/>
    </row>
    <row r="17" spans="1:22" ht="12.75" customHeight="1" outlineLevel="1" x14ac:dyDescent="0.2">
      <c r="A17" s="459"/>
      <c r="B17" s="467" t="str">
        <f>B16</f>
        <v>Organics</v>
      </c>
      <c r="C17" s="643" t="s">
        <v>63</v>
      </c>
      <c r="D17" s="29">
        <f>WA!G51</f>
        <v>167914.84512847807</v>
      </c>
      <c r="E17" s="29">
        <f>WA!H51</f>
        <v>28878.015496240583</v>
      </c>
      <c r="F17" s="29">
        <f>WA!I51</f>
        <v>33345.576020051187</v>
      </c>
      <c r="G17" s="29">
        <f t="shared" si="2"/>
        <v>230138.43664476986</v>
      </c>
      <c r="H17" s="283">
        <f t="shared" si="3"/>
        <v>89.446436768810003</v>
      </c>
      <c r="I17" s="282">
        <f>IF(ISNUMBER(WA!G108),WA!G108,"")</f>
        <v>129985.74654867256</v>
      </c>
      <c r="J17" s="29">
        <f>IF(ISNUMBER(WA!H108),WA!H108,"")</f>
        <v>24742.628000000001</v>
      </c>
      <c r="K17" s="29">
        <f>IF(ISNUMBER(WA!I108),WA!I108,"")</f>
        <v>9869.4519999999993</v>
      </c>
      <c r="L17" s="28">
        <f>IF(ISNUMBER(I17),SUM(I17:K17),WA!J108)</f>
        <v>164597.82654867254</v>
      </c>
      <c r="M17" s="282">
        <f t="shared" si="0"/>
        <v>63.973186310440603</v>
      </c>
      <c r="N17" s="282">
        <f>'Other national data'!K348</f>
        <v>10741.210497182634</v>
      </c>
      <c r="O17" s="29">
        <f>'Other national data'!L348</f>
        <v>1847.2746882426495</v>
      </c>
      <c r="P17" s="28">
        <f>'Other national data'!M348</f>
        <v>2133.0564960300221</v>
      </c>
      <c r="Q17" s="29">
        <f t="shared" ref="Q17:S19" si="5">N17</f>
        <v>10741.210497182634</v>
      </c>
      <c r="R17" s="29">
        <f t="shared" si="5"/>
        <v>1847.2746882426495</v>
      </c>
      <c r="S17" s="29">
        <f t="shared" si="5"/>
        <v>2133.0564960300221</v>
      </c>
      <c r="T17" s="29">
        <f>SUM(Q17:S17)</f>
        <v>14721.541681455305</v>
      </c>
      <c r="U17" s="272">
        <f t="shared" si="4"/>
        <v>5.7217276103349173</v>
      </c>
      <c r="V17" s="248"/>
    </row>
    <row r="18" spans="1:22" ht="12.75" customHeight="1" outlineLevel="1" x14ac:dyDescent="0.2">
      <c r="A18" s="459"/>
      <c r="B18" s="467" t="str">
        <f>B17</f>
        <v>Organics</v>
      </c>
      <c r="C18" s="643" t="s">
        <v>67</v>
      </c>
      <c r="D18" s="29">
        <f>WA!G52</f>
        <v>10232.060042588268</v>
      </c>
      <c r="E18" s="29">
        <f>WA!H52</f>
        <v>90735.094885390819</v>
      </c>
      <c r="F18" s="29">
        <f>WA!I52</f>
        <v>100581.33822935272</v>
      </c>
      <c r="G18" s="29">
        <f t="shared" si="2"/>
        <v>201548.49315733183</v>
      </c>
      <c r="H18" s="283">
        <f t="shared" si="3"/>
        <v>78.334565976360636</v>
      </c>
      <c r="I18" s="282">
        <f>IF(ISNUMBER(WA!G109),WA!G109,"")</f>
        <v>3592.1143362831854</v>
      </c>
      <c r="J18" s="29">
        <f>IF(ISNUMBER(WA!H109),WA!H109,"")</f>
        <v>47894.18</v>
      </c>
      <c r="K18" s="29">
        <f>IF(ISNUMBER(WA!I109),WA!I109,"")</f>
        <v>8370.18</v>
      </c>
      <c r="L18" s="28">
        <f>IF(ISNUMBER(I18),SUM(I18:K18),WA!J109)</f>
        <v>59856.474336283187</v>
      </c>
      <c r="M18" s="282">
        <f t="shared" si="0"/>
        <v>23.264033705018768</v>
      </c>
      <c r="N18" s="282">
        <f>'Other national data'!K349</f>
        <v>595.57969230026208</v>
      </c>
      <c r="O18" s="29">
        <f>'Other national data'!L349</f>
        <v>5281.4369411192756</v>
      </c>
      <c r="P18" s="28">
        <f>'Other national data'!M349</f>
        <v>5854.5593188909115</v>
      </c>
      <c r="Q18" s="29">
        <f t="shared" si="5"/>
        <v>595.57969230026208</v>
      </c>
      <c r="R18" s="29">
        <f t="shared" si="5"/>
        <v>5281.4369411192756</v>
      </c>
      <c r="S18" s="29">
        <f t="shared" si="5"/>
        <v>5854.5593188909115</v>
      </c>
      <c r="T18" s="29">
        <f>SUM(Q18:S18)</f>
        <v>11731.57595231045</v>
      </c>
      <c r="U18" s="272">
        <f t="shared" si="4"/>
        <v>4.559636720903554</v>
      </c>
      <c r="V18" s="74"/>
    </row>
    <row r="19" spans="1:22" ht="12.75" customHeight="1" outlineLevel="1" x14ac:dyDescent="0.2">
      <c r="A19" s="459"/>
      <c r="B19" s="467" t="str">
        <f>B18</f>
        <v>Organics</v>
      </c>
      <c r="C19" s="643" t="s">
        <v>65</v>
      </c>
      <c r="D19" s="29">
        <f>WA!G53</f>
        <v>40218.311754003807</v>
      </c>
      <c r="E19" s="29">
        <f>WA!H53</f>
        <v>0</v>
      </c>
      <c r="F19" s="29">
        <f>WA!I53</f>
        <v>0</v>
      </c>
      <c r="G19" s="29">
        <f t="shared" si="2"/>
        <v>40218.311754003807</v>
      </c>
      <c r="H19" s="283">
        <f t="shared" si="3"/>
        <v>15.631394441101259</v>
      </c>
      <c r="I19" s="282">
        <f>IF(ISNUMBER(WA!G110),WA!G110,"")</f>
        <v>8121.897345132742</v>
      </c>
      <c r="J19" s="29">
        <f>IF(ISNUMBER(WA!H110),WA!H110,"")</f>
        <v>0</v>
      </c>
      <c r="K19" s="29">
        <f>IF(ISNUMBER(WA!I110),WA!I110,"")</f>
        <v>0</v>
      </c>
      <c r="L19" s="28">
        <f>IF(ISNUMBER(I19),SUM(I19:K19),WA!J110)</f>
        <v>8121.897345132742</v>
      </c>
      <c r="M19" s="282">
        <f t="shared" si="0"/>
        <v>3.1566859839477037</v>
      </c>
      <c r="N19" s="282">
        <f>'Other national data'!K350</f>
        <v>3092.2471855503068</v>
      </c>
      <c r="O19" s="29">
        <f>'Other national data'!L350</f>
        <v>0</v>
      </c>
      <c r="P19" s="28">
        <f>'Other national data'!M350</f>
        <v>0</v>
      </c>
      <c r="Q19" s="29">
        <f t="shared" si="5"/>
        <v>3092.2471855503068</v>
      </c>
      <c r="R19" s="29">
        <f t="shared" si="5"/>
        <v>0</v>
      </c>
      <c r="S19" s="29">
        <f t="shared" si="5"/>
        <v>0</v>
      </c>
      <c r="T19" s="29">
        <f>SUM(Q19:S19)</f>
        <v>3092.2471855503068</v>
      </c>
      <c r="U19" s="272">
        <f t="shared" si="4"/>
        <v>1.2018439700395958</v>
      </c>
      <c r="V19" s="74"/>
    </row>
    <row r="20" spans="1:22" ht="12.75" customHeight="1" outlineLevel="1" x14ac:dyDescent="0.2">
      <c r="A20" s="459"/>
      <c r="B20" s="467" t="str">
        <f>B19</f>
        <v>Organics</v>
      </c>
      <c r="C20" s="643" t="s">
        <v>903</v>
      </c>
      <c r="D20" s="29">
        <v>0</v>
      </c>
      <c r="E20" s="29">
        <v>0</v>
      </c>
      <c r="F20" s="29">
        <v>0</v>
      </c>
      <c r="G20" s="29">
        <f t="shared" si="2"/>
        <v>0</v>
      </c>
      <c r="H20" s="283">
        <f t="shared" si="3"/>
        <v>0</v>
      </c>
      <c r="I20" s="29">
        <v>0</v>
      </c>
      <c r="J20" s="29">
        <v>0</v>
      </c>
      <c r="K20" s="29">
        <v>0</v>
      </c>
      <c r="L20" s="29">
        <f>SUM(I20:K20)</f>
        <v>0</v>
      </c>
      <c r="M20" s="282">
        <f t="shared" si="0"/>
        <v>0</v>
      </c>
      <c r="N20" s="282">
        <v>0</v>
      </c>
      <c r="O20" s="29">
        <v>0</v>
      </c>
      <c r="P20" s="28">
        <v>0</v>
      </c>
      <c r="Q20" s="27">
        <v>0</v>
      </c>
      <c r="R20" s="27">
        <v>0</v>
      </c>
      <c r="S20" s="27">
        <v>0</v>
      </c>
      <c r="T20" s="29">
        <f>SUM(Q20:S20)</f>
        <v>0</v>
      </c>
      <c r="U20" s="272">
        <f t="shared" si="4"/>
        <v>0</v>
      </c>
      <c r="V20" s="74"/>
    </row>
    <row r="21" spans="1:22" s="247" customFormat="1" x14ac:dyDescent="0.2">
      <c r="A21" s="459"/>
      <c r="B21" s="465" t="str">
        <f>B20</f>
        <v>Organics</v>
      </c>
      <c r="C21" s="644" t="s">
        <v>115</v>
      </c>
      <c r="D21" s="237">
        <f>SUM(D16:D20)</f>
        <v>515890.54739673744</v>
      </c>
      <c r="E21" s="237">
        <f>SUM(E16:E20)</f>
        <v>249270.28887890722</v>
      </c>
      <c r="F21" s="237">
        <f>SUM(F16:F20)</f>
        <v>133926.91424940393</v>
      </c>
      <c r="G21" s="237">
        <f t="shared" si="2"/>
        <v>899087.75052504847</v>
      </c>
      <c r="H21" s="275">
        <f t="shared" si="3"/>
        <v>349.44269544631936</v>
      </c>
      <c r="I21" s="237">
        <f>IF(ISNUMBER(I16),SUM(I16:I20),"")</f>
        <v>212766.35999999996</v>
      </c>
      <c r="J21" s="237">
        <f>IF(ISNUMBER(J16),SUM(J16:J20),"")</f>
        <v>84772.008000000002</v>
      </c>
      <c r="K21" s="237">
        <f>IF(ISNUMBER(K16),SUM(K16:K20),"")</f>
        <v>18239.631999999998</v>
      </c>
      <c r="L21" s="237">
        <f>SUM(L16:L20)</f>
        <v>315777.99999999988</v>
      </c>
      <c r="M21" s="281">
        <f t="shared" si="0"/>
        <v>122.7314190613851</v>
      </c>
      <c r="N21" s="281">
        <f t="shared" ref="N21:S21" si="6">SUM(N16:N20)</f>
        <v>95871.097624464397</v>
      </c>
      <c r="O21" s="237">
        <f t="shared" si="6"/>
        <v>42619.967873683461</v>
      </c>
      <c r="P21" s="238">
        <f t="shared" si="6"/>
        <v>7987.6158149209332</v>
      </c>
      <c r="Q21" s="281">
        <f t="shared" si="6"/>
        <v>95871.097624464397</v>
      </c>
      <c r="R21" s="237">
        <f t="shared" si="6"/>
        <v>42619.967873683461</v>
      </c>
      <c r="S21" s="237">
        <f t="shared" si="6"/>
        <v>7987.6158149209332</v>
      </c>
      <c r="T21" s="237">
        <f>SUM(N21:P21)</f>
        <v>146478.68131306878</v>
      </c>
      <c r="U21" s="273">
        <f t="shared" si="4"/>
        <v>56.930933819941004</v>
      </c>
      <c r="V21" s="246"/>
    </row>
    <row r="22" spans="1:22" ht="12.75" customHeight="1" outlineLevel="1" x14ac:dyDescent="0.2">
      <c r="A22" s="459"/>
      <c r="B22" s="464" t="s">
        <v>20</v>
      </c>
      <c r="C22" s="645" t="s">
        <v>74</v>
      </c>
      <c r="D22" s="960"/>
      <c r="E22" s="961"/>
      <c r="F22" s="961"/>
      <c r="G22" s="961"/>
      <c r="H22" s="962"/>
      <c r="I22" s="976">
        <f>IF(ISNUMBER(WA!G111),WA!G111,"")</f>
        <v>77935.591742582314</v>
      </c>
      <c r="J22" s="963">
        <f>IF(ISNUMBER(WA!H111),WA!H111,"")</f>
        <v>102108.45656593349</v>
      </c>
      <c r="K22" s="963">
        <f>IF(ISNUMBER(WA!I111),WA!I111,"")</f>
        <v>3885.1522434633125</v>
      </c>
      <c r="L22" s="980">
        <f>IF(ISNUMBER(I22),SUM(I22:K22),WA!J111)</f>
        <v>183929.20055197913</v>
      </c>
      <c r="M22" s="976">
        <f t="shared" si="0"/>
        <v>71.486588016171183</v>
      </c>
      <c r="N22" s="960"/>
      <c r="O22" s="961"/>
      <c r="P22" s="969"/>
      <c r="Q22" s="961"/>
      <c r="R22" s="961"/>
      <c r="S22" s="961"/>
      <c r="T22" s="961"/>
      <c r="U22" s="970"/>
      <c r="V22" s="74"/>
    </row>
    <row r="23" spans="1:22" ht="12.75" customHeight="1" outlineLevel="1" x14ac:dyDescent="0.2">
      <c r="A23" s="459"/>
      <c r="B23" s="468" t="str">
        <f>B22</f>
        <v>Paper &amp; cardboard</v>
      </c>
      <c r="C23" s="645" t="s">
        <v>89</v>
      </c>
      <c r="D23" s="279"/>
      <c r="E23" s="27"/>
      <c r="F23" s="27"/>
      <c r="G23" s="27"/>
      <c r="H23" s="280"/>
      <c r="I23" s="282">
        <f>IF(ISNUMBER(WA!G112),WA!G112,"")</f>
        <v>0</v>
      </c>
      <c r="J23" s="29">
        <f>IF(ISNUMBER(WA!H112),WA!H112,"")</f>
        <v>0</v>
      </c>
      <c r="K23" s="29">
        <f>IF(ISNUMBER(WA!I112),WA!I112,"")</f>
        <v>0</v>
      </c>
      <c r="L23" s="28">
        <f>IF(ISNUMBER(I23),SUM(I23:K23),WA!J112)</f>
        <v>0</v>
      </c>
      <c r="M23" s="282">
        <f t="shared" si="0"/>
        <v>0</v>
      </c>
      <c r="N23" s="279"/>
      <c r="O23" s="27"/>
      <c r="P23" s="297"/>
      <c r="Q23" s="27"/>
      <c r="R23" s="27"/>
      <c r="S23" s="27"/>
      <c r="T23" s="27"/>
      <c r="U23" s="271"/>
      <c r="V23" s="74"/>
    </row>
    <row r="24" spans="1:22" ht="12.75" customHeight="1" outlineLevel="1" x14ac:dyDescent="0.2">
      <c r="A24" s="459"/>
      <c r="B24" s="468" t="str">
        <f>B23</f>
        <v>Paper &amp; cardboard</v>
      </c>
      <c r="C24" s="645" t="s">
        <v>76</v>
      </c>
      <c r="D24" s="279"/>
      <c r="E24" s="27"/>
      <c r="F24" s="27"/>
      <c r="G24" s="27"/>
      <c r="H24" s="280"/>
      <c r="I24" s="282">
        <f>IF(ISNUMBER(WA!G113),WA!G113,"")</f>
        <v>48612.978791940732</v>
      </c>
      <c r="J24" s="29">
        <f>IF(ISNUMBER(WA!H113),WA!H113,"")</f>
        <v>4197.72</v>
      </c>
      <c r="K24" s="29">
        <f>IF(ISNUMBER(WA!I113),WA!I113,"")</f>
        <v>0</v>
      </c>
      <c r="L24" s="28">
        <f>IF(ISNUMBER(I24),SUM(I24:K24),WA!J113)</f>
        <v>52810.698791940733</v>
      </c>
      <c r="M24" s="282">
        <f t="shared" si="0"/>
        <v>20.525597110496186</v>
      </c>
      <c r="N24" s="279"/>
      <c r="O24" s="27"/>
      <c r="P24" s="297"/>
      <c r="Q24" s="27"/>
      <c r="R24" s="27"/>
      <c r="S24" s="27"/>
      <c r="T24" s="27"/>
      <c r="U24" s="271"/>
      <c r="V24" s="74"/>
    </row>
    <row r="25" spans="1:22" ht="12.75" customHeight="1" outlineLevel="1" x14ac:dyDescent="0.2">
      <c r="A25" s="459"/>
      <c r="B25" s="468" t="str">
        <f>B24</f>
        <v>Paper &amp; cardboard</v>
      </c>
      <c r="C25" s="645" t="s">
        <v>79</v>
      </c>
      <c r="D25" s="279"/>
      <c r="E25" s="27"/>
      <c r="F25" s="27"/>
      <c r="G25" s="27"/>
      <c r="H25" s="280"/>
      <c r="I25" s="282">
        <f>IF(ISNUMBER(WA!G114),WA!G114,"")</f>
        <v>0</v>
      </c>
      <c r="J25" s="29">
        <f>IF(ISNUMBER(WA!H114),WA!H114,"")</f>
        <v>8637.4499999999989</v>
      </c>
      <c r="K25" s="29">
        <f>IF(ISNUMBER(WA!I114),WA!I114,"")</f>
        <v>0</v>
      </c>
      <c r="L25" s="28">
        <f>IF(ISNUMBER(I25),SUM(I25:K25),WA!J114)</f>
        <v>8637.4499999999989</v>
      </c>
      <c r="M25" s="282">
        <f t="shared" si="0"/>
        <v>3.3570625425829568</v>
      </c>
      <c r="N25" s="279"/>
      <c r="O25" s="27"/>
      <c r="P25" s="297"/>
      <c r="Q25" s="27"/>
      <c r="R25" s="27"/>
      <c r="S25" s="27"/>
      <c r="T25" s="27"/>
      <c r="U25" s="271"/>
      <c r="V25" s="74"/>
    </row>
    <row r="26" spans="1:22" s="247" customFormat="1" x14ac:dyDescent="0.2">
      <c r="A26" s="459"/>
      <c r="B26" s="464" t="str">
        <f>B25</f>
        <v>Paper &amp; cardboard</v>
      </c>
      <c r="C26" s="646" t="s">
        <v>115</v>
      </c>
      <c r="D26" s="965">
        <f>WA!G54</f>
        <v>111349.68368570074</v>
      </c>
      <c r="E26" s="966">
        <f>WA!H54</f>
        <v>94184.522058484348</v>
      </c>
      <c r="F26" s="966">
        <f>WA!I54</f>
        <v>42098.824486305748</v>
      </c>
      <c r="G26" s="966">
        <f>SUM(D26:F26)</f>
        <v>247633.03023049084</v>
      </c>
      <c r="H26" s="967">
        <f>G26/Pop_WA*1000</f>
        <v>96.245948757225094</v>
      </c>
      <c r="I26" s="965">
        <f>IF(ISNUMBER(I22),SUM(I22:I25),"")</f>
        <v>126548.57053452305</v>
      </c>
      <c r="J26" s="966">
        <f>IF(ISNUMBER(J22),SUM(J22:J25),"")</f>
        <v>114943.62656593349</v>
      </c>
      <c r="K26" s="966">
        <f>IF(ISNUMBER(K22),SUM(K22:K25),"")</f>
        <v>3885.1522434633125</v>
      </c>
      <c r="L26" s="966">
        <f>SUM(L22:L25)</f>
        <v>245377.34934391986</v>
      </c>
      <c r="M26" s="965">
        <f t="shared" si="0"/>
        <v>95.369247669250328</v>
      </c>
      <c r="N26" s="965">
        <f>'Other national data'!K351</f>
        <v>29409.632867850149</v>
      </c>
      <c r="O26" s="966">
        <f>'Other national data'!L351</f>
        <v>24875.977406388156</v>
      </c>
      <c r="P26" s="971">
        <f>'Other national data'!M351</f>
        <v>11119.124287816072</v>
      </c>
      <c r="Q26" s="966">
        <f>N26</f>
        <v>29409.632867850149</v>
      </c>
      <c r="R26" s="966">
        <f>O26</f>
        <v>24875.977406388156</v>
      </c>
      <c r="S26" s="966">
        <f>P26</f>
        <v>11119.124287816072</v>
      </c>
      <c r="T26" s="966">
        <f>SUM(N26:P26)</f>
        <v>65404.734562054378</v>
      </c>
      <c r="U26" s="968">
        <f>T26/Pop_WA*1000</f>
        <v>25.420440582099314</v>
      </c>
      <c r="V26" s="246"/>
    </row>
    <row r="27" spans="1:22" ht="12.75" customHeight="1" outlineLevel="1" x14ac:dyDescent="0.2">
      <c r="A27" s="459"/>
      <c r="B27" s="465" t="s">
        <v>32</v>
      </c>
      <c r="C27" s="643" t="s">
        <v>90</v>
      </c>
      <c r="D27" s="27"/>
      <c r="E27" s="27"/>
      <c r="F27" s="27"/>
      <c r="G27" s="27"/>
      <c r="H27" s="280"/>
      <c r="I27" s="976">
        <f>IF(ISNUMBER(WA!G115),WA!G115,"")</f>
        <v>2900</v>
      </c>
      <c r="J27" s="963">
        <f>IF(ISNUMBER(WA!H115),WA!H115,"")</f>
        <v>500</v>
      </c>
      <c r="K27" s="963">
        <f>IF(ISNUMBER(WA!I115),WA!I115,"")</f>
        <v>0</v>
      </c>
      <c r="L27" s="980">
        <f>IF(ISNUMBER(I27),SUM(I27:K27),WA!J115)</f>
        <v>3400</v>
      </c>
      <c r="M27" s="282">
        <f t="shared" si="0"/>
        <v>1.3214562914728369</v>
      </c>
      <c r="N27" s="906"/>
      <c r="O27" s="907"/>
      <c r="P27" s="908"/>
      <c r="Q27" s="27"/>
      <c r="R27" s="27"/>
      <c r="S27" s="27"/>
      <c r="T27" s="27"/>
      <c r="U27" s="271"/>
      <c r="V27" s="74"/>
    </row>
    <row r="28" spans="1:22" ht="12.75" customHeight="1" outlineLevel="1" x14ac:dyDescent="0.2">
      <c r="A28" s="459"/>
      <c r="B28" s="467" t="str">
        <f t="shared" ref="B28:B36" si="7">B27</f>
        <v>Plastics</v>
      </c>
      <c r="C28" s="643" t="s">
        <v>91</v>
      </c>
      <c r="D28" s="27"/>
      <c r="E28" s="27"/>
      <c r="F28" s="27"/>
      <c r="G28" s="27"/>
      <c r="H28" s="280"/>
      <c r="I28" s="282">
        <f>IF(ISNUMBER(WA!G116),WA!G116,"")</f>
        <v>2900</v>
      </c>
      <c r="J28" s="29">
        <f>IF(ISNUMBER(WA!H116),WA!H116,"")</f>
        <v>3100.0000000000005</v>
      </c>
      <c r="K28" s="29">
        <f>IF(ISNUMBER(WA!I116),WA!I116,"")</f>
        <v>0</v>
      </c>
      <c r="L28" s="28">
        <f>IF(ISNUMBER(I28),SUM(I28:K28),WA!J116)</f>
        <v>6000</v>
      </c>
      <c r="M28" s="282">
        <f t="shared" si="0"/>
        <v>2.3319816908344184</v>
      </c>
      <c r="N28" s="906"/>
      <c r="O28" s="907"/>
      <c r="P28" s="908"/>
      <c r="Q28" s="27"/>
      <c r="R28" s="27"/>
      <c r="S28" s="27"/>
      <c r="T28" s="27"/>
      <c r="U28" s="271"/>
      <c r="V28" s="74"/>
    </row>
    <row r="29" spans="1:22" ht="12.75" customHeight="1" outlineLevel="1" x14ac:dyDescent="0.2">
      <c r="A29" s="459"/>
      <c r="B29" s="467" t="str">
        <f t="shared" si="7"/>
        <v>Plastics</v>
      </c>
      <c r="C29" s="643" t="s">
        <v>92</v>
      </c>
      <c r="D29" s="27"/>
      <c r="E29" s="27"/>
      <c r="F29" s="27"/>
      <c r="G29" s="27"/>
      <c r="H29" s="280"/>
      <c r="I29" s="282">
        <f>IF(ISNUMBER(WA!G117),WA!G117,"")</f>
        <v>100</v>
      </c>
      <c r="J29" s="29">
        <f>IF(ISNUMBER(WA!H117),WA!H117,"")</f>
        <v>0</v>
      </c>
      <c r="K29" s="29">
        <f>IF(ISNUMBER(WA!I117),WA!I117,"")</f>
        <v>0</v>
      </c>
      <c r="L29" s="28">
        <f>IF(ISNUMBER(I29),SUM(I29:K29),WA!J117)</f>
        <v>100</v>
      </c>
      <c r="M29" s="282">
        <f t="shared" si="0"/>
        <v>3.8866361513906968E-2</v>
      </c>
      <c r="N29" s="906"/>
      <c r="O29" s="907"/>
      <c r="P29" s="908"/>
      <c r="Q29" s="27"/>
      <c r="R29" s="27"/>
      <c r="S29" s="27"/>
      <c r="T29" s="27"/>
      <c r="U29" s="271"/>
      <c r="V29" s="74"/>
    </row>
    <row r="30" spans="1:22" s="76" customFormat="1" ht="12.75" customHeight="1" outlineLevel="1" x14ac:dyDescent="0.2">
      <c r="A30" s="459"/>
      <c r="B30" s="467" t="str">
        <f t="shared" si="7"/>
        <v>Plastics</v>
      </c>
      <c r="C30" s="647" t="s">
        <v>118</v>
      </c>
      <c r="D30" s="30"/>
      <c r="E30" s="30"/>
      <c r="F30" s="30"/>
      <c r="G30" s="30"/>
      <c r="H30" s="285"/>
      <c r="I30" s="30">
        <f>IF(ISNUMBER(I27),SUM(I27:I29),"")</f>
        <v>5900</v>
      </c>
      <c r="J30" s="30">
        <f>IF(ISNUMBER(J27),SUM(J27:J29),"")</f>
        <v>3600.0000000000005</v>
      </c>
      <c r="K30" s="30">
        <f>IF(ISNUMBER(K27),SUM(K27:K29),"")</f>
        <v>0</v>
      </c>
      <c r="L30" s="950">
        <f>SUM(L27:L29)</f>
        <v>9500</v>
      </c>
      <c r="M30" s="924">
        <f>L30/Pop_WA*1000</f>
        <v>3.6923043438211622</v>
      </c>
      <c r="N30" s="906"/>
      <c r="O30" s="907"/>
      <c r="P30" s="908"/>
      <c r="Q30" s="30"/>
      <c r="R30" s="30"/>
      <c r="S30" s="30"/>
      <c r="T30" s="30"/>
      <c r="U30" s="274"/>
    </row>
    <row r="31" spans="1:22" ht="12.75" customHeight="1" outlineLevel="1" x14ac:dyDescent="0.2">
      <c r="A31" s="459"/>
      <c r="B31" s="467" t="str">
        <f t="shared" si="7"/>
        <v>Plastics</v>
      </c>
      <c r="C31" s="643" t="s">
        <v>93</v>
      </c>
      <c r="D31" s="27"/>
      <c r="E31" s="27"/>
      <c r="F31" s="27"/>
      <c r="G31" s="27"/>
      <c r="H31" s="280"/>
      <c r="I31" s="282">
        <f>IF(ISNUMBER(WA!G118),WA!G118,"")</f>
        <v>0</v>
      </c>
      <c r="J31" s="29">
        <f>IF(ISNUMBER(WA!H118),WA!H118,"")</f>
        <v>2400</v>
      </c>
      <c r="K31" s="29">
        <f>IF(ISNUMBER(WA!I118),WA!I118,"")</f>
        <v>0</v>
      </c>
      <c r="L31" s="28">
        <f>IF(ISNUMBER(I31),SUM(I31:K31),WA!J118)</f>
        <v>2400</v>
      </c>
      <c r="M31" s="282">
        <f t="shared" si="0"/>
        <v>0.93279267633376717</v>
      </c>
      <c r="N31" s="906"/>
      <c r="O31" s="907"/>
      <c r="P31" s="908"/>
      <c r="Q31" s="27"/>
      <c r="R31" s="27"/>
      <c r="S31" s="27"/>
      <c r="T31" s="27"/>
      <c r="U31" s="271"/>
      <c r="V31" s="74"/>
    </row>
    <row r="32" spans="1:22" ht="12.75" customHeight="1" outlineLevel="1" x14ac:dyDescent="0.2">
      <c r="A32" s="459"/>
      <c r="B32" s="467" t="str">
        <f t="shared" si="7"/>
        <v>Plastics</v>
      </c>
      <c r="C32" s="643" t="s">
        <v>94</v>
      </c>
      <c r="D32" s="27"/>
      <c r="E32" s="27"/>
      <c r="F32" s="27"/>
      <c r="G32" s="27"/>
      <c r="H32" s="280"/>
      <c r="I32" s="282">
        <f>IF(ISNUMBER(WA!G119),WA!G119,"")</f>
        <v>1200</v>
      </c>
      <c r="J32" s="29">
        <f>IF(ISNUMBER(WA!H119),WA!H119,"")</f>
        <v>1300</v>
      </c>
      <c r="K32" s="29">
        <f>IF(ISNUMBER(WA!I119),WA!I119,"")</f>
        <v>0</v>
      </c>
      <c r="L32" s="28">
        <f>IF(ISNUMBER(I32),SUM(I32:K32),WA!J119)</f>
        <v>2500</v>
      </c>
      <c r="M32" s="282">
        <f t="shared" si="0"/>
        <v>0.97165903784767416</v>
      </c>
      <c r="N32" s="906"/>
      <c r="O32" s="907"/>
      <c r="P32" s="908"/>
      <c r="Q32" s="27"/>
      <c r="R32" s="27"/>
      <c r="S32" s="27"/>
      <c r="T32" s="27"/>
      <c r="U32" s="271"/>
      <c r="V32" s="74"/>
    </row>
    <row r="33" spans="1:24" ht="12.75" customHeight="1" outlineLevel="1" x14ac:dyDescent="0.2">
      <c r="A33" s="459"/>
      <c r="B33" s="467" t="str">
        <f t="shared" si="7"/>
        <v>Plastics</v>
      </c>
      <c r="C33" s="643" t="s">
        <v>95</v>
      </c>
      <c r="D33" s="27"/>
      <c r="E33" s="27"/>
      <c r="F33" s="27"/>
      <c r="G33" s="27"/>
      <c r="H33" s="280"/>
      <c r="I33" s="282">
        <f>IF(ISNUMBER(WA!G120),WA!G120,"")</f>
        <v>100</v>
      </c>
      <c r="J33" s="29">
        <f>IF(ISNUMBER(WA!H120),WA!H120,"")</f>
        <v>200</v>
      </c>
      <c r="K33" s="29">
        <f>IF(ISNUMBER(WA!I120),WA!I120,"")</f>
        <v>0</v>
      </c>
      <c r="L33" s="28">
        <f>IF(ISNUMBER(I33),SUM(I33:K33),WA!J120)</f>
        <v>300</v>
      </c>
      <c r="M33" s="282">
        <f t="shared" si="0"/>
        <v>0.1165990845417209</v>
      </c>
      <c r="N33" s="906"/>
      <c r="O33" s="907"/>
      <c r="P33" s="908"/>
      <c r="Q33" s="27"/>
      <c r="R33" s="27"/>
      <c r="S33" s="27"/>
      <c r="T33" s="27"/>
      <c r="U33" s="271"/>
      <c r="V33" s="74"/>
    </row>
    <row r="34" spans="1:24" ht="12.75" customHeight="1" outlineLevel="1" x14ac:dyDescent="0.2">
      <c r="A34" s="459"/>
      <c r="B34" s="467" t="str">
        <f t="shared" si="7"/>
        <v>Plastics</v>
      </c>
      <c r="C34" s="643" t="s">
        <v>96</v>
      </c>
      <c r="D34" s="27"/>
      <c r="E34" s="27"/>
      <c r="F34" s="27"/>
      <c r="G34" s="27"/>
      <c r="H34" s="280"/>
      <c r="I34" s="282">
        <f>IF(ISNUMBER(WA!G121),WA!G121,"")</f>
        <v>100</v>
      </c>
      <c r="J34" s="29">
        <f>IF(ISNUMBER(WA!H121),WA!H121,"")</f>
        <v>1600</v>
      </c>
      <c r="K34" s="29">
        <f>IF(ISNUMBER(WA!I121),WA!I121,"")</f>
        <v>0</v>
      </c>
      <c r="L34" s="28">
        <f>IF(ISNUMBER(I34),SUM(I34:K34),WA!J121)</f>
        <v>1700</v>
      </c>
      <c r="M34" s="282">
        <f t="shared" si="0"/>
        <v>0.66072814573641847</v>
      </c>
      <c r="N34" s="906"/>
      <c r="O34" s="907"/>
      <c r="P34" s="908"/>
      <c r="Q34" s="27"/>
      <c r="R34" s="27"/>
      <c r="S34" s="27"/>
      <c r="T34" s="27"/>
      <c r="U34" s="271"/>
      <c r="V34" s="74"/>
    </row>
    <row r="35" spans="1:24" s="76" customFormat="1" ht="12.75" customHeight="1" outlineLevel="1" x14ac:dyDescent="0.2">
      <c r="A35" s="459"/>
      <c r="B35" s="467" t="str">
        <f t="shared" si="7"/>
        <v>Plastics</v>
      </c>
      <c r="C35" s="647" t="s">
        <v>119</v>
      </c>
      <c r="D35" s="30"/>
      <c r="E35" s="30"/>
      <c r="F35" s="30"/>
      <c r="G35" s="30"/>
      <c r="H35" s="285"/>
      <c r="I35" s="30">
        <f>IF(ISNUMBER(I31),SUM(I31:I34),"")</f>
        <v>1400</v>
      </c>
      <c r="J35" s="30">
        <f>IF(ISNUMBER(J31),SUM(J31:J34),"")</f>
        <v>5500</v>
      </c>
      <c r="K35" s="30">
        <f>IF(ISNUMBER(K31),SUM(K31:K34),"")</f>
        <v>0</v>
      </c>
      <c r="L35" s="950">
        <f>SUM(L31:L34)</f>
        <v>6900</v>
      </c>
      <c r="M35" s="924">
        <f t="shared" ref="M35:M40" si="8">L35/Pop_WA*1000</f>
        <v>2.6817789444595803</v>
      </c>
      <c r="N35" s="906"/>
      <c r="O35" s="907"/>
      <c r="P35" s="908"/>
      <c r="Q35" s="30"/>
      <c r="R35" s="30"/>
      <c r="S35" s="30"/>
      <c r="T35" s="30"/>
      <c r="U35" s="274"/>
    </row>
    <row r="36" spans="1:24" s="247" customFormat="1" x14ac:dyDescent="0.2">
      <c r="A36" s="459"/>
      <c r="B36" s="465" t="str">
        <f t="shared" si="7"/>
        <v>Plastics</v>
      </c>
      <c r="C36" s="644" t="s">
        <v>115</v>
      </c>
      <c r="D36" s="237">
        <f>WA!G55</f>
        <v>180513.78522886417</v>
      </c>
      <c r="E36" s="237">
        <f>WA!H55</f>
        <v>134787.1537050975</v>
      </c>
      <c r="F36" s="237">
        <f>WA!I55</f>
        <v>57510.183937338617</v>
      </c>
      <c r="G36" s="237">
        <f>SUM(D36:F36)</f>
        <v>372811.12287130032</v>
      </c>
      <c r="H36" s="275">
        <f>G36/Pop_WA*1000</f>
        <v>144.89811877921548</v>
      </c>
      <c r="I36" s="237">
        <f>IF(ISNUMBER(I30),SUM(I30,I35),"")</f>
        <v>7300</v>
      </c>
      <c r="J36" s="237">
        <f>IF(ISNUMBER(J30),SUM(J30,J35),"")</f>
        <v>9100</v>
      </c>
      <c r="K36" s="237">
        <f>IF(ISNUMBER(K30),SUM(K30,K35),"")</f>
        <v>0</v>
      </c>
      <c r="L36" s="237">
        <f>SUM(L30,L35)</f>
        <v>16400</v>
      </c>
      <c r="M36" s="281">
        <f t="shared" si="8"/>
        <v>6.374083288280743</v>
      </c>
      <c r="N36" s="906"/>
      <c r="O36" s="907"/>
      <c r="P36" s="908"/>
      <c r="Q36" s="237"/>
      <c r="R36" s="237"/>
      <c r="S36" s="237"/>
      <c r="T36" s="237"/>
      <c r="U36" s="275"/>
    </row>
    <row r="37" spans="1:24" s="76" customFormat="1" x14ac:dyDescent="0.2">
      <c r="A37" s="459"/>
      <c r="B37" s="306" t="s">
        <v>30</v>
      </c>
      <c r="C37" s="648" t="s">
        <v>30</v>
      </c>
      <c r="D37" s="972">
        <f>WA!G56</f>
        <v>60969.988171596786</v>
      </c>
      <c r="E37" s="973">
        <f>WA!H56</f>
        <v>16882.428894806329</v>
      </c>
      <c r="F37" s="973">
        <f>WA!I56</f>
        <v>51.029786553472981</v>
      </c>
      <c r="G37" s="973">
        <f>SUM(D37:F37)</f>
        <v>77903.446852956578</v>
      </c>
      <c r="H37" s="974">
        <f>G37/Pop_WA*1000</f>
        <v>30.278235285664483</v>
      </c>
      <c r="I37" s="973">
        <f>IF(ISNUMBER(WA!G122),WA!G122,"")</f>
        <v>47020.800000000003</v>
      </c>
      <c r="J37" s="973">
        <f>IF(ISNUMBER(WA!H122),WA!H122,"")</f>
        <v>277.2</v>
      </c>
      <c r="K37" s="973">
        <f>IF(ISNUMBER(WA!I122),WA!I122,"")</f>
        <v>0</v>
      </c>
      <c r="L37" s="973">
        <f>IF(ISNUMBER(I37),SUM(I37:K37),WA!J122)</f>
        <v>47298</v>
      </c>
      <c r="M37" s="975">
        <f t="shared" si="8"/>
        <v>18.383011668847718</v>
      </c>
      <c r="N37" s="909"/>
      <c r="O37" s="910"/>
      <c r="P37" s="911"/>
      <c r="Q37" s="913"/>
      <c r="R37" s="913"/>
      <c r="S37" s="913"/>
      <c r="T37" s="913"/>
      <c r="U37" s="929"/>
    </row>
    <row r="38" spans="1:24" ht="12.75" customHeight="1" outlineLevel="1" x14ac:dyDescent="0.2">
      <c r="A38" s="459"/>
      <c r="B38" s="465" t="s">
        <v>27</v>
      </c>
      <c r="C38" s="643" t="s">
        <v>83</v>
      </c>
      <c r="D38" s="976"/>
      <c r="E38" s="963"/>
      <c r="F38" s="963"/>
      <c r="G38" s="963"/>
      <c r="H38" s="978"/>
      <c r="I38" s="976">
        <f>IF(ISNUMBER(WA!G123),WA!G123,"")</f>
        <v>3757.8850000000002</v>
      </c>
      <c r="J38" s="963">
        <f>IF(ISNUMBER(WA!H123),WA!H123,"")</f>
        <v>97.85</v>
      </c>
      <c r="K38" s="963">
        <f>IF(ISNUMBER(WA!I123),WA!I123,"")</f>
        <v>0</v>
      </c>
      <c r="L38" s="980">
        <f>IF(ISNUMBER(I38),SUM(I38:K38),WA!J123)</f>
        <v>3855.7350000000001</v>
      </c>
      <c r="M38" s="964">
        <f t="shared" si="8"/>
        <v>1.4985839041182409</v>
      </c>
      <c r="N38" s="282"/>
      <c r="O38" s="29"/>
      <c r="P38" s="28"/>
      <c r="Q38" s="29"/>
      <c r="R38" s="29"/>
      <c r="S38" s="29"/>
      <c r="T38" s="29"/>
      <c r="U38" s="272"/>
      <c r="V38" s="74"/>
    </row>
    <row r="39" spans="1:24" ht="12.75" customHeight="1" outlineLevel="1" x14ac:dyDescent="0.2">
      <c r="A39" s="459"/>
      <c r="B39" s="467" t="str">
        <f>B38</f>
        <v>Other</v>
      </c>
      <c r="C39" s="643" t="s">
        <v>568</v>
      </c>
      <c r="D39" s="279"/>
      <c r="E39" s="27"/>
      <c r="F39" s="27"/>
      <c r="G39" s="27"/>
      <c r="H39" s="280"/>
      <c r="I39" s="282">
        <f>IF(ISNUMBER(WA!G124),WA!G124,"")</f>
        <v>0</v>
      </c>
      <c r="J39" s="29">
        <f>IF(ISNUMBER(WA!H124),WA!H124,"")</f>
        <v>0</v>
      </c>
      <c r="K39" s="29">
        <f>IF(ISNUMBER(WA!I124),WA!I124,"")</f>
        <v>0</v>
      </c>
      <c r="L39" s="28">
        <f>IF(ISNUMBER(I39),SUM(I39:K39),WA!J124)</f>
        <v>0</v>
      </c>
      <c r="M39" s="272">
        <f t="shared" si="8"/>
        <v>0</v>
      </c>
      <c r="N39" s="279"/>
      <c r="O39" s="29"/>
      <c r="P39" s="297"/>
      <c r="Q39" s="27"/>
      <c r="R39" s="29"/>
      <c r="S39" s="27"/>
      <c r="T39" s="29"/>
      <c r="U39" s="272"/>
      <c r="V39" s="74"/>
    </row>
    <row r="40" spans="1:24" s="247" customFormat="1" x14ac:dyDescent="0.2">
      <c r="A40" s="459"/>
      <c r="B40" s="465" t="str">
        <f>B39</f>
        <v>Other</v>
      </c>
      <c r="C40" s="644" t="s">
        <v>115</v>
      </c>
      <c r="D40" s="965">
        <f>WA!G57</f>
        <v>21442.256314035705</v>
      </c>
      <c r="E40" s="966">
        <f>WA!H57</f>
        <v>45634.56789220537</v>
      </c>
      <c r="F40" s="966">
        <f>WA!I57</f>
        <v>0</v>
      </c>
      <c r="G40" s="966">
        <f>SUM(D40:F40)</f>
        <v>67076.824206241072</v>
      </c>
      <c r="H40" s="967">
        <f>G40/Pop_WA*1000</f>
        <v>26.070320988045513</v>
      </c>
      <c r="I40" s="237">
        <f>IF(ISNUMBER(I38),SUM(I38:I39),"")</f>
        <v>3757.8850000000002</v>
      </c>
      <c r="J40" s="237">
        <f>IF(ISNUMBER(J38),SUM(J38:J39),"")</f>
        <v>97.85</v>
      </c>
      <c r="K40" s="237">
        <f>IF(ISNUMBER(K38),SUM(K38:K39),"")</f>
        <v>0</v>
      </c>
      <c r="L40" s="966">
        <f>SUM(L38:L39)</f>
        <v>3855.7350000000001</v>
      </c>
      <c r="M40" s="968">
        <f t="shared" si="8"/>
        <v>1.4985839041182409</v>
      </c>
      <c r="N40" s="281">
        <f>'Other national data'!K352</f>
        <v>5626.8430231856173</v>
      </c>
      <c r="O40" s="237">
        <f>'Other national data'!L352</f>
        <v>11975.351203700688</v>
      </c>
      <c r="P40" s="238">
        <f>'Other national data'!M352</f>
        <v>0</v>
      </c>
      <c r="Q40" s="237">
        <f>N40+SUM(Q38:Q39)</f>
        <v>5626.8430231856173</v>
      </c>
      <c r="R40" s="237">
        <f>O40+SUM(R38:R39)</f>
        <v>11975.351203700688</v>
      </c>
      <c r="S40" s="237">
        <f>P40+SUM(S38:S39)</f>
        <v>0</v>
      </c>
      <c r="T40" s="237">
        <f>SUM(Q40:S40)</f>
        <v>17602.194226886306</v>
      </c>
      <c r="U40" s="273">
        <f>T40/Pop_WA*1000</f>
        <v>6.8413324426016935</v>
      </c>
      <c r="V40" s="246"/>
    </row>
    <row r="41" spans="1:24" outlineLevel="1" x14ac:dyDescent="0.2">
      <c r="A41" s="459"/>
      <c r="B41" s="454" t="s">
        <v>35</v>
      </c>
      <c r="C41" s="1079" t="s">
        <v>867</v>
      </c>
      <c r="D41" s="1073"/>
      <c r="E41" s="963">
        <f>WA!$G134*'Other national data'!I447</f>
        <v>321.52015027215884</v>
      </c>
      <c r="F41" s="963">
        <f>WA!$G134*'Other national data'!J447</f>
        <v>0</v>
      </c>
      <c r="G41" s="963">
        <f>SUM(D41:F41)</f>
        <v>321.52015027215884</v>
      </c>
      <c r="H41" s="964">
        <f t="shared" ref="H41:H61" si="9">G41/Pop_WA*1000</f>
        <v>0.12496318394483417</v>
      </c>
      <c r="I41" s="1073"/>
      <c r="J41" s="963">
        <f>WA!$H134*'Other national data'!I447</f>
        <v>2471.7412100374727</v>
      </c>
      <c r="K41" s="963">
        <f>WA!$H134*'Other national data'!J447</f>
        <v>0</v>
      </c>
      <c r="L41" s="963">
        <f>SUM(I41:K41)</f>
        <v>2471.7412100374727</v>
      </c>
      <c r="M41" s="964">
        <f t="shared" ref="M41:M61" si="10">L41/Pop_WA*1000</f>
        <v>0.96067587438138269</v>
      </c>
      <c r="N41" s="910"/>
      <c r="O41" s="910"/>
      <c r="P41" s="911"/>
      <c r="Q41" s="927"/>
      <c r="R41" s="913"/>
      <c r="S41" s="913"/>
      <c r="T41" s="928"/>
      <c r="U41" s="926"/>
      <c r="V41" s="74"/>
    </row>
    <row r="42" spans="1:24" outlineLevel="1" x14ac:dyDescent="0.2">
      <c r="A42" s="459"/>
      <c r="B42" s="468" t="str">
        <f>B41</f>
        <v>Hazardous</v>
      </c>
      <c r="C42" s="1080" t="s">
        <v>152</v>
      </c>
      <c r="D42" s="910"/>
      <c r="E42" s="29">
        <f>WA!$G135*'Other national data'!I448</f>
        <v>44.633975725079445</v>
      </c>
      <c r="F42" s="29">
        <f>WA!$G135*'Other national data'!J448</f>
        <v>0</v>
      </c>
      <c r="G42" s="29">
        <f>SUM(D42:F42)</f>
        <v>44.633975725079445</v>
      </c>
      <c r="H42" s="272">
        <f t="shared" si="9"/>
        <v>1.7347602363338856E-2</v>
      </c>
      <c r="I42" s="910"/>
      <c r="J42" s="29">
        <f>WA!$H135*'Other national data'!I448</f>
        <v>1543.4990332599186</v>
      </c>
      <c r="K42" s="29">
        <f>WA!$H135*'Other national data'!J448</f>
        <v>0</v>
      </c>
      <c r="L42" s="29">
        <f>SUM(I42:K42)</f>
        <v>1543.4990332599186</v>
      </c>
      <c r="M42" s="272">
        <f t="shared" si="10"/>
        <v>0.59990191423045913</v>
      </c>
      <c r="N42" s="910"/>
      <c r="O42" s="910"/>
      <c r="P42" s="911"/>
      <c r="Q42" s="927"/>
      <c r="R42" s="913"/>
      <c r="S42" s="913"/>
      <c r="T42" s="928"/>
      <c r="U42" s="926"/>
      <c r="V42" s="74"/>
    </row>
    <row r="43" spans="1:24" outlineLevel="1" x14ac:dyDescent="0.2">
      <c r="A43" s="459"/>
      <c r="B43" s="468" t="str">
        <f t="shared" ref="B43:B60" si="11">B42</f>
        <v>Hazardous</v>
      </c>
      <c r="C43" s="1080" t="s">
        <v>156</v>
      </c>
      <c r="D43" s="910"/>
      <c r="E43" s="29">
        <f>WA!$G136*'Other national data'!I449</f>
        <v>99.586799417772937</v>
      </c>
      <c r="F43" s="29">
        <f>WA!$G136*'Other national data'!J449</f>
        <v>0</v>
      </c>
      <c r="G43" s="29">
        <f t="shared" ref="G43:G57" si="12">SUM(D43:F43)</f>
        <v>99.586799417772937</v>
      </c>
      <c r="H43" s="272">
        <f t="shared" si="9"/>
        <v>3.8705765481841028E-2</v>
      </c>
      <c r="I43" s="910"/>
      <c r="J43" s="29">
        <f>WA!$H136*'Other national data'!I449</f>
        <v>84160.997870557272</v>
      </c>
      <c r="K43" s="29">
        <f>WA!$H136*'Other national data'!J449</f>
        <v>0</v>
      </c>
      <c r="L43" s="29">
        <f t="shared" ref="L43:L57" si="13">SUM(I43:K43)</f>
        <v>84160.997870557272</v>
      </c>
      <c r="M43" s="272">
        <f t="shared" si="10"/>
        <v>32.710317686082334</v>
      </c>
      <c r="N43" s="910"/>
      <c r="O43" s="910"/>
      <c r="P43" s="911"/>
      <c r="Q43" s="927"/>
      <c r="R43" s="913"/>
      <c r="S43" s="913"/>
      <c r="T43" s="928"/>
      <c r="U43" s="926"/>
      <c r="V43" s="74"/>
    </row>
    <row r="44" spans="1:24" outlineLevel="1" x14ac:dyDescent="0.2">
      <c r="A44" s="459"/>
      <c r="B44" s="468" t="str">
        <f t="shared" si="11"/>
        <v>Hazardous</v>
      </c>
      <c r="C44" s="1080" t="s">
        <v>160</v>
      </c>
      <c r="D44" s="910"/>
      <c r="E44" s="29">
        <f>WA!$G137*'Other national data'!I450</f>
        <v>12.153278519119601</v>
      </c>
      <c r="F44" s="29">
        <f>WA!$G137*'Other national data'!J450</f>
        <v>0</v>
      </c>
      <c r="G44" s="29">
        <f t="shared" si="12"/>
        <v>12.153278519119601</v>
      </c>
      <c r="H44" s="272">
        <f t="shared" si="9"/>
        <v>4.7235371650330227E-3</v>
      </c>
      <c r="I44" s="910"/>
      <c r="J44" s="29">
        <f>WA!$H137*'Other national data'!I450</f>
        <v>8318.5742359089345</v>
      </c>
      <c r="K44" s="29">
        <f>WA!$H137*'Other national data'!J450</f>
        <v>0</v>
      </c>
      <c r="L44" s="29">
        <f t="shared" si="13"/>
        <v>8318.5742359089345</v>
      </c>
      <c r="M44" s="272">
        <f t="shared" si="10"/>
        <v>3.2331271353310909</v>
      </c>
      <c r="N44" s="910"/>
      <c r="O44" s="910"/>
      <c r="P44" s="911"/>
      <c r="Q44" s="927"/>
      <c r="R44" s="913"/>
      <c r="S44" s="913"/>
      <c r="T44" s="928"/>
      <c r="U44" s="925"/>
      <c r="V44" s="74"/>
    </row>
    <row r="45" spans="1:24" outlineLevel="1" x14ac:dyDescent="0.2">
      <c r="A45" s="459"/>
      <c r="B45" s="468" t="str">
        <f t="shared" si="11"/>
        <v>Hazardous</v>
      </c>
      <c r="C45" s="1080" t="s">
        <v>210</v>
      </c>
      <c r="D45" s="910"/>
      <c r="E45" s="29">
        <f>WA!$G138*'Other national data'!I451</f>
        <v>0.70506246982895038</v>
      </c>
      <c r="F45" s="29">
        <f>WA!$G138*'Other national data'!J451</f>
        <v>0</v>
      </c>
      <c r="G45" s="29">
        <f t="shared" si="12"/>
        <v>0.70506246982895038</v>
      </c>
      <c r="H45" s="272">
        <f t="shared" si="9"/>
        <v>2.7403212842260112E-4</v>
      </c>
      <c r="I45" s="910"/>
      <c r="J45" s="29">
        <f>WA!$H138*'Other national data'!I451</f>
        <v>64.166784531527156</v>
      </c>
      <c r="K45" s="29">
        <f>WA!$H138*'Other national data'!J451</f>
        <v>0</v>
      </c>
      <c r="L45" s="29">
        <f t="shared" si="13"/>
        <v>64.166784531527156</v>
      </c>
      <c r="M45" s="272">
        <f t="shared" si="10"/>
        <v>2.493929444787308E-2</v>
      </c>
      <c r="N45" s="910"/>
      <c r="O45" s="910"/>
      <c r="P45" s="911"/>
      <c r="Q45" s="927"/>
      <c r="R45" s="29">
        <f>WA!$I138*'Other national data'!I451</f>
        <v>6.4871847001356101E-13</v>
      </c>
      <c r="S45" s="29">
        <f>WA!$I138*'Other national data'!J451</f>
        <v>0</v>
      </c>
      <c r="T45" s="29">
        <f>SUM(Q45:S45)</f>
        <v>6.4871847001356101E-13</v>
      </c>
      <c r="U45" s="272">
        <f>T45/Pop_WA*1000</f>
        <v>2.5213326576295675E-16</v>
      </c>
      <c r="V45" s="74"/>
    </row>
    <row r="46" spans="1:24" outlineLevel="1" x14ac:dyDescent="0.2">
      <c r="A46" s="459"/>
      <c r="B46" s="468" t="str">
        <f t="shared" si="11"/>
        <v>Hazardous</v>
      </c>
      <c r="C46" s="1080" t="s">
        <v>214</v>
      </c>
      <c r="D46" s="910"/>
      <c r="E46" s="29">
        <f>WA!$G139*'Other national data'!I452</f>
        <v>149.278411549011</v>
      </c>
      <c r="F46" s="29">
        <f>WA!$G139*'Other national data'!J452</f>
        <v>0</v>
      </c>
      <c r="G46" s="29">
        <f t="shared" si="12"/>
        <v>149.278411549011</v>
      </c>
      <c r="H46" s="272">
        <f t="shared" si="9"/>
        <v>5.801908709485646E-2</v>
      </c>
      <c r="I46" s="910"/>
      <c r="J46" s="29">
        <f>WA!$H139*'Other national data'!I452</f>
        <v>4198.1559225103583</v>
      </c>
      <c r="K46" s="29">
        <f>WA!$H139*'Other national data'!J452</f>
        <v>0</v>
      </c>
      <c r="L46" s="29">
        <f t="shared" si="13"/>
        <v>4198.1559225103583</v>
      </c>
      <c r="M46" s="272">
        <f t="shared" si="10"/>
        <v>1.631670457760372</v>
      </c>
      <c r="N46" s="910"/>
      <c r="O46" s="910"/>
      <c r="P46" s="911"/>
      <c r="Q46" s="927"/>
      <c r="R46" s="29">
        <f>WA!$I139*'Other national data'!I452</f>
        <v>4.3474343340593697E-11</v>
      </c>
      <c r="S46" s="29">
        <f>WA!$I139*'Other national data'!J452</f>
        <v>0</v>
      </c>
      <c r="T46" s="29">
        <f>SUM(Q46:S46)</f>
        <v>4.3474343340593697E-11</v>
      </c>
      <c r="U46" s="272">
        <f>T46/Pop_WA*1000</f>
        <v>1.6896895448552284E-14</v>
      </c>
      <c r="V46" s="74"/>
    </row>
    <row r="47" spans="1:24" outlineLevel="1" x14ac:dyDescent="0.2">
      <c r="A47" s="459"/>
      <c r="B47" s="468" t="str">
        <f t="shared" si="11"/>
        <v>Hazardous</v>
      </c>
      <c r="C47" s="1080" t="s">
        <v>220</v>
      </c>
      <c r="D47" s="910"/>
      <c r="E47" s="29">
        <f>WA!$G140*'Other national data'!I453</f>
        <v>129.63826994113975</v>
      </c>
      <c r="F47" s="29">
        <f>WA!$G140*'Other national data'!J453</f>
        <v>0</v>
      </c>
      <c r="G47" s="29">
        <f t="shared" si="12"/>
        <v>129.63826994113975</v>
      </c>
      <c r="H47" s="272">
        <f t="shared" si="9"/>
        <v>5.0385678655697964E-2</v>
      </c>
      <c r="I47" s="910"/>
      <c r="J47" s="29">
        <f>WA!$H140*'Other national data'!I453</f>
        <v>3698.3734668051502</v>
      </c>
      <c r="K47" s="29">
        <f>WA!$H140*'Other national data'!J453</f>
        <v>0</v>
      </c>
      <c r="L47" s="29">
        <f t="shared" si="13"/>
        <v>3698.3734668051502</v>
      </c>
      <c r="M47" s="272">
        <f t="shared" si="10"/>
        <v>1.4374232017429038</v>
      </c>
      <c r="N47" s="910"/>
      <c r="O47" s="910"/>
      <c r="P47" s="911"/>
      <c r="Q47" s="927"/>
      <c r="R47" s="29">
        <f>WA!$I140*'Other national data'!I453</f>
        <v>3.8280117367462901E-11</v>
      </c>
      <c r="S47" s="29">
        <f>WA!$I140*'Other national data'!J453</f>
        <v>0</v>
      </c>
      <c r="T47" s="29">
        <f>SUM(Q47:S47)</f>
        <v>3.8280117367462901E-11</v>
      </c>
      <c r="U47" s="272">
        <f>T47/Pop_WA*1000</f>
        <v>1.4878088803986018E-14</v>
      </c>
      <c r="V47" s="74"/>
      <c r="X47" s="253"/>
    </row>
    <row r="48" spans="1:24" outlineLevel="1" x14ac:dyDescent="0.2">
      <c r="A48" s="459"/>
      <c r="B48" s="468" t="str">
        <f t="shared" si="11"/>
        <v>Hazardous</v>
      </c>
      <c r="C48" s="1080" t="s">
        <v>230</v>
      </c>
      <c r="D48" s="910"/>
      <c r="E48" s="29">
        <f>WA!$G141*'Other national data'!I454</f>
        <v>1449.1700337941413</v>
      </c>
      <c r="F48" s="29">
        <f>WA!$G141*'Other national data'!J454</f>
        <v>0</v>
      </c>
      <c r="G48" s="29">
        <f t="shared" si="12"/>
        <v>1449.1700337941413</v>
      </c>
      <c r="H48" s="272">
        <f t="shared" si="9"/>
        <v>0.56323966428563876</v>
      </c>
      <c r="I48" s="910"/>
      <c r="J48" s="29">
        <f>WA!$H141*'Other national data'!I454</f>
        <v>34.396735128523687</v>
      </c>
      <c r="K48" s="29">
        <f>WA!$H141*'Other national data'!J454</f>
        <v>0</v>
      </c>
      <c r="L48" s="29">
        <f t="shared" si="13"/>
        <v>34.396735128523687</v>
      </c>
      <c r="M48" s="272">
        <f t="shared" si="10"/>
        <v>1.3368759424033047E-2</v>
      </c>
      <c r="N48" s="910"/>
      <c r="O48" s="910"/>
      <c r="P48" s="911"/>
      <c r="Q48" s="927"/>
      <c r="R48" s="913"/>
      <c r="S48" s="913"/>
      <c r="T48" s="928"/>
      <c r="U48" s="926"/>
      <c r="V48" s="74"/>
    </row>
    <row r="49" spans="1:47" outlineLevel="1" x14ac:dyDescent="0.2">
      <c r="A49" s="459"/>
      <c r="B49" s="468" t="str">
        <f t="shared" si="11"/>
        <v>Hazardous</v>
      </c>
      <c r="C49" s="1080" t="s">
        <v>238</v>
      </c>
      <c r="D49" s="910"/>
      <c r="E49" s="29">
        <f>WA!$G142*'Other national data'!I455</f>
        <v>61.630067289270457</v>
      </c>
      <c r="F49" s="29">
        <f>WA!$G142*'Other national data'!J455</f>
        <v>0</v>
      </c>
      <c r="G49" s="29">
        <f t="shared" si="12"/>
        <v>61.630067289270457</v>
      </c>
      <c r="H49" s="272">
        <f t="shared" si="9"/>
        <v>2.3953364753911979E-2</v>
      </c>
      <c r="I49" s="910"/>
      <c r="J49" s="29">
        <f>WA!$H142*'Other national data'!I455</f>
        <v>99169.944254194546</v>
      </c>
      <c r="K49" s="29">
        <f>WA!$H142*'Other national data'!J455</f>
        <v>0</v>
      </c>
      <c r="L49" s="29">
        <f t="shared" si="13"/>
        <v>99169.944254194546</v>
      </c>
      <c r="M49" s="272">
        <f t="shared" si="10"/>
        <v>38.543749046975265</v>
      </c>
      <c r="N49" s="910"/>
      <c r="O49" s="910"/>
      <c r="P49" s="911"/>
      <c r="Q49" s="927"/>
      <c r="R49" s="29">
        <f>WA!$I142*'Other national data'!I455</f>
        <v>9.9231574321483806E-10</v>
      </c>
      <c r="S49" s="29">
        <f>WA!$I142*'Other national data'!J455</f>
        <v>0</v>
      </c>
      <c r="T49" s="29">
        <f>SUM(Q49:S49)</f>
        <v>9.9231574321483806E-10</v>
      </c>
      <c r="U49" s="272">
        <f>T49/Pop_WA*1000</f>
        <v>3.8567702411729169E-13</v>
      </c>
      <c r="V49" s="74"/>
    </row>
    <row r="50" spans="1:47" outlineLevel="1" x14ac:dyDescent="0.2">
      <c r="A50" s="459"/>
      <c r="B50" s="468" t="str">
        <f t="shared" si="11"/>
        <v>Hazardous</v>
      </c>
      <c r="C50" s="1080" t="s">
        <v>246</v>
      </c>
      <c r="D50" s="910"/>
      <c r="E50" s="29">
        <f>WA!$G143*'Other national data'!I456</f>
        <v>1601.3202420433797</v>
      </c>
      <c r="F50" s="29">
        <f>WA!$G143*'Other national data'!J456</f>
        <v>0</v>
      </c>
      <c r="G50" s="29">
        <f t="shared" si="12"/>
        <v>1601.3202420433797</v>
      </c>
      <c r="H50" s="272">
        <f t="shared" si="9"/>
        <v>0.62237491426795011</v>
      </c>
      <c r="I50" s="910"/>
      <c r="J50" s="29">
        <f>WA!$H143*'Other national data'!I456</f>
        <v>103653.07826930817</v>
      </c>
      <c r="K50" s="29">
        <f>WA!$H143*'Other national data'!J456</f>
        <v>0</v>
      </c>
      <c r="L50" s="29">
        <f t="shared" si="13"/>
        <v>103653.07826930817</v>
      </c>
      <c r="M50" s="272">
        <f t="shared" si="10"/>
        <v>40.28618012044226</v>
      </c>
      <c r="N50" s="910"/>
      <c r="O50" s="910"/>
      <c r="P50" s="911"/>
      <c r="Q50" s="927"/>
      <c r="R50" s="29">
        <f>WA!$I143*'Other national data'!I456</f>
        <v>1.0525439851135155E-9</v>
      </c>
      <c r="S50" s="29">
        <f>WA!$I143*'Other national data'!J456</f>
        <v>0</v>
      </c>
      <c r="T50" s="29">
        <f>SUM(Q50:S50)</f>
        <v>1.0525439851135155E-9</v>
      </c>
      <c r="U50" s="272">
        <f>T50/Pop_WA*1000</f>
        <v>4.0908555034710206E-13</v>
      </c>
      <c r="V50" s="74"/>
    </row>
    <row r="51" spans="1:47" outlineLevel="1" x14ac:dyDescent="0.2">
      <c r="A51" s="459"/>
      <c r="B51" s="468" t="str">
        <f t="shared" si="11"/>
        <v>Hazardous</v>
      </c>
      <c r="C51" s="1080" t="s">
        <v>256</v>
      </c>
      <c r="D51" s="910"/>
      <c r="E51" s="29">
        <f>WA!$G144*'Other national data'!I457</f>
        <v>28.020698307749949</v>
      </c>
      <c r="F51" s="29">
        <f>WA!$G144*'Other national data'!J457</f>
        <v>0</v>
      </c>
      <c r="G51" s="29">
        <f t="shared" si="12"/>
        <v>28.020698307749949</v>
      </c>
      <c r="H51" s="272">
        <f t="shared" si="9"/>
        <v>1.0890625903011307E-2</v>
      </c>
      <c r="I51" s="910"/>
      <c r="J51" s="29">
        <f>WA!$H144*'Other national data'!I457</f>
        <v>1068.723834472569</v>
      </c>
      <c r="K51" s="29">
        <f>WA!$H144*'Other national data'!J457</f>
        <v>0</v>
      </c>
      <c r="L51" s="29">
        <f t="shared" si="13"/>
        <v>1068.723834472569</v>
      </c>
      <c r="M51" s="272">
        <f t="shared" si="10"/>
        <v>0.41537406909139735</v>
      </c>
      <c r="N51" s="910"/>
      <c r="O51" s="910"/>
      <c r="P51" s="911"/>
      <c r="Q51" s="927"/>
      <c r="R51" s="29">
        <f>WA!$I144*'Other national data'!I457</f>
        <v>1.0967445327803189E-11</v>
      </c>
      <c r="S51" s="29">
        <f>WA!$I144*'Other national data'!J457</f>
        <v>0</v>
      </c>
      <c r="T51" s="29">
        <f>SUM(Q51:S51)</f>
        <v>1.0967445327803189E-11</v>
      </c>
      <c r="U51" s="272">
        <f>T51/Pop_WA*1000</f>
        <v>4.262646949944086E-15</v>
      </c>
      <c r="V51" s="74"/>
    </row>
    <row r="52" spans="1:47" outlineLevel="1" x14ac:dyDescent="0.2">
      <c r="A52" s="459"/>
      <c r="B52" s="468" t="str">
        <f t="shared" si="11"/>
        <v>Hazardous</v>
      </c>
      <c r="C52" s="1081" t="s">
        <v>343</v>
      </c>
      <c r="D52" s="910"/>
      <c r="E52" s="29">
        <f>WA!$G145*'Other national data'!I458</f>
        <v>3144.5228080463221</v>
      </c>
      <c r="F52" s="29">
        <f>WA!$G145*'Other national data'!J458</f>
        <v>8085.9157921191127</v>
      </c>
      <c r="G52" s="29">
        <f t="shared" si="12"/>
        <v>11230.438600165435</v>
      </c>
      <c r="H52" s="272">
        <f t="shared" si="9"/>
        <v>4.3648628659376509</v>
      </c>
      <c r="I52" s="910"/>
      <c r="J52" s="29">
        <f>WA!$H145*'Other national data'!I458</f>
        <v>262.07035359867166</v>
      </c>
      <c r="K52" s="29">
        <f>WA!$H145*'Other national data'!J458</f>
        <v>673.89519496801279</v>
      </c>
      <c r="L52" s="29">
        <f t="shared" si="13"/>
        <v>935.96554856668445</v>
      </c>
      <c r="M52" s="272">
        <f t="shared" si="10"/>
        <v>0.36377575375155002</v>
      </c>
      <c r="N52" s="910"/>
      <c r="O52" s="910"/>
      <c r="P52" s="911"/>
      <c r="Q52" s="927"/>
      <c r="R52" s="29">
        <f>WA!$I145*'Other national data'!I458</f>
        <v>3.4065931616449943E-11</v>
      </c>
      <c r="S52" s="29">
        <f>WA!$I145*'Other national data'!J458</f>
        <v>8.7598109870871259E-11</v>
      </c>
      <c r="T52" s="29">
        <f>SUM(Q52:S52)</f>
        <v>1.216640414873212E-10</v>
      </c>
      <c r="U52" s="272">
        <f>T52/Pop_WA*1000</f>
        <v>4.7286386196892015E-14</v>
      </c>
      <c r="V52" s="74"/>
    </row>
    <row r="53" spans="1:47" outlineLevel="1" x14ac:dyDescent="0.2">
      <c r="A53" s="459"/>
      <c r="B53" s="468" t="str">
        <f t="shared" si="11"/>
        <v>Hazardous</v>
      </c>
      <c r="C53" s="1081" t="s">
        <v>97</v>
      </c>
      <c r="D53" s="910"/>
      <c r="E53" s="29">
        <f>WA!$G146*'Other national data'!I459</f>
        <v>26945.291183586996</v>
      </c>
      <c r="F53" s="29">
        <f>WA!$G146*'Other national data'!J459</f>
        <v>31631.428780732567</v>
      </c>
      <c r="G53" s="29">
        <f t="shared" si="12"/>
        <v>58576.719964319564</v>
      </c>
      <c r="H53" s="272">
        <f t="shared" si="9"/>
        <v>22.766639744321356</v>
      </c>
      <c r="I53" s="910"/>
      <c r="J53" s="29">
        <f>WA!$H146*'Other national data'!I459</f>
        <v>0</v>
      </c>
      <c r="K53" s="29">
        <f>WA!$H146*'Other national data'!J459</f>
        <v>0</v>
      </c>
      <c r="L53" s="29">
        <f t="shared" si="13"/>
        <v>0</v>
      </c>
      <c r="M53" s="272">
        <f t="shared" si="10"/>
        <v>0</v>
      </c>
      <c r="N53" s="910"/>
      <c r="O53" s="910"/>
      <c r="P53" s="911"/>
      <c r="Q53" s="927"/>
      <c r="R53" s="913"/>
      <c r="S53" s="913"/>
      <c r="T53" s="928"/>
      <c r="U53" s="926"/>
      <c r="V53" s="74"/>
    </row>
    <row r="54" spans="1:47" outlineLevel="1" x14ac:dyDescent="0.2">
      <c r="A54" s="459"/>
      <c r="B54" s="468" t="str">
        <f t="shared" si="11"/>
        <v>Hazardous</v>
      </c>
      <c r="C54" s="1081" t="s">
        <v>345</v>
      </c>
      <c r="D54" s="910"/>
      <c r="E54" s="29">
        <f>WA!$G147*'Other national data'!I460</f>
        <v>12990.122038260133</v>
      </c>
      <c r="F54" s="29">
        <f>WA!$G147*'Other national data'!J460</f>
        <v>0</v>
      </c>
      <c r="G54" s="29">
        <f t="shared" si="12"/>
        <v>12990.122038260133</v>
      </c>
      <c r="H54" s="272">
        <f t="shared" si="9"/>
        <v>5.0487877924878832</v>
      </c>
      <c r="I54" s="910"/>
      <c r="J54" s="29">
        <f>WA!$H147*'Other national data'!I460</f>
        <v>115371.93924524993</v>
      </c>
      <c r="K54" s="29">
        <f>WA!$H147*'Other national data'!J460</f>
        <v>0</v>
      </c>
      <c r="L54" s="29">
        <f t="shared" si="13"/>
        <v>115371.93924524993</v>
      </c>
      <c r="M54" s="272">
        <f t="shared" si="10"/>
        <v>44.840874992663949</v>
      </c>
      <c r="N54" s="910"/>
      <c r="O54" s="910"/>
      <c r="P54" s="911"/>
      <c r="Q54" s="927"/>
      <c r="R54" s="29">
        <f>WA!$I147*'Other national data'!I460</f>
        <v>0</v>
      </c>
      <c r="S54" s="29">
        <f>WA!$I147*'Other national data'!J460</f>
        <v>0</v>
      </c>
      <c r="T54" s="29">
        <f t="shared" ref="T54:T59" si="14">SUM(Q54:S54)</f>
        <v>0</v>
      </c>
      <c r="U54" s="272">
        <f t="shared" ref="U54:U59" si="15">T54/Pop_WA*1000</f>
        <v>0</v>
      </c>
      <c r="V54" s="74"/>
    </row>
    <row r="55" spans="1:47" outlineLevel="1" x14ac:dyDescent="0.2">
      <c r="A55" s="459"/>
      <c r="B55" s="468" t="str">
        <f t="shared" si="11"/>
        <v>Hazardous</v>
      </c>
      <c r="C55" s="1080" t="s">
        <v>297</v>
      </c>
      <c r="D55" s="910"/>
      <c r="E55" s="29">
        <f>WA!$G148*'Other national data'!I461</f>
        <v>2358.6232724775573</v>
      </c>
      <c r="F55" s="29">
        <f>WA!$G148*'Other national data'!J461</f>
        <v>0</v>
      </c>
      <c r="G55" s="29">
        <f t="shared" si="12"/>
        <v>2358.6232724775573</v>
      </c>
      <c r="H55" s="272">
        <f t="shared" si="9"/>
        <v>0.91671104783227042</v>
      </c>
      <c r="I55" s="910"/>
      <c r="J55" s="29">
        <f>WA!$H148*'Other national data'!I461</f>
        <v>3.3458484017596675</v>
      </c>
      <c r="K55" s="29">
        <f>WA!$H148*'Other national data'!J461</f>
        <v>0</v>
      </c>
      <c r="L55" s="29">
        <f t="shared" si="13"/>
        <v>3.3458484017596675</v>
      </c>
      <c r="M55" s="272">
        <f t="shared" si="10"/>
        <v>1.3004095355351908E-3</v>
      </c>
      <c r="N55" s="910"/>
      <c r="O55" s="910"/>
      <c r="P55" s="911"/>
      <c r="Q55" s="927"/>
      <c r="R55" s="29">
        <f>WA!$I148*'Other national data'!I461</f>
        <v>2.361969120879317E-11</v>
      </c>
      <c r="S55" s="29">
        <f>WA!$I148*'Other national data'!J461</f>
        <v>0</v>
      </c>
      <c r="T55" s="29">
        <f t="shared" si="14"/>
        <v>2.361969120879317E-11</v>
      </c>
      <c r="U55" s="272">
        <f t="shared" si="15"/>
        <v>9.180114573678056E-15</v>
      </c>
      <c r="V55" s="74"/>
    </row>
    <row r="56" spans="1:47" outlineLevel="1" x14ac:dyDescent="0.2">
      <c r="A56" s="459"/>
      <c r="B56" s="468" t="str">
        <f t="shared" si="11"/>
        <v>Hazardous</v>
      </c>
      <c r="C56" s="1274" t="s">
        <v>39</v>
      </c>
      <c r="D56" s="910"/>
      <c r="E56" s="29">
        <f>WA!$G149*'Other national data'!I462</f>
        <v>22058.873479366212</v>
      </c>
      <c r="F56" s="29">
        <f>WA!$G149*'Other national data'!J462</f>
        <v>0</v>
      </c>
      <c r="G56" s="29">
        <f>SUM(D56:F56)</f>
        <v>22058.873479366212</v>
      </c>
      <c r="H56" s="272">
        <f>G56/Pop_WA*1000</f>
        <v>8.5734815123858201</v>
      </c>
      <c r="I56" s="910"/>
      <c r="J56" s="29">
        <f>WA!$H149*'Other national data'!I462</f>
        <v>47572.626116652013</v>
      </c>
      <c r="K56" s="29">
        <f>WA!$H149*'Other national data'!J462</f>
        <v>0</v>
      </c>
      <c r="L56" s="29">
        <f>SUM(I56:K56)</f>
        <v>47572.626116652013</v>
      </c>
      <c r="M56" s="272">
        <f>L56/Pop_WA*1000</f>
        <v>18.489748848157291</v>
      </c>
      <c r="N56" s="910"/>
      <c r="O56" s="910"/>
      <c r="P56" s="911"/>
      <c r="Q56" s="927"/>
      <c r="R56" s="29">
        <f>WA!$I149*'Other national data'!I462</f>
        <v>6.9631499596018223E-10</v>
      </c>
      <c r="S56" s="29">
        <f>WA!$I149*'Other national data'!J462</f>
        <v>0</v>
      </c>
      <c r="T56" s="29">
        <f t="shared" si="14"/>
        <v>6.9631499596018223E-10</v>
      </c>
      <c r="U56" s="272">
        <f t="shared" si="15"/>
        <v>2.7063230360543113E-13</v>
      </c>
      <c r="V56" s="74"/>
    </row>
    <row r="57" spans="1:47" outlineLevel="1" x14ac:dyDescent="0.2">
      <c r="A57" s="459"/>
      <c r="B57" s="468" t="str">
        <f t="shared" si="11"/>
        <v>Hazardous</v>
      </c>
      <c r="C57" s="1274" t="s">
        <v>904</v>
      </c>
      <c r="D57" s="910"/>
      <c r="E57" s="29">
        <f>WA!$G150*'Other national data'!I463</f>
        <v>267.28697340087302</v>
      </c>
      <c r="F57" s="29">
        <f>WA!$G150*'Other national data'!J463</f>
        <v>0</v>
      </c>
      <c r="G57" s="29">
        <f t="shared" si="12"/>
        <v>267.28697340087302</v>
      </c>
      <c r="H57" s="272">
        <f t="shared" si="9"/>
        <v>0.10388472136156365</v>
      </c>
      <c r="I57" s="910"/>
      <c r="J57" s="29">
        <f>WA!$H150*'Other national data'!I463</f>
        <v>27.396914773589458</v>
      </c>
      <c r="K57" s="29">
        <f>WA!$H150*'Other national data'!J463</f>
        <v>0</v>
      </c>
      <c r="L57" s="29">
        <f t="shared" si="13"/>
        <v>27.396914773589458</v>
      </c>
      <c r="M57" s="272">
        <f t="shared" si="10"/>
        <v>1.0648183939560267E-2</v>
      </c>
      <c r="N57" s="910"/>
      <c r="O57" s="910"/>
      <c r="P57" s="911"/>
      <c r="Q57" s="927"/>
      <c r="R57" s="29">
        <f>WA!$I150*'Other national data'!I463</f>
        <v>2.9468388817446249E-12</v>
      </c>
      <c r="S57" s="29">
        <f>WA!$I150*'Other national data'!J463</f>
        <v>0</v>
      </c>
      <c r="T57" s="29">
        <f t="shared" si="14"/>
        <v>2.9468388817446249E-12</v>
      </c>
      <c r="U57" s="272">
        <f t="shared" si="15"/>
        <v>1.1453290530112392E-15</v>
      </c>
      <c r="V57" s="74"/>
    </row>
    <row r="58" spans="1:47" outlineLevel="1" x14ac:dyDescent="0.2">
      <c r="A58" s="459"/>
      <c r="B58" s="468" t="str">
        <f t="shared" si="11"/>
        <v>Hazardous</v>
      </c>
      <c r="C58" s="649" t="s">
        <v>567</v>
      </c>
      <c r="D58" s="1074"/>
      <c r="E58" s="30">
        <f>SUMIF(Hazstate,"Solid",E$41:E$57)</f>
        <v>67776.873033657204</v>
      </c>
      <c r="F58" s="30">
        <f>SUMIF(Hazstate,"Solid",F$41:F$57)</f>
        <v>39717.344572851682</v>
      </c>
      <c r="G58" s="30">
        <f>SUM(D58:F58)</f>
        <v>107494.21760650889</v>
      </c>
      <c r="H58" s="285">
        <f t="shared" si="9"/>
        <v>41.779091221491576</v>
      </c>
      <c r="I58" s="1076"/>
      <c r="J58" s="30">
        <f>SUMIF(Hazstate,"Solid",J$41:J$57)</f>
        <v>171555.95271458491</v>
      </c>
      <c r="K58" s="30">
        <f>SUMIF(Hazstate,"Solid",K$41:K$57)</f>
        <v>673.89519496801279</v>
      </c>
      <c r="L58" s="30">
        <f>SUM(I58:K58)</f>
        <v>172229.84790955292</v>
      </c>
      <c r="M58" s="285">
        <f t="shared" si="10"/>
        <v>66.939475323378971</v>
      </c>
      <c r="N58" s="930"/>
      <c r="O58" s="930"/>
      <c r="P58" s="931"/>
      <c r="Q58" s="927"/>
      <c r="R58" s="30">
        <f>SUMIF(Hazstate,"Solid",R$41:R$57)</f>
        <v>7.5694745766716995E-10</v>
      </c>
      <c r="S58" s="30">
        <f>SUMIF(Hazstate,"Solid",S$41:S$57)</f>
        <v>8.7598109870871259E-11</v>
      </c>
      <c r="T58" s="30">
        <f t="shared" si="14"/>
        <v>8.4454556753804121E-10</v>
      </c>
      <c r="U58" s="924">
        <f t="shared" si="15"/>
        <v>3.2824413342901243E-13</v>
      </c>
      <c r="V58" s="74"/>
    </row>
    <row r="59" spans="1:47" outlineLevel="1" x14ac:dyDescent="0.2">
      <c r="A59" s="459"/>
      <c r="B59" s="468" t="str">
        <f t="shared" si="11"/>
        <v>Hazardous</v>
      </c>
      <c r="C59" s="649" t="s">
        <v>459</v>
      </c>
      <c r="D59" s="1074"/>
      <c r="E59" s="30">
        <f>SUMIF(Hazstate,"Liquid",E$41:E$57)</f>
        <v>3885.5037108095325</v>
      </c>
      <c r="F59" s="30">
        <f>SUMIF(Hazstate,"Liquid",F$41:F$57)</f>
        <v>0</v>
      </c>
      <c r="G59" s="30">
        <f>SUM(D59:F59)</f>
        <v>3885.5037108095325</v>
      </c>
      <c r="H59" s="285">
        <f t="shared" si="9"/>
        <v>1.5101539188795032</v>
      </c>
      <c r="I59" s="1076"/>
      <c r="J59" s="30">
        <f>SUMIF(Hazstate,"Liquid",J$41:J$57)</f>
        <v>300063.07738080551</v>
      </c>
      <c r="K59" s="30">
        <f>SUMIF(Hazstate,"Liquid",K$41:K$57)</f>
        <v>0</v>
      </c>
      <c r="L59" s="30">
        <f>SUM(I59:K59)</f>
        <v>300063.07738080551</v>
      </c>
      <c r="M59" s="285">
        <f t="shared" si="10"/>
        <v>116.62360042457827</v>
      </c>
      <c r="N59" s="930"/>
      <c r="O59" s="930"/>
      <c r="P59" s="931"/>
      <c r="Q59" s="927"/>
      <c r="R59" s="30">
        <f>SUMIF(Hazstate,"Liquid",R$41:R$57)</f>
        <v>2.1382303528342265E-9</v>
      </c>
      <c r="S59" s="30">
        <f>SUMIF(Hazstate,"Liquid",S$41:S$57)</f>
        <v>0</v>
      </c>
      <c r="T59" s="30">
        <f t="shared" si="14"/>
        <v>2.1382303528342265E-9</v>
      </c>
      <c r="U59" s="924">
        <f t="shared" si="15"/>
        <v>8.3105233893263897E-13</v>
      </c>
      <c r="V59" s="74"/>
    </row>
    <row r="60" spans="1:47" s="76" customFormat="1" outlineLevel="1" x14ac:dyDescent="0.2">
      <c r="A60" s="459"/>
      <c r="B60" s="468" t="str">
        <f t="shared" si="11"/>
        <v>Hazardous</v>
      </c>
      <c r="C60" s="827" t="s">
        <v>2</v>
      </c>
      <c r="D60" s="932"/>
      <c r="E60" s="237">
        <f>'Other national data'!L148</f>
        <v>159696.7520576808</v>
      </c>
      <c r="F60" s="932"/>
      <c r="G60" s="237">
        <f>SUM(D60:F60)</f>
        <v>159696.7520576808</v>
      </c>
      <c r="H60" s="275">
        <f t="shared" si="9"/>
        <v>62.06831698070588</v>
      </c>
      <c r="I60" s="913"/>
      <c r="J60" s="237">
        <f>'Other national data'!L149</f>
        <v>386305.77378818305</v>
      </c>
      <c r="K60" s="913"/>
      <c r="L60" s="237">
        <f>SUM(I60:K60)</f>
        <v>386305.77378818305</v>
      </c>
      <c r="M60" s="273">
        <f t="shared" si="10"/>
        <v>150.1429985896109</v>
      </c>
      <c r="N60" s="932"/>
      <c r="O60" s="932"/>
      <c r="P60" s="933"/>
      <c r="Q60" s="927"/>
      <c r="R60" s="913"/>
      <c r="S60" s="913"/>
      <c r="T60" s="928"/>
      <c r="U60" s="929"/>
      <c r="Y60" s="74"/>
      <c r="Z60" s="74"/>
      <c r="AA60" s="74"/>
      <c r="AB60" s="74"/>
      <c r="AC60" s="74"/>
      <c r="AD60" s="74"/>
      <c r="AI60" s="74"/>
      <c r="AJ60" s="74"/>
      <c r="AK60" s="74"/>
      <c r="AL60" s="74"/>
      <c r="AM60" s="74"/>
      <c r="AN60" s="74"/>
      <c r="AO60" s="74"/>
      <c r="AP60" s="74"/>
      <c r="AQ60" s="74"/>
      <c r="AR60" s="74"/>
      <c r="AS60" s="74"/>
      <c r="AT60" s="74"/>
      <c r="AU60" s="74"/>
    </row>
    <row r="61" spans="1:47" s="247" customFormat="1" x14ac:dyDescent="0.2">
      <c r="A61" s="459"/>
      <c r="B61" s="498" t="str">
        <f>B59</f>
        <v>Hazardous</v>
      </c>
      <c r="C61" s="650" t="s">
        <v>115</v>
      </c>
      <c r="D61" s="1075"/>
      <c r="E61" s="966">
        <f>SUM(E58:E60)</f>
        <v>231359.12880214752</v>
      </c>
      <c r="F61" s="966">
        <f>SUM(F58:F60)</f>
        <v>39717.344572851682</v>
      </c>
      <c r="G61" s="966">
        <f>SUM(D61:F61)</f>
        <v>271076.47337499919</v>
      </c>
      <c r="H61" s="967">
        <f t="shared" si="9"/>
        <v>105.35756212107695</v>
      </c>
      <c r="I61" s="1077"/>
      <c r="J61" s="966">
        <f>SUM(J58:J60)</f>
        <v>857924.80388357351</v>
      </c>
      <c r="K61" s="966">
        <f>SUM(K58:K60)</f>
        <v>673.89519496801279</v>
      </c>
      <c r="L61" s="966">
        <f>SUM(I61:K61)</f>
        <v>858598.69907854148</v>
      </c>
      <c r="M61" s="968">
        <f t="shared" si="10"/>
        <v>333.70607433756817</v>
      </c>
      <c r="N61" s="934"/>
      <c r="O61" s="934"/>
      <c r="P61" s="935"/>
      <c r="Q61" s="927"/>
      <c r="R61" s="966">
        <f>SUM(R59,R58)</f>
        <v>2.8951778105013962E-9</v>
      </c>
      <c r="S61" s="966">
        <f>SUM(S59,S58)</f>
        <v>8.7598109870871259E-11</v>
      </c>
      <c r="T61" s="966">
        <f>SUM(Q61:S61)</f>
        <v>2.9827759203722676E-9</v>
      </c>
      <c r="U61" s="968">
        <f>T61/Pop_WA*1000</f>
        <v>1.1592964723616514E-12</v>
      </c>
      <c r="V61" s="957" t="s">
        <v>847</v>
      </c>
      <c r="X61" s="957" t="str">
        <f>IF(ROUND(SUM(G58:G59,L58:L59,T58:T59),0)=ROUND(SUM(WA!G134:I150),0),"OK","Error")</f>
        <v>OK</v>
      </c>
      <c r="Y61" s="74"/>
      <c r="AI61" s="249"/>
      <c r="AJ61" s="249"/>
      <c r="AK61" s="249"/>
      <c r="AL61" s="249"/>
      <c r="AM61" s="249"/>
      <c r="AN61" s="249"/>
      <c r="AO61" s="249"/>
      <c r="AP61" s="249"/>
      <c r="AQ61" s="249"/>
      <c r="AR61" s="249"/>
      <c r="AS61" s="249"/>
      <c r="AT61" s="249"/>
      <c r="AU61" s="249"/>
    </row>
    <row r="62" spans="1:47" ht="14.25" customHeight="1" x14ac:dyDescent="0.2">
      <c r="C62" s="951" t="s">
        <v>98</v>
      </c>
      <c r="D62" s="286"/>
      <c r="E62" s="286"/>
      <c r="F62" s="286"/>
      <c r="G62" s="286"/>
      <c r="H62" s="287"/>
      <c r="I62" s="29"/>
      <c r="J62" s="29"/>
      <c r="K62" s="29"/>
      <c r="L62" s="29"/>
      <c r="M62" s="291"/>
      <c r="N62" s="934"/>
      <c r="O62" s="934"/>
      <c r="P62" s="935"/>
      <c r="Q62" s="905"/>
      <c r="R62" s="27"/>
      <c r="S62" s="27"/>
      <c r="T62" s="27"/>
      <c r="U62" s="287"/>
      <c r="Y62" s="75"/>
    </row>
    <row r="63" spans="1:47" x14ac:dyDescent="0.2">
      <c r="C63" s="303" t="s">
        <v>1350</v>
      </c>
      <c r="D63" s="289">
        <f>SUM(D61,D40,D37,D36,D26,D21,D15,D11,D62)</f>
        <v>951856.39997335267</v>
      </c>
      <c r="E63" s="987">
        <f>SUM(E61,E40,E37,E36,E26,E21,E15,E11,E62)</f>
        <v>908498.10311127477</v>
      </c>
      <c r="F63" s="289">
        <f>SUM(F61,F40,F37,F36,F26,F21,F15,F11,F62)</f>
        <v>1794542.2302741753</v>
      </c>
      <c r="G63" s="294">
        <f>SUM(G61,G40,G37,G36,G26,G21,G15,G11,G62)</f>
        <v>3654896.7333588032</v>
      </c>
      <c r="H63" s="290">
        <f>G63/Pop_WA*1000</f>
        <v>1420.5253773472089</v>
      </c>
      <c r="I63" s="289">
        <f>SUM(I61,I40,I37,I36,I26,I21,I15,I11,I62)</f>
        <v>550205.2161206617</v>
      </c>
      <c r="J63" s="987">
        <f>SUM(J61,J40,J37,J36,J26,J21,J15,J11,J62)</f>
        <v>1593404.5906624813</v>
      </c>
      <c r="K63" s="289">
        <f>SUM(K61,K40,K37,K36,K26,K21,K15,K11,K62)</f>
        <v>1267064.7666393183</v>
      </c>
      <c r="L63" s="294">
        <f>SUM(L61,L40,L37,L36,L26,L21,L15,L11,L62)</f>
        <v>3410674.5734224613</v>
      </c>
      <c r="M63" s="959">
        <f>L63/Pop_WA*1000</f>
        <v>1325.605109769278</v>
      </c>
      <c r="N63" s="288">
        <f>SUM(N40,N26,N21)</f>
        <v>130907.57351550016</v>
      </c>
      <c r="O63" s="289">
        <f>SUM(O40,O26,O21)</f>
        <v>79471.296483772312</v>
      </c>
      <c r="P63" s="298">
        <f>SUM(P40,P26,P21)</f>
        <v>19106.740102737007</v>
      </c>
      <c r="Q63" s="289">
        <f>SUM(Q61,Q40,Q37,Q36,Q26,Q21,Q15,Q11,Q62)</f>
        <v>130907.57351550016</v>
      </c>
      <c r="R63" s="289">
        <f>SUM(R61,R40,R37,R36,R26,R21,R15,R11,R62)</f>
        <v>79471.296483775193</v>
      </c>
      <c r="S63" s="289">
        <f>SUM(S61,S40,S37,S36,S26,S21,S15,S11,S62)</f>
        <v>19106.740102737094</v>
      </c>
      <c r="T63" s="294">
        <f>SUM(T61,T40,T37,T36,T26,T21,T15,T11,T62)</f>
        <v>229485.61010201246</v>
      </c>
      <c r="U63" s="959">
        <f>T63/Pop_WA*1000</f>
        <v>89.192706844643169</v>
      </c>
      <c r="V63" s="74"/>
      <c r="Y63" s="75"/>
    </row>
    <row r="64" spans="1:47" x14ac:dyDescent="0.2">
      <c r="C64" s="2414" t="s">
        <v>1314</v>
      </c>
      <c r="E64" s="2413">
        <f>E63-E60</f>
        <v>748801.35105359391</v>
      </c>
      <c r="G64" s="272">
        <f>G63-G60</f>
        <v>3495199.9813011223</v>
      </c>
      <c r="H64" s="283">
        <f>G64/Pop_WA*1000</f>
        <v>1358.4570603665029</v>
      </c>
      <c r="J64" s="2413">
        <f>J63-J60</f>
        <v>1207098.8168742983</v>
      </c>
      <c r="L64" s="272">
        <f>L63-L60</f>
        <v>3024368.7996342783</v>
      </c>
      <c r="M64" s="272">
        <f>L64/Pop_WA*1000</f>
        <v>1175.4621111796673</v>
      </c>
      <c r="T64" s="272">
        <f>T63-T60</f>
        <v>229485.61010201246</v>
      </c>
      <c r="U64" s="283">
        <f>U63+U49</f>
        <v>89.192706844643553</v>
      </c>
      <c r="V64" s="74"/>
    </row>
    <row r="65" spans="1:45" x14ac:dyDescent="0.2">
      <c r="C65" s="304" t="s">
        <v>1351</v>
      </c>
      <c r="E65" s="955" t="s">
        <v>397</v>
      </c>
      <c r="F65" s="956" t="str">
        <f>IF(ROUND(SUM(D63:F63),0)=ROUND(G63,0),"Ok","Error")</f>
        <v>Ok</v>
      </c>
      <c r="G65" s="2415">
        <f>G64-SUM(G58:G59)</f>
        <v>3383820.2599838041</v>
      </c>
      <c r="H65" s="292">
        <f>G65/Pop_WA*1000</f>
        <v>1315.167815226132</v>
      </c>
      <c r="J65" s="955" t="s">
        <v>397</v>
      </c>
      <c r="K65" s="956" t="str">
        <f>IF(ROUND(SUM(I63:K63),0)=ROUND(L63,0),"Ok","Error")</f>
        <v>Ok</v>
      </c>
      <c r="L65" s="2415">
        <f>L64-SUM(L58:L59)</f>
        <v>2552075.87434392</v>
      </c>
      <c r="M65" s="291">
        <f>L65/Pop_WA*1000</f>
        <v>991.8990354317101</v>
      </c>
      <c r="R65" s="955" t="s">
        <v>397</v>
      </c>
      <c r="S65" s="956" t="str">
        <f>IF(ROUND(SUM(Q63:S63),0)=ROUND(T63,0),"Ok","Error")</f>
        <v>Ok</v>
      </c>
      <c r="T65" s="2415">
        <f>T64-SUM(T58:T59)</f>
        <v>229485.61010200949</v>
      </c>
      <c r="U65" s="292">
        <f>T65/Pop_WA*1000</f>
        <v>89.192706844642018</v>
      </c>
    </row>
    <row r="66" spans="1:45" x14ac:dyDescent="0.2">
      <c r="C66" s="138"/>
      <c r="F66" s="250"/>
      <c r="G66" s="251"/>
    </row>
    <row r="67" spans="1:45" ht="15" customHeight="1" x14ac:dyDescent="0.2">
      <c r="C67" s="2444" t="s">
        <v>410</v>
      </c>
      <c r="D67" s="2440" t="s">
        <v>16</v>
      </c>
      <c r="E67" s="2441" t="s">
        <v>17</v>
      </c>
      <c r="F67" s="2441" t="s">
        <v>1354</v>
      </c>
      <c r="G67" s="2441" t="s">
        <v>18</v>
      </c>
      <c r="H67" s="2547" t="s">
        <v>88</v>
      </c>
      <c r="I67" s="2442" t="s">
        <v>1368</v>
      </c>
      <c r="J67" s="2443" t="s">
        <v>1369</v>
      </c>
      <c r="K67" s="2788" t="s">
        <v>1423</v>
      </c>
      <c r="L67" s="2775"/>
      <c r="M67" s="2776"/>
    </row>
    <row r="68" spans="1:45" ht="15" customHeight="1" x14ac:dyDescent="0.2">
      <c r="C68" s="936"/>
      <c r="D68" s="930"/>
      <c r="E68" s="2280" t="s">
        <v>455</v>
      </c>
      <c r="F68" s="2280" t="s">
        <v>454</v>
      </c>
      <c r="G68" s="2280"/>
      <c r="H68" s="2279" t="s">
        <v>88</v>
      </c>
      <c r="I68" s="2280" t="s">
        <v>454</v>
      </c>
      <c r="J68" s="2341" t="s">
        <v>1352</v>
      </c>
      <c r="K68" s="943" t="s">
        <v>455</v>
      </c>
      <c r="L68" s="2280" t="s">
        <v>454</v>
      </c>
      <c r="M68" s="2341" t="s">
        <v>1352</v>
      </c>
      <c r="V68" s="74"/>
      <c r="W68" s="75"/>
    </row>
    <row r="69" spans="1:45" x14ac:dyDescent="0.2">
      <c r="C69" s="937"/>
      <c r="D69" s="944" t="s">
        <v>16</v>
      </c>
      <c r="E69" s="945" t="s">
        <v>17</v>
      </c>
      <c r="F69" s="945" t="s">
        <v>17</v>
      </c>
      <c r="G69" s="945" t="s">
        <v>18</v>
      </c>
      <c r="H69" s="944" t="s">
        <v>112</v>
      </c>
      <c r="I69" s="945" t="s">
        <v>112</v>
      </c>
      <c r="J69" s="946" t="s">
        <v>112</v>
      </c>
      <c r="K69" s="944" t="s">
        <v>112</v>
      </c>
      <c r="L69" s="945" t="s">
        <v>112</v>
      </c>
      <c r="M69" s="946" t="s">
        <v>112</v>
      </c>
      <c r="V69" s="74"/>
      <c r="W69" s="75"/>
    </row>
    <row r="70" spans="1:45" s="76" customFormat="1" x14ac:dyDescent="0.2">
      <c r="A70" s="74"/>
      <c r="B70" s="74"/>
      <c r="C70" s="252" t="s">
        <v>113</v>
      </c>
      <c r="D70" s="253">
        <f>D63/1000</f>
        <v>951.85639997335272</v>
      </c>
      <c r="E70" s="253">
        <f>E63/1000</f>
        <v>908.49810311127476</v>
      </c>
      <c r="F70" s="253">
        <f>E64/1000</f>
        <v>748.80135105359386</v>
      </c>
      <c r="G70" s="253">
        <f>F63/1000</f>
        <v>1794.5422302741754</v>
      </c>
      <c r="H70" s="255">
        <f>G63/1000</f>
        <v>3654.8967333588034</v>
      </c>
      <c r="I70" s="253">
        <f>G64/1000</f>
        <v>3495.1999813011225</v>
      </c>
      <c r="J70" s="254">
        <f>G65/1000</f>
        <v>3383.8202599838041</v>
      </c>
      <c r="K70" s="255">
        <f>H63</f>
        <v>1420.5253773472089</v>
      </c>
      <c r="L70" s="253">
        <f>H64</f>
        <v>1358.4570603665029</v>
      </c>
      <c r="M70" s="254">
        <f>H65</f>
        <v>1315.167815226132</v>
      </c>
      <c r="N70" s="74"/>
      <c r="O70" s="2149">
        <f>H70/1000</f>
        <v>3.6548967333588034</v>
      </c>
      <c r="P70" s="2149">
        <f t="shared" ref="P70:Q72" si="16">I70/1000</f>
        <v>3.4951999813011225</v>
      </c>
      <c r="Q70" s="2149">
        <f t="shared" si="16"/>
        <v>3.3838202599838043</v>
      </c>
      <c r="R70" s="74"/>
      <c r="S70" s="74"/>
      <c r="T70" s="74"/>
      <c r="U70" s="74"/>
      <c r="V70" s="74"/>
      <c r="W70" s="75"/>
      <c r="X70" s="74"/>
      <c r="Y70" s="74"/>
      <c r="Z70" s="74"/>
      <c r="AA70" s="74"/>
      <c r="AB70" s="74"/>
      <c r="AC70" s="74"/>
      <c r="AD70" s="74"/>
      <c r="AE70" s="74"/>
      <c r="AF70" s="74"/>
      <c r="AG70" s="74"/>
      <c r="AH70" s="74"/>
      <c r="AI70" s="74"/>
      <c r="AJ70" s="74"/>
      <c r="AK70" s="74"/>
      <c r="AL70" s="74"/>
      <c r="AM70" s="74"/>
      <c r="AN70" s="74"/>
      <c r="AO70" s="74"/>
      <c r="AP70" s="74"/>
      <c r="AQ70" s="74"/>
      <c r="AR70" s="74"/>
      <c r="AS70" s="74"/>
    </row>
    <row r="71" spans="1:45" x14ac:dyDescent="0.2">
      <c r="C71" s="256" t="s">
        <v>114</v>
      </c>
      <c r="D71" s="253">
        <f>I63/1000</f>
        <v>550.2052161206617</v>
      </c>
      <c r="E71" s="253">
        <f>J63/1000</f>
        <v>1593.4045906624813</v>
      </c>
      <c r="F71" s="253">
        <f>J64/1000</f>
        <v>1207.0988168742983</v>
      </c>
      <c r="G71" s="253">
        <f>K63/1000</f>
        <v>1267.0647666393183</v>
      </c>
      <c r="H71" s="255">
        <f>L63/1000</f>
        <v>3410.6745734224614</v>
      </c>
      <c r="I71" s="253">
        <f>L64/1000</f>
        <v>3024.3687996342783</v>
      </c>
      <c r="J71" s="254">
        <f>L65/1000</f>
        <v>2552.0758743439201</v>
      </c>
      <c r="K71" s="255">
        <f>M63</f>
        <v>1325.605109769278</v>
      </c>
      <c r="L71" s="253">
        <f>M64</f>
        <v>1175.4621111796673</v>
      </c>
      <c r="M71" s="254">
        <f>M65</f>
        <v>991.8990354317101</v>
      </c>
      <c r="O71" s="2149">
        <f>H71/1000</f>
        <v>3.4106745734224613</v>
      </c>
      <c r="P71" s="2149">
        <f t="shared" si="16"/>
        <v>3.0243687996342783</v>
      </c>
      <c r="Q71" s="2149">
        <f t="shared" si="16"/>
        <v>2.5520758743439202</v>
      </c>
      <c r="V71" s="74"/>
      <c r="W71" s="75"/>
    </row>
    <row r="72" spans="1:45" x14ac:dyDescent="0.2">
      <c r="C72" s="256" t="s">
        <v>38</v>
      </c>
      <c r="D72" s="253">
        <f>Q63/1000</f>
        <v>130.90757351550016</v>
      </c>
      <c r="E72" s="253">
        <f>R63/1000</f>
        <v>79.471296483775191</v>
      </c>
      <c r="F72" s="253">
        <f>E72</f>
        <v>79.471296483775191</v>
      </c>
      <c r="G72" s="253">
        <f>S63/1000</f>
        <v>19.106740102737096</v>
      </c>
      <c r="H72" s="255">
        <f>T63/1000</f>
        <v>229.48561010201246</v>
      </c>
      <c r="I72" s="253">
        <f>T64/1000</f>
        <v>229.48561010201246</v>
      </c>
      <c r="J72" s="254">
        <f>T65/1000</f>
        <v>229.4856101020095</v>
      </c>
      <c r="K72" s="255">
        <f>U63</f>
        <v>89.192706844643169</v>
      </c>
      <c r="L72" s="253">
        <f>U64</f>
        <v>89.192706844643553</v>
      </c>
      <c r="M72" s="254">
        <f>U65</f>
        <v>89.192706844642018</v>
      </c>
      <c r="O72" s="2149">
        <f>H72/1000</f>
        <v>0.22948561010201246</v>
      </c>
      <c r="P72" s="2149">
        <f t="shared" si="16"/>
        <v>0.22948561010201246</v>
      </c>
      <c r="Q72" s="2149">
        <f t="shared" si="16"/>
        <v>0.22948561010200949</v>
      </c>
      <c r="V72" s="74"/>
      <c r="W72" s="75"/>
    </row>
    <row r="73" spans="1:45" x14ac:dyDescent="0.2">
      <c r="C73" s="252" t="s">
        <v>116</v>
      </c>
      <c r="D73" s="257">
        <f t="shared" ref="D73:J73" si="17">SUM(D71:D72)/D74</f>
        <v>0.41710082098917839</v>
      </c>
      <c r="E73" s="257">
        <f t="shared" si="17"/>
        <v>0.64805638139220634</v>
      </c>
      <c r="F73" s="257">
        <f t="shared" si="17"/>
        <v>0.63210580272626649</v>
      </c>
      <c r="G73" s="257">
        <f t="shared" si="17"/>
        <v>0.41749140508840443</v>
      </c>
      <c r="H73" s="259">
        <f t="shared" si="17"/>
        <v>0.49898996334077778</v>
      </c>
      <c r="I73" s="257">
        <f t="shared" si="17"/>
        <v>0.4821200454477495</v>
      </c>
      <c r="J73" s="258">
        <f t="shared" si="17"/>
        <v>0.45115803039430608</v>
      </c>
      <c r="K73" s="259">
        <f>SUM(K71:K72)/K74</f>
        <v>0.49898996334077783</v>
      </c>
      <c r="L73" s="257">
        <f>SUM(L71:L72)/L74</f>
        <v>0.48212004544774956</v>
      </c>
      <c r="M73" s="258">
        <f>SUM(M71:M72)/M74</f>
        <v>0.45115803039430602</v>
      </c>
      <c r="O73" s="2150">
        <f>H73*1000</f>
        <v>498.98996334077776</v>
      </c>
      <c r="P73" s="2150">
        <f t="shared" ref="P73:Q73" si="18">I73*1000</f>
        <v>482.12004544774948</v>
      </c>
      <c r="Q73" s="2150">
        <f t="shared" si="18"/>
        <v>451.15803039430608</v>
      </c>
      <c r="V73" s="74"/>
      <c r="W73" s="75"/>
    </row>
    <row r="74" spans="1:45" x14ac:dyDescent="0.2">
      <c r="C74" s="260" t="s">
        <v>117</v>
      </c>
      <c r="D74" s="261">
        <f t="shared" ref="D74:J74" si="19">SUM(D70:D72)</f>
        <v>1632.9691896095146</v>
      </c>
      <c r="E74" s="261">
        <f t="shared" si="19"/>
        <v>2581.3739902575317</v>
      </c>
      <c r="F74" s="261">
        <f t="shared" si="19"/>
        <v>2035.3714644116674</v>
      </c>
      <c r="G74" s="261">
        <f t="shared" si="19"/>
        <v>3080.7137370162309</v>
      </c>
      <c r="H74" s="263">
        <f t="shared" si="19"/>
        <v>7295.0569168832772</v>
      </c>
      <c r="I74" s="2412">
        <f t="shared" si="19"/>
        <v>6749.0543910374126</v>
      </c>
      <c r="J74" s="262">
        <f t="shared" si="19"/>
        <v>6165.3817444297338</v>
      </c>
      <c r="K74" s="263">
        <f>SUM(K70:K72)</f>
        <v>2835.3231939611296</v>
      </c>
      <c r="L74" s="2412">
        <f>SUM(L70:L72)</f>
        <v>2623.1118783908137</v>
      </c>
      <c r="M74" s="262">
        <f>SUM(M70:M72)</f>
        <v>2396.2595575024843</v>
      </c>
      <c r="O74" s="2149">
        <f>H74/1000</f>
        <v>7.2950569168832775</v>
      </c>
      <c r="P74" s="2149">
        <f t="shared" ref="P74:Q74" si="20">I74/1000</f>
        <v>6.7490543910374123</v>
      </c>
      <c r="Q74" s="2149">
        <f t="shared" si="20"/>
        <v>6.1653817444297339</v>
      </c>
      <c r="V74" s="74"/>
      <c r="W74" s="75"/>
    </row>
    <row r="75" spans="1:45" s="76" customFormat="1" x14ac:dyDescent="0.2">
      <c r="A75" s="74"/>
      <c r="B75" s="74"/>
      <c r="C75" s="2076" t="s">
        <v>1308</v>
      </c>
      <c r="D75" s="2439">
        <f>D74/Pop_WA*1000000</f>
        <v>634.67570864435095</v>
      </c>
      <c r="E75" s="2439">
        <f>E74/Pop_WA*1000000</f>
        <v>1003.2861470794579</v>
      </c>
      <c r="F75" s="2439">
        <f>F74/Pop_WA*1000000</f>
        <v>791.07483150914095</v>
      </c>
      <c r="G75" s="2439">
        <f>G74/Pop_WA*1000000</f>
        <v>1197.3613382373214</v>
      </c>
      <c r="H75" s="74"/>
      <c r="I75" s="74"/>
      <c r="J75" s="74"/>
      <c r="K75" s="74"/>
      <c r="L75" s="74"/>
      <c r="M75" s="74"/>
      <c r="N75" s="2076" t="s">
        <v>1146</v>
      </c>
      <c r="O75" s="2076" t="s">
        <v>1147</v>
      </c>
      <c r="P75" s="2076" t="s">
        <v>1148</v>
      </c>
      <c r="Q75" s="2076" t="s">
        <v>1149</v>
      </c>
      <c r="R75" s="2076" t="s">
        <v>1312</v>
      </c>
      <c r="S75" s="74"/>
      <c r="T75" s="74"/>
      <c r="U75" s="74"/>
      <c r="V75" s="75"/>
      <c r="W75" s="74"/>
      <c r="X75" s="74"/>
      <c r="Y75" s="74"/>
      <c r="Z75" s="74"/>
      <c r="AA75" s="74"/>
      <c r="AB75" s="74"/>
      <c r="AC75" s="74"/>
      <c r="AD75" s="74"/>
      <c r="AE75" s="74"/>
      <c r="AF75" s="74"/>
      <c r="AG75" s="74"/>
      <c r="AH75" s="74"/>
      <c r="AI75" s="74"/>
      <c r="AJ75" s="74"/>
      <c r="AK75" s="74"/>
      <c r="AL75" s="74"/>
      <c r="AM75" s="74"/>
      <c r="AN75" s="74"/>
      <c r="AO75" s="74"/>
      <c r="AP75" s="74"/>
      <c r="AQ75" s="74"/>
      <c r="AR75" s="74"/>
    </row>
    <row r="76" spans="1:45" x14ac:dyDescent="0.2">
      <c r="C76" s="76"/>
      <c r="D76" s="76"/>
      <c r="E76" s="76"/>
      <c r="F76" s="76"/>
      <c r="G76" s="76"/>
      <c r="H76" s="76"/>
      <c r="I76" s="76"/>
      <c r="J76" s="76"/>
      <c r="N76" s="2076" t="s">
        <v>1367</v>
      </c>
      <c r="O76" s="2076" t="s">
        <v>1309</v>
      </c>
      <c r="P76" s="2076" t="s">
        <v>1367</v>
      </c>
      <c r="Q76" s="2076" t="s">
        <v>1309</v>
      </c>
      <c r="R76" s="2076" t="s">
        <v>1367</v>
      </c>
      <c r="S76" s="2076" t="s">
        <v>1309</v>
      </c>
    </row>
    <row r="77" spans="1:45" x14ac:dyDescent="0.2">
      <c r="C77" s="941"/>
      <c r="D77" s="2775" t="s">
        <v>410</v>
      </c>
      <c r="E77" s="2775"/>
      <c r="F77" s="2775"/>
      <c r="G77" s="2776"/>
      <c r="H77" s="942"/>
      <c r="I77" s="2788" t="s">
        <v>1311</v>
      </c>
      <c r="J77" s="2775"/>
      <c r="K77" s="2775"/>
      <c r="L77" s="2776"/>
    </row>
    <row r="78" spans="1:45" ht="25.5" x14ac:dyDescent="0.2">
      <c r="C78" s="940"/>
      <c r="D78" s="947" t="s">
        <v>113</v>
      </c>
      <c r="E78" s="947" t="s">
        <v>114</v>
      </c>
      <c r="F78" s="947" t="s">
        <v>38</v>
      </c>
      <c r="G78" s="948" t="s">
        <v>117</v>
      </c>
      <c r="H78" s="949" t="s">
        <v>116</v>
      </c>
      <c r="I78" s="2148" t="s">
        <v>113</v>
      </c>
      <c r="J78" s="947" t="s">
        <v>114</v>
      </c>
      <c r="K78" s="947" t="s">
        <v>38</v>
      </c>
      <c r="L78" s="948" t="s">
        <v>117</v>
      </c>
    </row>
    <row r="79" spans="1:45" s="77" customFormat="1" x14ac:dyDescent="0.2">
      <c r="A79" s="74"/>
      <c r="B79" s="2130" t="s">
        <v>1121</v>
      </c>
      <c r="C79" s="264" t="s">
        <v>25</v>
      </c>
      <c r="D79" s="253">
        <f>G11/1000</f>
        <v>1577.7691280456972</v>
      </c>
      <c r="E79" s="253">
        <f>L11/1000</f>
        <v>1314.4385400000001</v>
      </c>
      <c r="F79" s="253">
        <f>T11/1000</f>
        <v>0</v>
      </c>
      <c r="G79" s="254">
        <f t="shared" ref="G79:G87" si="21">SUM(D79:F79)</f>
        <v>2892.2076680456976</v>
      </c>
      <c r="H79" s="938">
        <f t="shared" ref="H79:H87" si="22">SUM(E79:F79)/G79</f>
        <v>0.45447585058378032</v>
      </c>
      <c r="I79" s="255">
        <f>H11</f>
        <v>613.22145316105832</v>
      </c>
      <c r="J79" s="253">
        <f>M11</f>
        <v>510.87443483452068</v>
      </c>
      <c r="K79" s="253">
        <f>U11</f>
        <v>0</v>
      </c>
      <c r="L79" s="254">
        <f>SUM(I79:K79)</f>
        <v>1124.095887995579</v>
      </c>
      <c r="M79" s="74"/>
      <c r="N79" s="74"/>
      <c r="O79" s="74"/>
      <c r="P79" s="74"/>
      <c r="Q79" s="74"/>
      <c r="R79" s="74"/>
      <c r="S79" s="74"/>
      <c r="T79" s="74"/>
      <c r="U79" s="74"/>
      <c r="V79" s="75"/>
      <c r="W79" s="74"/>
      <c r="X79" s="74"/>
      <c r="Y79" s="74"/>
      <c r="Z79" s="74"/>
      <c r="AA79" s="74"/>
      <c r="AB79" s="74"/>
      <c r="AC79" s="74"/>
      <c r="AD79" s="74"/>
      <c r="AE79" s="74"/>
      <c r="AF79" s="74"/>
      <c r="AG79" s="74"/>
      <c r="AH79" s="74"/>
      <c r="AI79" s="74"/>
      <c r="AJ79" s="74"/>
      <c r="AK79" s="74"/>
      <c r="AL79" s="74"/>
      <c r="AM79" s="74"/>
      <c r="AN79" s="74"/>
      <c r="AO79" s="74"/>
      <c r="AP79" s="74"/>
      <c r="AQ79" s="74"/>
      <c r="AR79" s="74"/>
    </row>
    <row r="80" spans="1:45" x14ac:dyDescent="0.2">
      <c r="B80" s="2130" t="s">
        <v>28</v>
      </c>
      <c r="C80" s="264" t="s">
        <v>28</v>
      </c>
      <c r="D80" s="253">
        <f>G15/1000</f>
        <v>141.53895725206905</v>
      </c>
      <c r="E80" s="253">
        <f>L15/1000</f>
        <v>608.92825000000005</v>
      </c>
      <c r="F80" s="253">
        <f>T15/1000</f>
        <v>0</v>
      </c>
      <c r="G80" s="254">
        <f t="shared" si="21"/>
        <v>750.4672072520691</v>
      </c>
      <c r="H80" s="938">
        <f t="shared" si="22"/>
        <v>0.81139887807978728</v>
      </c>
      <c r="I80" s="255">
        <f>H15</f>
        <v>55.011042808603399</v>
      </c>
      <c r="J80" s="253">
        <f>M15</f>
        <v>236.6682550053072</v>
      </c>
      <c r="K80" s="253">
        <f>U15</f>
        <v>0</v>
      </c>
      <c r="L80" s="254">
        <f t="shared" ref="L80:L87" si="23">SUM(I80:K80)</f>
        <v>291.67929781391058</v>
      </c>
    </row>
    <row r="81" spans="1:50" x14ac:dyDescent="0.2">
      <c r="B81" s="2130" t="s">
        <v>22</v>
      </c>
      <c r="C81" s="264" t="s">
        <v>22</v>
      </c>
      <c r="D81" s="253">
        <f>G21/1000</f>
        <v>899.08775052504848</v>
      </c>
      <c r="E81" s="253">
        <f>L21/1000</f>
        <v>315.77799999999991</v>
      </c>
      <c r="F81" s="253">
        <f>T21/1000</f>
        <v>146.47868131306879</v>
      </c>
      <c r="G81" s="254">
        <f t="shared" si="21"/>
        <v>1361.3444318381173</v>
      </c>
      <c r="H81" s="938">
        <f t="shared" si="22"/>
        <v>0.3395589466575476</v>
      </c>
      <c r="I81" s="255">
        <f>H21</f>
        <v>349.44269544631936</v>
      </c>
      <c r="J81" s="253">
        <f>M21</f>
        <v>122.7314190613851</v>
      </c>
      <c r="K81" s="253">
        <f>U21</f>
        <v>56.930933819941004</v>
      </c>
      <c r="L81" s="254">
        <f t="shared" si="23"/>
        <v>529.10504832764548</v>
      </c>
    </row>
    <row r="82" spans="1:50" x14ac:dyDescent="0.2">
      <c r="B82" s="2130" t="s">
        <v>1120</v>
      </c>
      <c r="C82" s="264" t="s">
        <v>20</v>
      </c>
      <c r="D82" s="253">
        <f>G26/1000</f>
        <v>247.63303023049085</v>
      </c>
      <c r="E82" s="253">
        <f>L26/1000</f>
        <v>245.37734934391986</v>
      </c>
      <c r="F82" s="253">
        <f>T26/1000</f>
        <v>65.404734562054372</v>
      </c>
      <c r="G82" s="254">
        <f t="shared" si="21"/>
        <v>558.41511413646504</v>
      </c>
      <c r="H82" s="938">
        <f t="shared" si="22"/>
        <v>0.55654310930779272</v>
      </c>
      <c r="I82" s="255">
        <f>H26</f>
        <v>96.245948757225094</v>
      </c>
      <c r="J82" s="253">
        <f>M26</f>
        <v>95.369247669250328</v>
      </c>
      <c r="K82" s="253">
        <f>U26</f>
        <v>25.420440582099314</v>
      </c>
      <c r="L82" s="254">
        <f t="shared" si="23"/>
        <v>217.03563700857472</v>
      </c>
    </row>
    <row r="83" spans="1:50" x14ac:dyDescent="0.2">
      <c r="B83" s="2130" t="s">
        <v>32</v>
      </c>
      <c r="C83" s="264" t="s">
        <v>32</v>
      </c>
      <c r="D83" s="253">
        <f>G36/1000</f>
        <v>372.81112287130031</v>
      </c>
      <c r="E83" s="253">
        <f>L36/1000</f>
        <v>16.399999999999999</v>
      </c>
      <c r="F83" s="253">
        <f>T36/1000</f>
        <v>0</v>
      </c>
      <c r="G83" s="254">
        <f t="shared" si="21"/>
        <v>389.21112287130029</v>
      </c>
      <c r="H83" s="938">
        <f t="shared" si="22"/>
        <v>4.2136514185446228E-2</v>
      </c>
      <c r="I83" s="255">
        <f>H36</f>
        <v>144.89811877921548</v>
      </c>
      <c r="J83" s="253">
        <f>M36</f>
        <v>6.374083288280743</v>
      </c>
      <c r="K83" s="253">
        <f>U36</f>
        <v>0</v>
      </c>
      <c r="L83" s="254">
        <f t="shared" si="23"/>
        <v>151.27220206749621</v>
      </c>
      <c r="AE83" s="79"/>
      <c r="AF83" s="79"/>
      <c r="AG83" s="79"/>
      <c r="AH83" s="79"/>
      <c r="AI83" s="79"/>
      <c r="AJ83" s="79"/>
    </row>
    <row r="84" spans="1:50" s="77" customFormat="1" x14ac:dyDescent="0.2">
      <c r="A84" s="74"/>
      <c r="B84" s="2130" t="s">
        <v>30</v>
      </c>
      <c r="C84" s="264" t="s">
        <v>30</v>
      </c>
      <c r="D84" s="253">
        <f>G37/1000</f>
        <v>77.903446852956577</v>
      </c>
      <c r="E84" s="253">
        <f>L37/1000</f>
        <v>47.298000000000002</v>
      </c>
      <c r="F84" s="253">
        <f>T37/1000</f>
        <v>0</v>
      </c>
      <c r="G84" s="254">
        <f t="shared" si="21"/>
        <v>125.20144685295658</v>
      </c>
      <c r="H84" s="938">
        <f t="shared" si="22"/>
        <v>0.37777518701959856</v>
      </c>
      <c r="I84" s="255">
        <f>H37</f>
        <v>30.278235285664483</v>
      </c>
      <c r="J84" s="253">
        <f>M37</f>
        <v>18.383011668847718</v>
      </c>
      <c r="K84" s="253">
        <f>U37</f>
        <v>0</v>
      </c>
      <c r="L84" s="254">
        <f t="shared" si="23"/>
        <v>48.661246954512201</v>
      </c>
      <c r="M84" s="74"/>
      <c r="N84" s="74"/>
      <c r="O84" s="74"/>
      <c r="P84" s="74"/>
      <c r="Q84" s="74"/>
      <c r="R84" s="74"/>
      <c r="S84" s="74"/>
      <c r="AB84" s="74"/>
      <c r="AC84" s="74"/>
      <c r="AD84" s="74"/>
      <c r="AE84" s="80"/>
      <c r="AF84" s="80"/>
      <c r="AG84" s="80"/>
      <c r="AH84" s="81"/>
      <c r="AI84" s="81"/>
      <c r="AJ84" s="82"/>
      <c r="AK84" s="74"/>
      <c r="AL84" s="74"/>
      <c r="AM84" s="74"/>
      <c r="AN84" s="74"/>
      <c r="AO84" s="74"/>
      <c r="AP84" s="74"/>
      <c r="AQ84" s="74"/>
      <c r="AR84" s="74"/>
      <c r="AS84" s="74"/>
      <c r="AT84" s="74"/>
      <c r="AU84" s="74"/>
      <c r="AV84" s="74"/>
      <c r="AW84" s="74"/>
      <c r="AX84" s="74"/>
    </row>
    <row r="85" spans="1:50" s="76" customFormat="1" x14ac:dyDescent="0.2">
      <c r="A85" s="74"/>
      <c r="B85" s="2130" t="s">
        <v>27</v>
      </c>
      <c r="C85" s="264" t="s">
        <v>27</v>
      </c>
      <c r="D85" s="253">
        <f>G40/1000</f>
        <v>67.076824206241071</v>
      </c>
      <c r="E85" s="253">
        <f>L40/1000</f>
        <v>3.8557350000000001</v>
      </c>
      <c r="F85" s="253">
        <f>T40/1000</f>
        <v>17.602194226886304</v>
      </c>
      <c r="G85" s="254">
        <f t="shared" si="21"/>
        <v>88.534753433127378</v>
      </c>
      <c r="H85" s="938">
        <f t="shared" si="22"/>
        <v>0.24236730091640274</v>
      </c>
      <c r="I85" s="255">
        <f>H40</f>
        <v>26.070320988045513</v>
      </c>
      <c r="J85" s="253">
        <f>M40</f>
        <v>1.4985839041182409</v>
      </c>
      <c r="K85" s="253">
        <f>U40</f>
        <v>6.8413324426016935</v>
      </c>
      <c r="L85" s="254">
        <f t="shared" si="23"/>
        <v>34.410237334765448</v>
      </c>
      <c r="M85" s="74"/>
      <c r="N85" s="74"/>
      <c r="O85" s="74"/>
      <c r="P85" s="74"/>
      <c r="Q85" s="74"/>
      <c r="R85" s="74"/>
      <c r="S85" s="74"/>
      <c r="AB85" s="74"/>
      <c r="AC85" s="74"/>
      <c r="AD85" s="74"/>
      <c r="AE85" s="80"/>
      <c r="AF85" s="80"/>
      <c r="AG85" s="80"/>
      <c r="AH85" s="81"/>
      <c r="AI85" s="81"/>
      <c r="AJ85" s="82"/>
      <c r="AK85" s="74"/>
      <c r="AL85" s="74"/>
      <c r="AM85" s="74"/>
      <c r="AN85" s="74"/>
      <c r="AO85" s="74"/>
      <c r="AP85" s="74"/>
      <c r="AQ85" s="74"/>
      <c r="AR85" s="74"/>
      <c r="AS85" s="74"/>
      <c r="AT85" s="74"/>
      <c r="AU85" s="74"/>
      <c r="AV85" s="74"/>
      <c r="AW85" s="74"/>
      <c r="AX85" s="74"/>
    </row>
    <row r="86" spans="1:50" s="76" customFormat="1" x14ac:dyDescent="0.2">
      <c r="A86" s="74"/>
      <c r="B86" s="2130" t="s">
        <v>1370</v>
      </c>
      <c r="C86" s="264" t="s">
        <v>35</v>
      </c>
      <c r="D86" s="253">
        <f>SUM(G58:G59)/1000</f>
        <v>111.37972131731841</v>
      </c>
      <c r="E86" s="253">
        <f>SUM(L58:L59)/1000</f>
        <v>472.29292529035843</v>
      </c>
      <c r="F86" s="253">
        <f>SUM(T58:T59)/1000</f>
        <v>2.9827759203722678E-12</v>
      </c>
      <c r="G86" s="254">
        <f t="shared" si="21"/>
        <v>583.67264660767978</v>
      </c>
      <c r="H86" s="938">
        <f t="shared" si="22"/>
        <v>0.80917433433850261</v>
      </c>
      <c r="I86" s="255">
        <f>SUM(H58:H59)</f>
        <v>43.289245140371079</v>
      </c>
      <c r="J86" s="253">
        <f>SUM(M58:M59)</f>
        <v>183.56307574795724</v>
      </c>
      <c r="K86" s="253">
        <f>SUM(U58:U59)</f>
        <v>1.1592964723616514E-12</v>
      </c>
      <c r="L86" s="254">
        <f t="shared" si="23"/>
        <v>226.8523208883295</v>
      </c>
      <c r="M86" s="74"/>
      <c r="N86" s="74"/>
      <c r="O86" s="74"/>
      <c r="P86" s="74"/>
      <c r="Q86" s="74"/>
      <c r="R86" s="74"/>
      <c r="S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row>
    <row r="87" spans="1:50" x14ac:dyDescent="0.2">
      <c r="B87" s="2130" t="s">
        <v>2</v>
      </c>
      <c r="C87" s="265" t="s">
        <v>2</v>
      </c>
      <c r="D87" s="261">
        <f>G60/1000</f>
        <v>159.69675205768081</v>
      </c>
      <c r="E87" s="261">
        <f>L60/1000</f>
        <v>386.30577378818305</v>
      </c>
      <c r="F87" s="261">
        <f>T60/1000</f>
        <v>0</v>
      </c>
      <c r="G87" s="266">
        <f t="shared" si="21"/>
        <v>546.00252584586383</v>
      </c>
      <c r="H87" s="939">
        <f t="shared" si="22"/>
        <v>0.70751645917703487</v>
      </c>
      <c r="I87" s="1677">
        <f>H60</f>
        <v>62.06831698070588</v>
      </c>
      <c r="J87" s="261">
        <f>M60</f>
        <v>150.1429985896109</v>
      </c>
      <c r="K87" s="261">
        <f>U60</f>
        <v>0</v>
      </c>
      <c r="L87" s="266">
        <f t="shared" si="23"/>
        <v>212.21131557031677</v>
      </c>
      <c r="AB87" s="76"/>
      <c r="AC87" s="76"/>
      <c r="AE87" s="76"/>
      <c r="AF87" s="76"/>
      <c r="AG87" s="76"/>
      <c r="AH87" s="76"/>
      <c r="AI87" s="76"/>
      <c r="AJ87" s="76"/>
      <c r="AK87" s="76"/>
      <c r="AL87" s="76"/>
      <c r="AM87" s="76"/>
      <c r="AN87" s="76"/>
      <c r="AO87" s="76"/>
      <c r="AP87" s="76"/>
      <c r="AQ87" s="76"/>
      <c r="AR87" s="76"/>
      <c r="AS87" s="76"/>
      <c r="AT87" s="76"/>
      <c r="AU87" s="76"/>
      <c r="AV87" s="76"/>
      <c r="AW87" s="76"/>
      <c r="AX87" s="76"/>
    </row>
    <row r="88" spans="1:50" x14ac:dyDescent="0.2">
      <c r="C88" s="2240" t="s">
        <v>1438</v>
      </c>
      <c r="D88" s="2331">
        <f>D16/1000</f>
        <v>297.5253304716673</v>
      </c>
      <c r="E88" s="2331">
        <f>I16/1000</f>
        <v>71.066601769911472</v>
      </c>
      <c r="F88" s="2331">
        <f>Q16/1000</f>
        <v>81.442060249431194</v>
      </c>
      <c r="G88" s="2422">
        <f t="shared" ref="G88" si="24">SUM(D88:F88)</f>
        <v>450.03399249100994</v>
      </c>
      <c r="H88" s="2566">
        <f>SUM(E88:F88)/G88</f>
        <v>0.33888253901707044</v>
      </c>
      <c r="I88" s="2567"/>
      <c r="J88" s="2331"/>
      <c r="K88" s="2331"/>
      <c r="L88" s="1652"/>
    </row>
    <row r="89" spans="1:50" s="76" customFormat="1" x14ac:dyDescent="0.2">
      <c r="A89" s="74"/>
      <c r="B89" s="74"/>
      <c r="C89" s="1641" t="s">
        <v>1439</v>
      </c>
      <c r="D89" s="2314">
        <f>G16/1000</f>
        <v>427.18250896894313</v>
      </c>
      <c r="E89" s="2314">
        <f>L16/1000</f>
        <v>83.201801769911469</v>
      </c>
      <c r="F89" s="2314">
        <f>T16/1000</f>
        <v>116.93331649375273</v>
      </c>
      <c r="G89" s="254">
        <f t="shared" ref="G89" si="25">SUM(D89:F89)</f>
        <v>627.31762723260726</v>
      </c>
      <c r="H89" s="938">
        <f>SUM(E89:F89)/G89</f>
        <v>0.31903314935777305</v>
      </c>
      <c r="I89" s="2568"/>
      <c r="J89" s="2314"/>
      <c r="K89" s="2314"/>
      <c r="L89" s="253"/>
      <c r="M89" s="74"/>
      <c r="N89" s="74"/>
      <c r="O89" s="74"/>
      <c r="P89" s="74"/>
      <c r="Q89" s="74"/>
      <c r="R89" s="74"/>
      <c r="S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row>
    <row r="90" spans="1:50" x14ac:dyDescent="0.2">
      <c r="C90" s="1641" t="s">
        <v>1437</v>
      </c>
      <c r="D90" s="2314">
        <f>(SUMIFS('Basel data'!$E$8:$E$604,'Basel data'!$C$8:$C$604,"K100",'Basel data'!$G$8:$G$604,"western australia")+SUMIFS('Basel data'!$F$8:$F$604,'Basel data'!$C$8:$C$604,"K100",'Basel data'!$G$8:$G$604,"western australia")+SUMIFS('Basel data'!$E$8:$E$604,'Basel data'!$C$8:$C$604,"K110",'Basel data'!$G$8:$G$604,"western australia")+SUMIFS('Basel data'!$F$8:$F$604,'Basel data'!$C$8:$C$604,"K110",'Basel data'!$G$8:$G$604,"western australia"))*(1-SUM('Other national data'!M432:N432))/1000</f>
        <v>5.3161890870348838</v>
      </c>
      <c r="E90" s="2314">
        <f>(SUMIFS('Basel data'!$E$8:$E$604,'Basel data'!$C$8:$C$604,"K100",'Basel data'!$G$8:$G$604,"western australia")+SUMIFS('Basel data'!$F$8:$F$604,'Basel data'!$C$8:$C$604,"K100",'Basel data'!$G$8:$G$604,"western australia")+SUMIFS('Basel data'!$E$8:$E$604,'Basel data'!$C$8:$C$604,"K110",'Basel data'!$G$8:$G$604,"western australia")+SUMIFS('Basel data'!$F$8:$F$604,'Basel data'!$C$8:$C$604,"K110",'Basel data'!$G$8:$G$604,"western australia"))*'Other national data'!M432/1000</f>
        <v>99.921965020317657</v>
      </c>
      <c r="F90" s="2314">
        <f>(SUMIFS('Basel data'!$E$8:$E$604,'Basel data'!$C$8:$C$604,"K100",'Basel data'!$G$8:$G$604,"western australia")+SUMIFS('Basel data'!$F$8:$F$604,'Basel data'!$C$8:$C$604,"K100",'Basel data'!$G$8:$G$604,"western australia")+SUMIFS('Basel data'!$E$8:$E$604,'Basel data'!$C$8:$C$604,"K110",'Basel data'!$G$8:$G$604,"western australia")+SUMIFS('Basel data'!$F$8:$F$604,'Basel data'!$C$8:$C$604,"K110",'Basel data'!$G$8:$G$604,"western australia"))*'Other national data'!N432/1000</f>
        <v>1.052381541073536E-12</v>
      </c>
      <c r="G90" s="254">
        <f t="shared" ref="G90:G91" si="26">SUM(D90:F90)</f>
        <v>105.23815410735359</v>
      </c>
      <c r="H90" s="938">
        <f t="shared" ref="H90:H91" si="27">SUM(E90:F90)/G90</f>
        <v>0.94948420435413727</v>
      </c>
      <c r="I90" s="2568"/>
      <c r="J90" s="2314"/>
      <c r="K90" s="2314"/>
      <c r="L90" s="253"/>
    </row>
    <row r="91" spans="1:50" x14ac:dyDescent="0.2">
      <c r="C91" s="2049" t="s">
        <v>1436</v>
      </c>
      <c r="D91" s="2315">
        <f>SUM(D89:D90)</f>
        <v>432.49869805597802</v>
      </c>
      <c r="E91" s="2315">
        <f t="shared" ref="E91:F91" si="28">SUM(E89:E90)</f>
        <v>183.12376679022913</v>
      </c>
      <c r="F91" s="2315">
        <f t="shared" si="28"/>
        <v>116.93331649375378</v>
      </c>
      <c r="G91" s="266">
        <f t="shared" si="26"/>
        <v>732.55578133996084</v>
      </c>
      <c r="H91" s="939">
        <f t="shared" si="27"/>
        <v>0.40960305129956232</v>
      </c>
      <c r="AB91" s="76"/>
      <c r="AC91" s="76"/>
      <c r="AE91" s="76"/>
      <c r="AF91" s="76"/>
      <c r="AG91" s="76"/>
      <c r="AH91" s="76"/>
      <c r="AI91" s="76"/>
      <c r="AJ91" s="76"/>
      <c r="AK91" s="76"/>
      <c r="AL91" s="76"/>
      <c r="AM91" s="76"/>
      <c r="AN91" s="76"/>
      <c r="AO91" s="76"/>
      <c r="AP91" s="76"/>
      <c r="AQ91" s="76"/>
      <c r="AR91" s="76"/>
      <c r="AS91" s="76"/>
      <c r="AT91" s="76"/>
      <c r="AU91" s="76"/>
      <c r="AV91" s="76"/>
      <c r="AW91" s="76"/>
      <c r="AX91" s="76"/>
    </row>
    <row r="93" spans="1:50" x14ac:dyDescent="0.2">
      <c r="C93" s="1629" t="s">
        <v>342</v>
      </c>
      <c r="D93" s="253">
        <f>SUM(G11,G15,G21,G26,G36,G37,G40,G52:G53,N63:P63)/1000</f>
        <v>3683.1130286502976</v>
      </c>
    </row>
    <row r="94" spans="1:50" s="76" customFormat="1" x14ac:dyDescent="0.2">
      <c r="A94" s="74"/>
      <c r="B94" s="74"/>
      <c r="C94" s="74"/>
      <c r="D94" s="74"/>
      <c r="E94" s="74"/>
      <c r="F94" s="74"/>
      <c r="G94" s="74"/>
      <c r="H94" s="74"/>
      <c r="I94" s="74"/>
      <c r="J94" s="74"/>
      <c r="K94" s="74"/>
      <c r="L94" s="74"/>
      <c r="M94" s="74"/>
      <c r="N94" s="74"/>
      <c r="O94" s="74"/>
      <c r="P94" s="74"/>
      <c r="Q94" s="74"/>
      <c r="R94" s="74"/>
      <c r="S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row>
    <row r="95" spans="1:50" s="76" customFormat="1" x14ac:dyDescent="0.2">
      <c r="A95" s="74"/>
      <c r="B95" s="74"/>
      <c r="C95" s="74"/>
      <c r="D95" s="74"/>
      <c r="E95" s="74"/>
      <c r="F95" s="74"/>
      <c r="G95" s="74"/>
      <c r="H95" s="74"/>
      <c r="I95" s="74"/>
      <c r="J95" s="74"/>
      <c r="K95" s="74"/>
      <c r="L95" s="74"/>
      <c r="M95" s="74"/>
      <c r="N95" s="74"/>
      <c r="O95" s="74"/>
      <c r="P95" s="74"/>
      <c r="Q95" s="74"/>
      <c r="R95" s="74"/>
      <c r="S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row>
    <row r="97" spans="1:50" x14ac:dyDescent="0.2">
      <c r="AB97" s="76"/>
      <c r="AC97" s="76"/>
      <c r="AE97" s="76"/>
      <c r="AF97" s="76"/>
      <c r="AG97" s="76"/>
      <c r="AH97" s="76"/>
      <c r="AI97" s="76"/>
      <c r="AJ97" s="76"/>
      <c r="AK97" s="76"/>
      <c r="AL97" s="76"/>
      <c r="AM97" s="76"/>
      <c r="AN97" s="76"/>
      <c r="AO97" s="76"/>
      <c r="AP97" s="76"/>
      <c r="AQ97" s="76"/>
      <c r="AR97" s="76"/>
      <c r="AS97" s="76"/>
      <c r="AT97" s="76"/>
      <c r="AU97" s="76"/>
      <c r="AV97" s="76"/>
      <c r="AW97" s="76"/>
      <c r="AX97" s="76"/>
    </row>
    <row r="102" spans="1:50" ht="12.75" customHeight="1" x14ac:dyDescent="0.2">
      <c r="AB102" s="76"/>
      <c r="AC102" s="76"/>
      <c r="AE102" s="76"/>
      <c r="AF102" s="76"/>
      <c r="AG102" s="76"/>
      <c r="AH102" s="76"/>
      <c r="AI102" s="76"/>
      <c r="AJ102" s="76"/>
      <c r="AK102" s="76"/>
      <c r="AL102" s="76"/>
      <c r="AM102" s="76"/>
      <c r="AN102" s="76"/>
      <c r="AO102" s="76"/>
      <c r="AP102" s="76"/>
      <c r="AQ102" s="76"/>
      <c r="AR102" s="76"/>
      <c r="AS102" s="76"/>
      <c r="AT102" s="76"/>
      <c r="AU102" s="76"/>
      <c r="AV102" s="76"/>
      <c r="AW102" s="76"/>
      <c r="AX102" s="76"/>
    </row>
    <row r="103" spans="1:50" x14ac:dyDescent="0.2">
      <c r="V103" s="74"/>
    </row>
    <row r="104" spans="1:50" x14ac:dyDescent="0.2">
      <c r="V104" s="74"/>
    </row>
    <row r="105" spans="1:50" x14ac:dyDescent="0.2">
      <c r="V105" s="74"/>
    </row>
    <row r="106" spans="1:50" x14ac:dyDescent="0.2">
      <c r="T106" s="77"/>
      <c r="U106" s="77"/>
      <c r="V106" s="77"/>
      <c r="W106" s="77"/>
      <c r="X106" s="77"/>
      <c r="Y106" s="77"/>
      <c r="Z106" s="77"/>
      <c r="AA106" s="77"/>
      <c r="AB106" s="77"/>
      <c r="AC106" s="77"/>
      <c r="AE106" s="77"/>
      <c r="AF106" s="77"/>
      <c r="AG106" s="77"/>
      <c r="AH106" s="77"/>
      <c r="AI106" s="77"/>
      <c r="AJ106" s="77"/>
      <c r="AK106" s="77"/>
      <c r="AL106" s="77"/>
      <c r="AM106" s="77"/>
      <c r="AN106" s="77"/>
      <c r="AO106" s="77"/>
      <c r="AP106" s="77"/>
      <c r="AQ106" s="77"/>
      <c r="AR106" s="77"/>
      <c r="AS106" s="77"/>
      <c r="AT106" s="77"/>
      <c r="AU106" s="77"/>
      <c r="AV106" s="77"/>
      <c r="AW106" s="77"/>
      <c r="AX106" s="77"/>
    </row>
    <row r="107" spans="1:50" s="76" customFormat="1" x14ac:dyDescent="0.2">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row>
    <row r="108" spans="1:50" x14ac:dyDescent="0.2">
      <c r="V108" s="74"/>
    </row>
    <row r="109" spans="1:50" x14ac:dyDescent="0.2">
      <c r="V109" s="74"/>
    </row>
    <row r="110" spans="1:50" x14ac:dyDescent="0.2">
      <c r="V110" s="74"/>
    </row>
    <row r="111" spans="1:50" s="76" customFormat="1" x14ac:dyDescent="0.2">
      <c r="A111" s="74"/>
      <c r="B111" s="74"/>
      <c r="C111" s="74"/>
      <c r="D111" s="74"/>
      <c r="E111" s="74"/>
      <c r="F111" s="74"/>
      <c r="G111" s="74"/>
      <c r="H111" s="74"/>
      <c r="I111" s="74"/>
      <c r="J111" s="74"/>
      <c r="K111" s="74"/>
      <c r="L111" s="74"/>
      <c r="M111" s="74"/>
      <c r="N111" s="74"/>
      <c r="O111" s="74"/>
      <c r="P111" s="74"/>
      <c r="Q111" s="74"/>
      <c r="R111" s="74"/>
      <c r="S111" s="74"/>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row>
    <row r="112" spans="1:50" x14ac:dyDescent="0.2">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row>
    <row r="113" spans="1:50" x14ac:dyDescent="0.2">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row>
    <row r="114" spans="1:50" x14ac:dyDescent="0.2">
      <c r="V114" s="74"/>
    </row>
    <row r="115" spans="1:50" x14ac:dyDescent="0.2">
      <c r="V115" s="74"/>
    </row>
    <row r="116" spans="1:50" x14ac:dyDescent="0.2">
      <c r="T116" s="76"/>
      <c r="U116" s="76"/>
      <c r="V116" s="76"/>
      <c r="W116" s="76"/>
      <c r="X116" s="76"/>
      <c r="Y116" s="76"/>
      <c r="Z116" s="76"/>
      <c r="AA116" s="76"/>
      <c r="AB116" s="76"/>
      <c r="AC116" s="76"/>
      <c r="AD116" s="76"/>
      <c r="AE116" s="76"/>
      <c r="AS116" s="76"/>
      <c r="AT116" s="76"/>
      <c r="AU116" s="76"/>
      <c r="AV116" s="76"/>
      <c r="AW116" s="76"/>
      <c r="AX116" s="76"/>
    </row>
    <row r="117" spans="1:50" s="76" customFormat="1" x14ac:dyDescent="0.2">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row>
    <row r="118" spans="1:50" x14ac:dyDescent="0.2">
      <c r="V118" s="74"/>
    </row>
    <row r="119" spans="1:50" x14ac:dyDescent="0.2">
      <c r="V119" s="74"/>
    </row>
    <row r="120" spans="1:50" x14ac:dyDescent="0.2">
      <c r="V120" s="74"/>
    </row>
    <row r="122" spans="1:50" s="76" customFormat="1" x14ac:dyDescent="0.2">
      <c r="A122" s="74"/>
      <c r="B122" s="74"/>
      <c r="C122" s="74"/>
      <c r="D122" s="74"/>
      <c r="E122" s="74"/>
      <c r="F122" s="74"/>
      <c r="G122" s="74"/>
      <c r="H122" s="74"/>
      <c r="I122" s="74"/>
      <c r="J122" s="74"/>
      <c r="K122" s="74"/>
      <c r="L122" s="74"/>
      <c r="M122" s="74"/>
      <c r="N122" s="74"/>
      <c r="O122" s="74"/>
      <c r="P122" s="74"/>
      <c r="Q122" s="74"/>
      <c r="R122" s="74"/>
      <c r="S122" s="74"/>
      <c r="T122" s="74"/>
      <c r="U122" s="74"/>
      <c r="V122" s="75"/>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row>
    <row r="126" spans="1:50" s="77" customFormat="1" x14ac:dyDescent="0.2">
      <c r="A126" s="74"/>
      <c r="B126" s="74"/>
      <c r="C126" s="74"/>
      <c r="D126" s="74"/>
      <c r="E126" s="74"/>
      <c r="F126" s="74"/>
      <c r="G126" s="74"/>
      <c r="H126" s="74"/>
      <c r="I126" s="74"/>
      <c r="J126" s="74"/>
      <c r="K126" s="74"/>
      <c r="L126" s="74"/>
      <c r="M126" s="74"/>
      <c r="N126" s="74"/>
      <c r="O126" s="74"/>
      <c r="P126" s="74"/>
      <c r="Q126" s="74"/>
      <c r="R126" s="74"/>
      <c r="S126" s="74"/>
      <c r="T126" s="74"/>
      <c r="U126" s="74"/>
      <c r="V126" s="75"/>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row>
    <row r="131" spans="1:44" s="77" customFormat="1" x14ac:dyDescent="0.2">
      <c r="A131" s="74"/>
      <c r="B131" s="74"/>
      <c r="C131" s="74"/>
      <c r="D131" s="74"/>
      <c r="E131" s="74"/>
      <c r="F131" s="74"/>
      <c r="G131" s="74"/>
      <c r="H131" s="74"/>
      <c r="I131" s="74"/>
      <c r="J131" s="74"/>
      <c r="K131" s="74"/>
      <c r="L131" s="74"/>
      <c r="M131" s="74"/>
      <c r="N131" s="74"/>
      <c r="O131" s="74"/>
      <c r="P131" s="74"/>
      <c r="Q131" s="74"/>
      <c r="R131" s="74"/>
      <c r="S131" s="74"/>
      <c r="T131" s="74"/>
      <c r="U131" s="74"/>
      <c r="V131" s="75"/>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row>
    <row r="132" spans="1:44" s="76" customFormat="1" x14ac:dyDescent="0.2">
      <c r="A132" s="74"/>
      <c r="B132" s="74"/>
      <c r="C132" s="74"/>
      <c r="D132" s="74"/>
      <c r="E132" s="74"/>
      <c r="F132" s="74"/>
      <c r="G132" s="74"/>
      <c r="H132" s="74"/>
      <c r="I132" s="74"/>
      <c r="J132" s="74"/>
      <c r="K132" s="74"/>
      <c r="L132" s="74"/>
      <c r="M132" s="74"/>
      <c r="N132" s="74"/>
      <c r="O132" s="74"/>
      <c r="P132" s="74"/>
      <c r="Q132" s="74"/>
      <c r="R132" s="74"/>
      <c r="S132" s="74"/>
      <c r="T132" s="74"/>
      <c r="U132" s="74"/>
      <c r="V132" s="75"/>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row>
    <row r="133" spans="1:44" s="76" customFormat="1" x14ac:dyDescent="0.2">
      <c r="A133" s="74"/>
      <c r="B133" s="74"/>
      <c r="C133" s="74"/>
      <c r="D133" s="74"/>
      <c r="E133" s="74"/>
      <c r="F133" s="74"/>
      <c r="G133" s="74"/>
      <c r="H133" s="74"/>
      <c r="I133" s="74"/>
      <c r="J133" s="74"/>
      <c r="K133" s="74"/>
      <c r="L133" s="74"/>
      <c r="M133" s="74"/>
      <c r="N133" s="74"/>
      <c r="O133" s="74"/>
      <c r="P133" s="74"/>
      <c r="Q133" s="74"/>
      <c r="R133" s="74"/>
      <c r="S133" s="74"/>
      <c r="T133" s="74"/>
      <c r="U133" s="74"/>
      <c r="V133" s="75"/>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row>
    <row r="136" spans="1:44" s="76" customFormat="1" x14ac:dyDescent="0.2">
      <c r="A136" s="74"/>
      <c r="B136" s="74"/>
      <c r="C136" s="74"/>
      <c r="D136" s="74"/>
      <c r="E136" s="74"/>
      <c r="F136" s="74"/>
      <c r="G136" s="74"/>
      <c r="H136" s="74"/>
      <c r="I136" s="74"/>
      <c r="J136" s="74"/>
      <c r="K136" s="74"/>
      <c r="L136" s="74"/>
      <c r="M136" s="74"/>
      <c r="N136" s="74"/>
      <c r="O136" s="74"/>
      <c r="P136" s="74"/>
      <c r="Q136" s="74"/>
      <c r="R136" s="74"/>
      <c r="S136" s="74"/>
      <c r="T136" s="74"/>
      <c r="U136" s="74"/>
      <c r="V136" s="75"/>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row>
    <row r="137" spans="1:44" x14ac:dyDescent="0.2">
      <c r="AJ137" s="76"/>
      <c r="AK137" s="76"/>
      <c r="AL137" s="76"/>
      <c r="AM137" s="76"/>
      <c r="AN137" s="76"/>
      <c r="AO137" s="76"/>
      <c r="AP137" s="76"/>
      <c r="AQ137" s="76"/>
    </row>
    <row r="141" spans="1:44" s="76" customFormat="1" x14ac:dyDescent="0.2">
      <c r="A141" s="74"/>
      <c r="B141" s="74"/>
      <c r="C141" s="74"/>
      <c r="D141" s="74"/>
      <c r="E141" s="74"/>
      <c r="F141" s="74"/>
      <c r="G141" s="74"/>
      <c r="H141" s="74"/>
      <c r="I141" s="74"/>
      <c r="J141" s="74"/>
      <c r="K141" s="74"/>
      <c r="L141" s="74"/>
      <c r="M141" s="74"/>
      <c r="N141" s="74"/>
      <c r="O141" s="74"/>
      <c r="P141" s="74"/>
      <c r="Q141" s="74"/>
      <c r="R141" s="74"/>
      <c r="S141" s="74"/>
      <c r="T141" s="74"/>
      <c r="U141" s="74"/>
      <c r="V141" s="75"/>
      <c r="W141" s="74"/>
      <c r="X141" s="74"/>
      <c r="Y141" s="74"/>
      <c r="Z141" s="74"/>
      <c r="AA141" s="74"/>
      <c r="AB141" s="74"/>
      <c r="AC141" s="74"/>
      <c r="AD141" s="74"/>
      <c r="AE141" s="74"/>
      <c r="AJ141" s="74"/>
      <c r="AK141" s="74"/>
      <c r="AL141" s="74"/>
      <c r="AM141" s="74"/>
      <c r="AN141" s="74"/>
      <c r="AO141" s="74"/>
      <c r="AP141" s="74"/>
      <c r="AQ141" s="74"/>
    </row>
    <row r="142" spans="1:44" s="76" customFormat="1" x14ac:dyDescent="0.2">
      <c r="A142" s="74"/>
      <c r="B142" s="74"/>
      <c r="C142" s="74"/>
      <c r="D142" s="74"/>
      <c r="E142" s="74"/>
      <c r="F142" s="74"/>
      <c r="G142" s="74"/>
      <c r="H142" s="74"/>
      <c r="I142" s="74"/>
      <c r="J142" s="74"/>
      <c r="K142" s="74"/>
      <c r="L142" s="74"/>
      <c r="M142" s="74"/>
      <c r="N142" s="74"/>
      <c r="O142" s="74"/>
      <c r="P142" s="74"/>
      <c r="Q142" s="74"/>
      <c r="R142" s="74"/>
      <c r="S142" s="74"/>
      <c r="T142" s="74"/>
      <c r="U142" s="74"/>
      <c r="V142" s="75"/>
      <c r="W142" s="74"/>
      <c r="X142" s="74"/>
      <c r="Y142" s="74"/>
      <c r="Z142" s="74"/>
      <c r="AA142" s="74"/>
      <c r="AB142" s="74"/>
      <c r="AC142" s="74"/>
      <c r="AD142" s="74"/>
      <c r="AE142" s="74"/>
    </row>
    <row r="143" spans="1:44" x14ac:dyDescent="0.2">
      <c r="AJ143" s="76"/>
      <c r="AK143" s="76"/>
      <c r="AL143" s="76"/>
      <c r="AM143" s="76"/>
      <c r="AN143" s="76"/>
      <c r="AO143" s="76"/>
      <c r="AP143" s="76"/>
      <c r="AQ143" s="76"/>
    </row>
    <row r="149" spans="1:43" ht="12.75" customHeight="1" x14ac:dyDescent="0.2">
      <c r="AF149" s="78"/>
      <c r="AG149" s="78"/>
      <c r="AH149" s="78"/>
      <c r="AI149" s="78"/>
    </row>
    <row r="150" spans="1:43" x14ac:dyDescent="0.2">
      <c r="AF150" s="79"/>
      <c r="AG150" s="79"/>
      <c r="AH150" s="79"/>
      <c r="AI150" s="79"/>
      <c r="AJ150" s="78"/>
    </row>
    <row r="151" spans="1:43" x14ac:dyDescent="0.2">
      <c r="AF151" s="80"/>
      <c r="AG151" s="80"/>
      <c r="AH151" s="81"/>
      <c r="AI151" s="81"/>
      <c r="AJ151" s="79"/>
    </row>
    <row r="152" spans="1:43" x14ac:dyDescent="0.2">
      <c r="AF152" s="80"/>
      <c r="AG152" s="80"/>
      <c r="AH152" s="81"/>
      <c r="AI152" s="81"/>
      <c r="AJ152" s="82"/>
    </row>
    <row r="153" spans="1:43" x14ac:dyDescent="0.2">
      <c r="AJ153" s="82"/>
    </row>
    <row r="154" spans="1:43" s="76" customFormat="1" x14ac:dyDescent="0.2">
      <c r="A154" s="74"/>
      <c r="B154" s="74"/>
      <c r="C154" s="74"/>
      <c r="D154" s="74"/>
      <c r="E154" s="74"/>
      <c r="F154" s="74"/>
      <c r="G154" s="74"/>
      <c r="H154" s="74"/>
      <c r="I154" s="74"/>
      <c r="J154" s="74"/>
      <c r="K154" s="74"/>
      <c r="L154" s="74"/>
      <c r="M154" s="74"/>
      <c r="N154" s="74"/>
      <c r="O154" s="74"/>
      <c r="P154" s="74"/>
      <c r="Q154" s="74"/>
      <c r="R154" s="74"/>
      <c r="S154" s="74"/>
      <c r="T154" s="74"/>
      <c r="U154" s="74"/>
      <c r="V154" s="75"/>
      <c r="W154" s="74"/>
      <c r="X154" s="74"/>
      <c r="Y154" s="74"/>
      <c r="Z154" s="74"/>
      <c r="AA154" s="74"/>
      <c r="AB154" s="74"/>
      <c r="AC154" s="74"/>
      <c r="AD154" s="74"/>
      <c r="AE154" s="74"/>
      <c r="AJ154" s="74"/>
      <c r="AK154" s="74"/>
      <c r="AL154" s="74"/>
      <c r="AM154" s="74"/>
      <c r="AN154" s="74"/>
      <c r="AO154" s="74"/>
      <c r="AP154" s="74"/>
      <c r="AQ154" s="74"/>
    </row>
    <row r="155" spans="1:43" x14ac:dyDescent="0.2">
      <c r="AJ155" s="76"/>
      <c r="AK155" s="76"/>
      <c r="AL155" s="76"/>
      <c r="AM155" s="76"/>
      <c r="AN155" s="76"/>
      <c r="AO155" s="76"/>
      <c r="AP155" s="76"/>
      <c r="AQ155" s="76"/>
    </row>
    <row r="158" spans="1:43" s="76" customFormat="1" x14ac:dyDescent="0.2">
      <c r="A158" s="74"/>
      <c r="B158" s="74"/>
      <c r="C158" s="74"/>
      <c r="D158" s="74"/>
      <c r="E158" s="74"/>
      <c r="F158" s="74"/>
      <c r="G158" s="74"/>
      <c r="H158" s="74"/>
      <c r="I158" s="74"/>
      <c r="J158" s="74"/>
      <c r="K158" s="74"/>
      <c r="L158" s="74"/>
      <c r="M158" s="74"/>
      <c r="N158" s="74"/>
      <c r="O158" s="74"/>
      <c r="P158" s="74"/>
      <c r="Q158" s="74"/>
      <c r="R158" s="74"/>
      <c r="S158" s="74"/>
      <c r="T158" s="74"/>
      <c r="U158" s="74"/>
      <c r="V158" s="75"/>
      <c r="W158" s="74"/>
      <c r="X158" s="74"/>
      <c r="Y158" s="74"/>
      <c r="Z158" s="74"/>
      <c r="AA158" s="74"/>
      <c r="AB158" s="74"/>
      <c r="AC158" s="74"/>
      <c r="AD158" s="74"/>
      <c r="AE158" s="74"/>
      <c r="AJ158" s="74"/>
      <c r="AK158" s="74"/>
      <c r="AL158" s="74"/>
      <c r="AM158" s="74"/>
      <c r="AN158" s="74"/>
      <c r="AO158" s="74"/>
      <c r="AP158" s="74"/>
      <c r="AQ158" s="74"/>
    </row>
    <row r="159" spans="1:43" x14ac:dyDescent="0.2">
      <c r="AJ159" s="76"/>
      <c r="AK159" s="76"/>
      <c r="AL159" s="76"/>
      <c r="AM159" s="76"/>
      <c r="AN159" s="76"/>
      <c r="AO159" s="76"/>
      <c r="AP159" s="76"/>
      <c r="AQ159" s="76"/>
    </row>
    <row r="164" spans="1:43" s="76" customFormat="1" x14ac:dyDescent="0.2">
      <c r="A164" s="74"/>
      <c r="B164" s="74"/>
      <c r="C164" s="74"/>
      <c r="D164" s="74"/>
      <c r="E164" s="74"/>
      <c r="F164" s="74"/>
      <c r="G164" s="74"/>
      <c r="H164" s="74"/>
      <c r="I164" s="74"/>
      <c r="J164" s="74"/>
      <c r="K164" s="74"/>
      <c r="L164" s="74"/>
      <c r="M164" s="74"/>
      <c r="N164" s="74"/>
      <c r="O164" s="74"/>
      <c r="P164" s="74"/>
      <c r="Q164" s="74"/>
      <c r="R164" s="74"/>
      <c r="S164" s="74"/>
      <c r="T164" s="74"/>
      <c r="U164" s="74"/>
      <c r="V164" s="75"/>
      <c r="W164" s="74"/>
      <c r="X164" s="74"/>
      <c r="Y164" s="74"/>
      <c r="Z164" s="74"/>
      <c r="AA164" s="74"/>
      <c r="AB164" s="74"/>
      <c r="AC164" s="74"/>
      <c r="AD164" s="74"/>
      <c r="AE164" s="74"/>
      <c r="AJ164" s="74"/>
      <c r="AK164" s="74"/>
      <c r="AL164" s="74"/>
      <c r="AM164" s="74"/>
      <c r="AN164" s="74"/>
      <c r="AO164" s="74"/>
      <c r="AP164" s="74"/>
      <c r="AQ164" s="74"/>
    </row>
    <row r="165" spans="1:43" x14ac:dyDescent="0.2">
      <c r="AJ165" s="76"/>
      <c r="AK165" s="76"/>
      <c r="AL165" s="76"/>
      <c r="AM165" s="76"/>
      <c r="AN165" s="76"/>
      <c r="AO165" s="76"/>
      <c r="AP165" s="76"/>
      <c r="AQ165" s="76"/>
    </row>
    <row r="169" spans="1:43" s="76" customFormat="1" x14ac:dyDescent="0.2">
      <c r="A169" s="74"/>
      <c r="B169" s="74"/>
      <c r="C169" s="74"/>
      <c r="D169" s="74"/>
      <c r="E169" s="74"/>
      <c r="F169" s="74"/>
      <c r="G169" s="74"/>
      <c r="H169" s="74"/>
      <c r="I169" s="74"/>
      <c r="J169" s="74"/>
      <c r="K169" s="74"/>
      <c r="L169" s="74"/>
      <c r="M169" s="74"/>
      <c r="N169" s="74"/>
      <c r="O169" s="74"/>
      <c r="P169" s="74"/>
      <c r="Q169" s="74"/>
      <c r="R169" s="74"/>
      <c r="S169" s="74"/>
      <c r="T169" s="74"/>
      <c r="U169" s="74"/>
      <c r="V169" s="75"/>
      <c r="W169" s="74"/>
      <c r="X169" s="74"/>
      <c r="Y169" s="74"/>
      <c r="Z169" s="74"/>
      <c r="AA169" s="74"/>
      <c r="AB169" s="74"/>
      <c r="AC169" s="74"/>
      <c r="AD169" s="74"/>
      <c r="AE169" s="74"/>
      <c r="AJ169" s="74"/>
      <c r="AK169" s="74"/>
      <c r="AL169" s="74"/>
      <c r="AM169" s="74"/>
      <c r="AN169" s="74"/>
      <c r="AO169" s="74"/>
      <c r="AP169" s="74"/>
      <c r="AQ169" s="74"/>
    </row>
    <row r="170" spans="1:43" x14ac:dyDescent="0.2">
      <c r="AJ170" s="76"/>
      <c r="AK170" s="76"/>
      <c r="AL170" s="76"/>
      <c r="AM170" s="76"/>
      <c r="AN170" s="76"/>
      <c r="AO170" s="76"/>
      <c r="AP170" s="76"/>
      <c r="AQ170" s="76"/>
    </row>
    <row r="173" spans="1:43" s="77" customFormat="1" x14ac:dyDescent="0.2">
      <c r="A173" s="74"/>
      <c r="B173" s="74"/>
      <c r="C173" s="74"/>
      <c r="D173" s="74"/>
      <c r="E173" s="74"/>
      <c r="F173" s="74"/>
      <c r="G173" s="74"/>
      <c r="H173" s="74"/>
      <c r="I173" s="74"/>
      <c r="J173" s="74"/>
      <c r="K173" s="74"/>
      <c r="L173" s="74"/>
      <c r="M173" s="74"/>
      <c r="N173" s="74"/>
      <c r="O173" s="74"/>
      <c r="P173" s="74"/>
      <c r="Q173" s="74"/>
      <c r="R173" s="74"/>
      <c r="S173" s="74"/>
      <c r="T173" s="74"/>
      <c r="U173" s="74"/>
      <c r="V173" s="75"/>
      <c r="W173" s="74"/>
      <c r="X173" s="74"/>
      <c r="Y173" s="74"/>
      <c r="Z173" s="74"/>
      <c r="AA173" s="74"/>
      <c r="AB173" s="74"/>
      <c r="AC173" s="74"/>
      <c r="AD173" s="74"/>
      <c r="AE173" s="74"/>
      <c r="AJ173" s="74"/>
      <c r="AK173" s="74"/>
      <c r="AL173" s="74"/>
      <c r="AM173" s="74"/>
      <c r="AN173" s="74"/>
      <c r="AO173" s="74"/>
      <c r="AP173" s="74"/>
      <c r="AQ173" s="74"/>
    </row>
    <row r="174" spans="1:43" x14ac:dyDescent="0.2">
      <c r="AJ174" s="77"/>
      <c r="AK174" s="77"/>
      <c r="AL174" s="77"/>
      <c r="AM174" s="77"/>
      <c r="AN174" s="77"/>
      <c r="AO174" s="77"/>
      <c r="AP174" s="77"/>
      <c r="AQ174" s="77"/>
    </row>
    <row r="178" spans="1:43" s="77" customFormat="1" x14ac:dyDescent="0.2">
      <c r="A178" s="74"/>
      <c r="B178" s="74"/>
      <c r="C178" s="74"/>
      <c r="D178" s="74"/>
      <c r="E178" s="74"/>
      <c r="F178" s="74"/>
      <c r="G178" s="74"/>
      <c r="H178" s="74"/>
      <c r="I178" s="74"/>
      <c r="J178" s="74"/>
      <c r="K178" s="74"/>
      <c r="L178" s="74"/>
      <c r="M178" s="74"/>
      <c r="N178" s="74"/>
      <c r="O178" s="74"/>
      <c r="P178" s="74"/>
      <c r="Q178" s="74"/>
      <c r="R178" s="74"/>
      <c r="S178" s="74"/>
      <c r="T178" s="74"/>
      <c r="U178" s="74"/>
      <c r="V178" s="75"/>
      <c r="W178" s="74"/>
      <c r="X178" s="74"/>
      <c r="Y178" s="74"/>
      <c r="Z178" s="74"/>
      <c r="AA178" s="74"/>
      <c r="AB178" s="74"/>
      <c r="AC178" s="74"/>
      <c r="AD178" s="74"/>
      <c r="AE178" s="74"/>
      <c r="AJ178" s="74"/>
      <c r="AK178" s="74"/>
      <c r="AL178" s="74"/>
      <c r="AM178" s="74"/>
      <c r="AN178" s="74"/>
      <c r="AO178" s="74"/>
      <c r="AP178" s="74"/>
      <c r="AQ178" s="74"/>
    </row>
    <row r="179" spans="1:43" s="76" customFormat="1" x14ac:dyDescent="0.2">
      <c r="A179" s="74"/>
      <c r="B179" s="74"/>
      <c r="C179" s="74"/>
      <c r="D179" s="74"/>
      <c r="E179" s="74"/>
      <c r="F179" s="74"/>
      <c r="G179" s="74"/>
      <c r="H179" s="74"/>
      <c r="I179" s="74"/>
      <c r="J179" s="74"/>
      <c r="K179" s="74"/>
      <c r="L179" s="74"/>
      <c r="M179" s="74"/>
      <c r="N179" s="74"/>
      <c r="O179" s="74"/>
      <c r="P179" s="74"/>
      <c r="Q179" s="74"/>
      <c r="R179" s="74"/>
      <c r="S179" s="74"/>
      <c r="T179" s="74"/>
      <c r="U179" s="74"/>
      <c r="V179" s="75"/>
      <c r="W179" s="74"/>
      <c r="X179" s="74"/>
      <c r="Y179" s="74"/>
      <c r="Z179" s="74"/>
      <c r="AA179" s="74"/>
      <c r="AB179" s="74"/>
      <c r="AC179" s="74"/>
      <c r="AD179" s="74"/>
      <c r="AE179" s="74"/>
      <c r="AJ179" s="77"/>
      <c r="AK179" s="77"/>
      <c r="AL179" s="77"/>
      <c r="AM179" s="77"/>
      <c r="AN179" s="77"/>
      <c r="AO179" s="77"/>
      <c r="AP179" s="77"/>
      <c r="AQ179" s="77"/>
    </row>
    <row r="180" spans="1:43" s="76" customFormat="1" x14ac:dyDescent="0.2">
      <c r="A180" s="74"/>
      <c r="B180" s="74"/>
      <c r="C180" s="74"/>
      <c r="D180" s="74"/>
      <c r="E180" s="74"/>
      <c r="F180" s="74"/>
      <c r="G180" s="74"/>
      <c r="H180" s="74"/>
      <c r="I180" s="74"/>
      <c r="J180" s="74"/>
      <c r="K180" s="74"/>
      <c r="L180" s="74"/>
      <c r="M180" s="74"/>
      <c r="N180" s="74"/>
      <c r="O180" s="74"/>
      <c r="P180" s="74"/>
      <c r="Q180" s="74"/>
      <c r="R180" s="74"/>
      <c r="S180" s="74"/>
      <c r="T180" s="74"/>
      <c r="U180" s="74"/>
      <c r="V180" s="75"/>
      <c r="W180" s="74"/>
      <c r="X180" s="74"/>
      <c r="Y180" s="74"/>
      <c r="Z180" s="74"/>
      <c r="AA180" s="74"/>
      <c r="AB180" s="74"/>
      <c r="AC180" s="74"/>
      <c r="AD180" s="74"/>
      <c r="AE180" s="74"/>
    </row>
    <row r="181" spans="1:43" x14ac:dyDescent="0.2">
      <c r="AJ181" s="76"/>
      <c r="AK181" s="76"/>
      <c r="AL181" s="76"/>
      <c r="AM181" s="76"/>
      <c r="AN181" s="76"/>
      <c r="AO181" s="76"/>
      <c r="AP181" s="76"/>
      <c r="AQ181" s="76"/>
    </row>
    <row r="183" spans="1:43" s="76" customFormat="1" x14ac:dyDescent="0.2">
      <c r="A183" s="74"/>
      <c r="B183" s="74"/>
      <c r="C183" s="74"/>
      <c r="D183" s="74"/>
      <c r="E183" s="74"/>
      <c r="F183" s="74"/>
      <c r="G183" s="74"/>
      <c r="H183" s="74"/>
      <c r="I183" s="74"/>
      <c r="J183" s="74"/>
      <c r="K183" s="74"/>
      <c r="L183" s="74"/>
      <c r="M183" s="74"/>
      <c r="N183" s="74"/>
      <c r="O183" s="74"/>
      <c r="P183" s="74"/>
      <c r="Q183" s="74"/>
      <c r="R183" s="74"/>
      <c r="S183" s="74"/>
      <c r="T183" s="74"/>
      <c r="U183" s="74"/>
      <c r="V183" s="75"/>
      <c r="W183" s="74"/>
      <c r="X183" s="74"/>
      <c r="Y183" s="74"/>
      <c r="Z183" s="74"/>
      <c r="AA183" s="74"/>
      <c r="AB183" s="74"/>
      <c r="AC183" s="74"/>
      <c r="AD183" s="74"/>
      <c r="AE183" s="74"/>
      <c r="AJ183" s="74"/>
      <c r="AK183" s="74"/>
      <c r="AL183" s="74"/>
      <c r="AM183" s="74"/>
      <c r="AN183" s="74"/>
      <c r="AO183" s="74"/>
      <c r="AP183" s="74"/>
      <c r="AQ183" s="74"/>
    </row>
    <row r="184" spans="1:43" x14ac:dyDescent="0.2">
      <c r="AJ184" s="76"/>
      <c r="AK184" s="76"/>
      <c r="AL184" s="76"/>
      <c r="AM184" s="76"/>
      <c r="AN184" s="76"/>
      <c r="AO184" s="76"/>
      <c r="AP184" s="76"/>
      <c r="AQ184" s="76"/>
    </row>
    <row r="188" spans="1:43" s="76" customFormat="1" x14ac:dyDescent="0.2">
      <c r="A188" s="74"/>
      <c r="B188" s="74"/>
      <c r="C188" s="74"/>
      <c r="D188" s="74"/>
      <c r="E188" s="74"/>
      <c r="F188" s="74"/>
      <c r="G188" s="74"/>
      <c r="H188" s="74"/>
      <c r="I188" s="74"/>
      <c r="J188" s="74"/>
      <c r="K188" s="74"/>
      <c r="L188" s="74"/>
      <c r="M188" s="74"/>
      <c r="N188" s="74"/>
      <c r="O188" s="74"/>
      <c r="P188" s="74"/>
      <c r="Q188" s="74"/>
      <c r="R188" s="74"/>
      <c r="S188" s="74"/>
      <c r="T188" s="74"/>
      <c r="U188" s="74"/>
      <c r="V188" s="75"/>
      <c r="W188" s="74"/>
      <c r="X188" s="74"/>
      <c r="Y188" s="74"/>
      <c r="Z188" s="74"/>
      <c r="AA188" s="74"/>
      <c r="AB188" s="74"/>
      <c r="AC188" s="74"/>
      <c r="AD188" s="74"/>
      <c r="AE188" s="74"/>
      <c r="AJ188" s="74"/>
      <c r="AK188" s="74"/>
      <c r="AL188" s="74"/>
      <c r="AM188" s="74"/>
      <c r="AN188" s="74"/>
      <c r="AO188" s="74"/>
      <c r="AP188" s="74"/>
      <c r="AQ188" s="74"/>
    </row>
    <row r="189" spans="1:43" s="76" customFormat="1" x14ac:dyDescent="0.2">
      <c r="A189" s="74"/>
      <c r="B189" s="74"/>
      <c r="C189" s="74"/>
      <c r="D189" s="74"/>
      <c r="E189" s="74"/>
      <c r="F189" s="74"/>
      <c r="G189" s="74"/>
      <c r="H189" s="74"/>
      <c r="I189" s="74"/>
      <c r="J189" s="74"/>
      <c r="K189" s="74"/>
      <c r="L189" s="74"/>
      <c r="M189" s="74"/>
      <c r="N189" s="74"/>
      <c r="O189" s="74"/>
      <c r="P189" s="74"/>
      <c r="Q189" s="74"/>
      <c r="R189" s="74"/>
      <c r="S189" s="74"/>
      <c r="T189" s="74"/>
      <c r="U189" s="74"/>
      <c r="V189" s="75"/>
      <c r="W189" s="74"/>
      <c r="X189" s="74"/>
      <c r="Y189" s="74"/>
      <c r="Z189" s="74"/>
      <c r="AA189" s="74"/>
      <c r="AB189" s="74"/>
      <c r="AC189" s="74"/>
      <c r="AD189" s="74"/>
      <c r="AE189" s="74"/>
    </row>
    <row r="190" spans="1:43" x14ac:dyDescent="0.2">
      <c r="AJ190" s="76"/>
      <c r="AK190" s="76"/>
      <c r="AL190" s="76"/>
      <c r="AM190" s="76"/>
      <c r="AN190" s="76"/>
      <c r="AO190" s="76"/>
      <c r="AP190" s="76"/>
      <c r="AQ190" s="76"/>
    </row>
  </sheetData>
  <sheetProtection sheet="1" objects="1" scenarios="1"/>
  <mergeCells count="13">
    <mergeCell ref="D77:G77"/>
    <mergeCell ref="N3:U3"/>
    <mergeCell ref="B4:B5"/>
    <mergeCell ref="C4:C5"/>
    <mergeCell ref="D4:G4"/>
    <mergeCell ref="H4:H5"/>
    <mergeCell ref="I4:L4"/>
    <mergeCell ref="M4:M5"/>
    <mergeCell ref="N4:P4"/>
    <mergeCell ref="Q4:T4"/>
    <mergeCell ref="U4:U5"/>
    <mergeCell ref="I77:L77"/>
    <mergeCell ref="K67:M67"/>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sheetPr>
  <dimension ref="A1:U405"/>
  <sheetViews>
    <sheetView zoomScale="80" zoomScaleNormal="80" workbookViewId="0">
      <pane ySplit="6" topLeftCell="A7" activePane="bottomLeft" state="frozen"/>
      <selection activeCell="A7" sqref="A7"/>
      <selection pane="bottomLeft" activeCell="A7" sqref="A7"/>
    </sheetView>
  </sheetViews>
  <sheetFormatPr defaultColWidth="9.140625" defaultRowHeight="12.75" x14ac:dyDescent="0.25"/>
  <cols>
    <col min="1" max="1" width="1.7109375" style="7" customWidth="1"/>
    <col min="2" max="2" width="35" style="5" customWidth="1"/>
    <col min="3" max="3" width="65" style="10" customWidth="1"/>
    <col min="4" max="4" width="8.42578125" style="10" customWidth="1"/>
    <col min="5" max="5" width="2.85546875" style="10" customWidth="1"/>
    <col min="6" max="6" width="24.140625" style="7" customWidth="1"/>
    <col min="7" max="8" width="12.5703125" style="7" customWidth="1"/>
    <col min="9" max="9" width="13.7109375" style="7" customWidth="1"/>
    <col min="10" max="11" width="12.5703125" style="7" customWidth="1"/>
    <col min="12" max="12" width="2.5703125" style="10" customWidth="1"/>
    <col min="13" max="13" width="23" style="5" customWidth="1"/>
    <col min="14" max="14" width="44.85546875" style="10" customWidth="1"/>
    <col min="15" max="15" width="2.42578125" style="7" customWidth="1"/>
    <col min="16" max="20" width="3.5703125" style="36" customWidth="1"/>
    <col min="21" max="21" width="9.140625" style="7"/>
    <col min="22" max="22" width="10.7109375" style="7" customWidth="1"/>
    <col min="23" max="24" width="9.140625" style="7"/>
    <col min="25" max="25" width="11" style="7" customWidth="1"/>
    <col min="26" max="16384" width="9.140625" style="7"/>
  </cols>
  <sheetData>
    <row r="1" spans="1:21" s="1682" customFormat="1" ht="18.75" x14ac:dyDescent="0.25">
      <c r="A1" s="1684"/>
      <c r="B1" s="1684" t="s">
        <v>339</v>
      </c>
      <c r="C1" s="1685" t="s">
        <v>958</v>
      </c>
      <c r="D1" s="1685"/>
      <c r="E1" s="1685"/>
      <c r="L1" s="1685"/>
      <c r="M1" s="1684"/>
      <c r="N1" s="1685"/>
    </row>
    <row r="2" spans="1:21" x14ac:dyDescent="0.25">
      <c r="C2" s="6" t="s">
        <v>12</v>
      </c>
      <c r="E2" s="124" t="s">
        <v>13</v>
      </c>
      <c r="F2" s="126" t="s">
        <v>362</v>
      </c>
      <c r="H2" s="624" t="s">
        <v>708</v>
      </c>
      <c r="I2" s="623" t="s">
        <v>709</v>
      </c>
      <c r="L2" s="7"/>
      <c r="M2" s="989" t="s">
        <v>855</v>
      </c>
      <c r="N2" s="126" t="s">
        <v>364</v>
      </c>
    </row>
    <row r="3" spans="1:21" ht="15" x14ac:dyDescent="0.25">
      <c r="B3" s="329" t="s">
        <v>584</v>
      </c>
      <c r="E3" s="125" t="s">
        <v>14</v>
      </c>
      <c r="F3" s="126" t="s">
        <v>363</v>
      </c>
      <c r="H3" s="9" t="s">
        <v>15</v>
      </c>
      <c r="I3" s="126" t="s">
        <v>365</v>
      </c>
      <c r="L3" s="7"/>
      <c r="M3" s="676" t="s">
        <v>366</v>
      </c>
      <c r="N3" s="140" t="s">
        <v>367</v>
      </c>
    </row>
    <row r="4" spans="1:21" s="1055" customFormat="1" ht="18.75" x14ac:dyDescent="0.3">
      <c r="B4" s="1056"/>
      <c r="C4" s="1057"/>
      <c r="D4" s="2605" t="str">
        <f>IF(COUNTIF(P16:T502,1)&gt;0,"Red outline","")</f>
        <v>Red outline</v>
      </c>
      <c r="E4" s="2605"/>
      <c r="F4" s="1058" t="str">
        <f>IF(COUNTIF(P16:T502,1)&gt;0,": The data input value is surprisingly high - please check","")</f>
        <v>: The data input value is surprisingly high - please check</v>
      </c>
      <c r="J4" s="2605" t="str">
        <f>IF(COUNTIF(P16:T502,-1)&gt;0,"Dotted red outline","")</f>
        <v>Dotted red outline</v>
      </c>
      <c r="K4" s="2605"/>
      <c r="L4" s="1058" t="str">
        <f>IF(COUNTIF(P16:T502,-1)&gt;0,": The data input value is surprisingly low - please check","")</f>
        <v>: The data input value is surprisingly low - please check</v>
      </c>
      <c r="O4" s="1059"/>
      <c r="P4" s="1060"/>
      <c r="Q4" s="1060"/>
      <c r="R4" s="1060"/>
      <c r="S4" s="1060"/>
      <c r="T4" s="1060"/>
      <c r="U4" s="1060"/>
    </row>
    <row r="5" spans="1:21" ht="15" x14ac:dyDescent="0.25">
      <c r="C5" s="14"/>
      <c r="D5" s="14"/>
      <c r="E5" s="14"/>
      <c r="F5" s="1220" t="str">
        <f>IF(COUNTIF(P16:T503,1)&gt;0,"Click here for an explanation","")</f>
        <v>Click here for an explanation</v>
      </c>
      <c r="L5" s="7"/>
      <c r="M5" s="83" t="str">
        <f>IF(COUNTIF(P16:T505,-1)&gt;0,"Click here for an explanation","")</f>
        <v>Click here for an explanation</v>
      </c>
      <c r="N5" s="14"/>
      <c r="U5" s="36"/>
    </row>
    <row r="6" spans="1:21" s="105" customFormat="1" ht="15.75" x14ac:dyDescent="0.2">
      <c r="A6" s="103"/>
      <c r="B6" s="3" t="s">
        <v>322</v>
      </c>
      <c r="C6" s="4"/>
      <c r="D6" s="4"/>
      <c r="E6" s="104"/>
      <c r="F6" s="136" t="s">
        <v>328</v>
      </c>
      <c r="G6" s="73"/>
      <c r="H6" s="73"/>
      <c r="I6" s="73"/>
      <c r="J6" s="73"/>
      <c r="K6" s="73"/>
      <c r="L6" s="73"/>
      <c r="M6" s="154" t="s">
        <v>321</v>
      </c>
      <c r="N6" s="73"/>
      <c r="P6" s="1060"/>
      <c r="Q6" s="1060"/>
      <c r="R6" s="1060"/>
      <c r="S6" s="1060"/>
      <c r="T6" s="1060"/>
    </row>
    <row r="7" spans="1:21" x14ac:dyDescent="0.25">
      <c r="C7" s="7"/>
      <c r="D7" s="7"/>
      <c r="E7" s="7"/>
      <c r="L7" s="7"/>
      <c r="N7" s="7"/>
    </row>
    <row r="8" spans="1:21" ht="15.75" x14ac:dyDescent="0.25">
      <c r="B8" s="146" t="s">
        <v>573</v>
      </c>
      <c r="C8" s="127"/>
      <c r="D8" s="127"/>
      <c r="E8" s="127"/>
      <c r="F8" s="127"/>
      <c r="G8" s="129"/>
      <c r="H8" s="129"/>
      <c r="I8" s="127"/>
      <c r="J8" s="147"/>
      <c r="K8" s="147"/>
      <c r="L8" s="147"/>
      <c r="M8" s="147"/>
      <c r="N8" s="2607" t="s">
        <v>360</v>
      </c>
      <c r="P8" s="1050"/>
      <c r="Q8" s="1050"/>
      <c r="R8" s="1050"/>
      <c r="S8" s="1050"/>
      <c r="T8" s="1050"/>
    </row>
    <row r="9" spans="1:21" s="126" customFormat="1" ht="18.75" x14ac:dyDescent="0.25">
      <c r="B9" s="149"/>
      <c r="C9" s="150" t="s">
        <v>357</v>
      </c>
      <c r="D9" s="1319"/>
      <c r="E9" s="128"/>
      <c r="F9" s="455" t="str">
        <f>IF(AND(D9&gt;0,P14=0,O14&lt;D9),"Please fill in the white boxes below","")</f>
        <v/>
      </c>
      <c r="G9" s="129"/>
      <c r="H9" s="129"/>
      <c r="I9" s="128"/>
      <c r="J9" s="147"/>
      <c r="K9" s="147"/>
      <c r="L9" s="147"/>
      <c r="M9" s="147"/>
      <c r="N9" s="2607"/>
      <c r="P9" s="36"/>
      <c r="Q9" s="36"/>
      <c r="R9" s="36"/>
      <c r="S9" s="36"/>
      <c r="T9" s="36"/>
    </row>
    <row r="10" spans="1:21" x14ac:dyDescent="0.25">
      <c r="B10" s="453" t="s">
        <v>99</v>
      </c>
      <c r="C10" s="453" t="s">
        <v>351</v>
      </c>
      <c r="D10" s="2608" t="s">
        <v>640</v>
      </c>
      <c r="E10" s="2608"/>
      <c r="F10" s="2608"/>
      <c r="G10" s="2608"/>
      <c r="H10" s="2608"/>
      <c r="I10" s="2608"/>
      <c r="J10" s="147" t="s">
        <v>320</v>
      </c>
      <c r="K10" s="147"/>
      <c r="L10" s="147"/>
      <c r="M10" s="147"/>
      <c r="N10" s="2607"/>
      <c r="O10" s="302" t="s">
        <v>458</v>
      </c>
    </row>
    <row r="11" spans="1:21" ht="42.75" customHeight="1" x14ac:dyDescent="0.25">
      <c r="B11" s="1545"/>
      <c r="C11" s="1546"/>
      <c r="D11" s="2601"/>
      <c r="E11" s="2601"/>
      <c r="F11" s="2601"/>
      <c r="G11" s="2601"/>
      <c r="H11" s="2601"/>
      <c r="I11" s="2601"/>
      <c r="J11" s="2602"/>
      <c r="K11" s="2602"/>
      <c r="L11" s="2602"/>
      <c r="M11" s="2602"/>
      <c r="N11" s="1324"/>
      <c r="O11" s="36">
        <f>IF(AND(D11=Validated,OR(D9=1,D9=2,D9=3)),1,0)</f>
        <v>0</v>
      </c>
      <c r="P11" s="36">
        <f>IF(AND(D11=Not_validated,OR(D9=1,D9=2,D9=3)),-1,0)</f>
        <v>0</v>
      </c>
      <c r="Q11" s="36">
        <f>IF(AND(O11=1,ISBLANK(N11)),1,0)</f>
        <v>0</v>
      </c>
      <c r="R11" s="36" t="str">
        <f>Validated</f>
        <v>Yes, I believe the calculation steps, assumptions &amp; classifications below reasonably convert our waste data for this year to the form required for the national waste data set.</v>
      </c>
    </row>
    <row r="12" spans="1:21" ht="38.25" customHeight="1" x14ac:dyDescent="0.25">
      <c r="B12" s="1321"/>
      <c r="C12" s="1320"/>
      <c r="D12" s="2601"/>
      <c r="E12" s="2601"/>
      <c r="F12" s="2601"/>
      <c r="G12" s="2601"/>
      <c r="H12" s="2601"/>
      <c r="I12" s="2601"/>
      <c r="J12" s="2602"/>
      <c r="K12" s="2602"/>
      <c r="L12" s="2602"/>
      <c r="M12" s="2602"/>
      <c r="N12" s="457"/>
      <c r="O12" s="36">
        <f>IF(AND(D12=Validated,OR(D9=2,D9=3)),1,0)</f>
        <v>0</v>
      </c>
      <c r="P12" s="36">
        <f>IF(AND(D12=Not_validated,OR(D9=2,D9=3)),-1,0)</f>
        <v>0</v>
      </c>
      <c r="Q12" s="36">
        <f>IF(AND(O12=1,ISBLANK(N12)),1,0)</f>
        <v>0</v>
      </c>
      <c r="R12" s="36" t="str">
        <f>Not_validated</f>
        <v>No, I don't believe the calculation steps, assumptions &amp; classifications below reasonably convert our waste data for this year to the form required for the national waste data set.</v>
      </c>
    </row>
    <row r="13" spans="1:21" ht="38.25" customHeight="1" x14ac:dyDescent="0.25">
      <c r="B13" s="1322"/>
      <c r="C13" s="1323"/>
      <c r="D13" s="2601"/>
      <c r="E13" s="2601"/>
      <c r="F13" s="2601"/>
      <c r="G13" s="2601"/>
      <c r="H13" s="2601"/>
      <c r="I13" s="2601"/>
      <c r="J13" s="2602"/>
      <c r="K13" s="2602"/>
      <c r="L13" s="2602"/>
      <c r="M13" s="2602"/>
      <c r="N13" s="457"/>
      <c r="O13" s="36">
        <f>IF(AND(D13=Validated,D9=3),1,0)</f>
        <v>0</v>
      </c>
      <c r="P13" s="148">
        <f>IF(AND(D13=Not_validated,D9=3),-1,0)</f>
        <v>0</v>
      </c>
      <c r="Q13" s="148">
        <f>IF(AND(O13=1,ISBLANK(N13)),1,0)</f>
        <v>0</v>
      </c>
      <c r="R13" s="36" t="str">
        <f>Intro!B38</f>
        <v>Yes, I have updated all relevant data in the white cells below</v>
      </c>
    </row>
    <row r="14" spans="1:21" ht="26.25" x14ac:dyDescent="0.25">
      <c r="B14" s="152" t="str">
        <f>IF(P14&lt;0,R14,IF(Q14&gt;0,R15,""))</f>
        <v/>
      </c>
      <c r="C14" s="151"/>
      <c r="D14" s="151"/>
      <c r="E14" s="151"/>
      <c r="F14" s="151"/>
      <c r="G14" s="151"/>
      <c r="H14" s="151"/>
      <c r="I14" s="151"/>
      <c r="J14" s="151"/>
      <c r="K14" s="151"/>
      <c r="L14" s="151"/>
      <c r="M14" s="151"/>
      <c r="N14" s="151"/>
      <c r="O14" s="36">
        <f>SUM(O11:O13)</f>
        <v>0</v>
      </c>
      <c r="P14" s="148">
        <f>SUM(P11:P13)</f>
        <v>0</v>
      </c>
      <c r="Q14" s="148">
        <f>SUM(Q11:Q13)</f>
        <v>0</v>
      </c>
      <c r="R14" s="36" t="s">
        <v>807</v>
      </c>
    </row>
    <row r="15" spans="1:21" x14ac:dyDescent="0.25">
      <c r="C15" s="7"/>
      <c r="D15" s="7"/>
      <c r="E15" s="7"/>
      <c r="L15" s="7"/>
      <c r="N15" s="7"/>
      <c r="P15" s="148"/>
      <c r="Q15" s="148"/>
      <c r="R15" s="36" t="s">
        <v>561</v>
      </c>
    </row>
    <row r="16" spans="1:21" ht="15.75" x14ac:dyDescent="0.25">
      <c r="A16" s="130"/>
      <c r="B16" s="130" t="s">
        <v>438</v>
      </c>
      <c r="C16" s="362" t="s">
        <v>575</v>
      </c>
      <c r="D16" s="130"/>
      <c r="E16" s="130"/>
      <c r="F16" s="130"/>
      <c r="G16" s="130"/>
      <c r="H16" s="130"/>
      <c r="I16" s="130"/>
      <c r="J16" s="130"/>
      <c r="K16" s="130"/>
      <c r="L16" s="130"/>
      <c r="M16" s="130"/>
      <c r="N16" s="130"/>
      <c r="O16" s="130"/>
      <c r="P16" s="148"/>
      <c r="Q16" s="148"/>
    </row>
    <row r="17" spans="1:20" s="188" customFormat="1" x14ac:dyDescent="0.25">
      <c r="A17" s="185"/>
      <c r="O17" s="185"/>
      <c r="P17" s="36"/>
      <c r="Q17" s="36"/>
      <c r="R17" s="36"/>
      <c r="S17" s="36"/>
      <c r="T17" s="36"/>
    </row>
    <row r="18" spans="1:20" s="191" customFormat="1" x14ac:dyDescent="0.2">
      <c r="A18" s="185"/>
      <c r="B18" s="97" t="s">
        <v>125</v>
      </c>
      <c r="C18" s="37" t="s">
        <v>933</v>
      </c>
      <c r="D18" s="11"/>
      <c r="E18" s="11"/>
      <c r="F18" s="11"/>
      <c r="G18" s="24" t="s">
        <v>16</v>
      </c>
      <c r="H18" s="24" t="s">
        <v>17</v>
      </c>
      <c r="I18" s="24" t="s">
        <v>18</v>
      </c>
      <c r="J18" s="11"/>
      <c r="K18" s="11"/>
      <c r="L18" s="11"/>
      <c r="M18" s="113" t="s">
        <v>104</v>
      </c>
      <c r="N18" s="37" t="s">
        <v>753</v>
      </c>
      <c r="O18" s="185"/>
      <c r="P18" s="36"/>
      <c r="Q18" s="36"/>
      <c r="R18" s="36"/>
      <c r="S18" s="36"/>
      <c r="T18" s="36"/>
    </row>
    <row r="19" spans="1:20" s="191" customFormat="1" x14ac:dyDescent="0.25">
      <c r="A19" s="185"/>
      <c r="B19" s="113" t="s">
        <v>714</v>
      </c>
      <c r="C19" s="816" t="s">
        <v>938</v>
      </c>
      <c r="D19" s="11"/>
      <c r="E19" s="11"/>
      <c r="F19" s="11"/>
      <c r="G19" s="1613">
        <v>95494.03</v>
      </c>
      <c r="H19" s="1614">
        <v>127365.40999999999</v>
      </c>
      <c r="I19" s="1615">
        <v>20933.86</v>
      </c>
      <c r="J19" s="1257"/>
      <c r="K19" s="11"/>
      <c r="L19" s="11"/>
      <c r="M19" s="113" t="s">
        <v>100</v>
      </c>
      <c r="N19" s="37" t="s">
        <v>102</v>
      </c>
      <c r="O19" s="185"/>
      <c r="P19" s="1051">
        <f>IF(AND(ISNUMBER(G19),'Validn data - hide'!C6&gt;0),IF(G19/'Validn data - hide'!C6-1&gt;'Validn data - hide'!$L6,1,IF(G19/'Validn data - hide'!C6-1&lt;-'Validn data - hide'!$L6,-1,0)),0)</f>
        <v>0</v>
      </c>
      <c r="Q19" s="1051">
        <f>IF(AND(ISNUMBER(H19),'Validn data - hide'!D6&gt;0),IF(H19/'Validn data - hide'!D6-1&gt;'Validn data - hide'!$L6,1,IF(H19/'Validn data - hide'!D6-1&lt;-'Validn data - hide'!$L6,-1,0)),0)</f>
        <v>0</v>
      </c>
      <c r="R19" s="1051">
        <f>IF(AND(ISNUMBER(I19),'Validn data - hide'!E6&gt;0),IF(I19/'Validn data - hide'!E6-1&gt;'Validn data - hide'!$L6,1,IF(I19/'Validn data - hide'!E6-1&lt;-'Validn data - hide'!$L6,-1,0)),0)</f>
        <v>-1</v>
      </c>
      <c r="S19" s="36"/>
      <c r="T19" s="36"/>
    </row>
    <row r="20" spans="1:20" s="191" customFormat="1" x14ac:dyDescent="0.25">
      <c r="A20" s="185"/>
      <c r="B20" s="193"/>
      <c r="C20" s="188"/>
      <c r="D20" s="11"/>
      <c r="E20" s="11"/>
      <c r="F20" s="11"/>
      <c r="G20" s="11"/>
      <c r="H20" s="11"/>
      <c r="I20" s="11"/>
      <c r="J20" s="11"/>
      <c r="K20" s="11"/>
      <c r="L20" s="11"/>
      <c r="M20" s="113" t="s">
        <v>10</v>
      </c>
      <c r="N20" s="1328"/>
      <c r="O20" s="185"/>
      <c r="P20" s="1051"/>
      <c r="Q20" s="1051"/>
      <c r="R20" s="1051"/>
      <c r="S20" s="1051"/>
      <c r="T20" s="1051"/>
    </row>
    <row r="21" spans="1:20" s="191" customFormat="1" x14ac:dyDescent="0.25">
      <c r="A21" s="185"/>
      <c r="B21" s="193"/>
      <c r="C21" s="188"/>
      <c r="D21" s="12"/>
      <c r="E21" s="12"/>
      <c r="F21" s="12"/>
      <c r="G21" s="12"/>
      <c r="H21" s="12"/>
      <c r="I21" s="12"/>
      <c r="J21" s="12"/>
      <c r="K21" s="12"/>
      <c r="L21" s="12"/>
      <c r="M21" s="113" t="s">
        <v>352</v>
      </c>
      <c r="N21" s="1329"/>
      <c r="O21" s="185"/>
      <c r="P21" s="1051"/>
      <c r="Q21" s="1051"/>
      <c r="R21" s="1051"/>
      <c r="S21" s="1051"/>
      <c r="T21" s="1051"/>
    </row>
    <row r="22" spans="1:20" s="191" customFormat="1" x14ac:dyDescent="0.25">
      <c r="A22" s="185"/>
      <c r="B22" s="193"/>
      <c r="D22" s="12"/>
      <c r="E22" s="12"/>
      <c r="F22" s="12"/>
      <c r="G22" s="12"/>
      <c r="H22" s="12"/>
      <c r="I22" s="12"/>
      <c r="J22" s="12"/>
      <c r="K22" s="12"/>
      <c r="L22" s="12"/>
      <c r="M22" s="113" t="s">
        <v>99</v>
      </c>
      <c r="N22" s="1328"/>
      <c r="O22" s="185"/>
      <c r="P22" s="1051"/>
      <c r="Q22" s="1051"/>
      <c r="R22" s="1051"/>
      <c r="S22" s="1051"/>
      <c r="T22" s="1051"/>
    </row>
    <row r="23" spans="1:20" s="191" customFormat="1" x14ac:dyDescent="0.25">
      <c r="A23" s="185"/>
      <c r="B23" s="193"/>
      <c r="D23" s="12"/>
      <c r="E23" s="12"/>
      <c r="F23" s="12"/>
      <c r="G23" s="12"/>
      <c r="H23" s="12"/>
      <c r="I23" s="12"/>
      <c r="J23" s="12"/>
      <c r="K23" s="12"/>
      <c r="L23" s="12"/>
      <c r="M23" s="113" t="s">
        <v>658</v>
      </c>
      <c r="N23" s="1328"/>
      <c r="O23" s="185"/>
      <c r="P23" s="1051"/>
      <c r="Q23" s="1051"/>
      <c r="R23" s="1051"/>
      <c r="S23" s="1051"/>
      <c r="T23" s="1051"/>
    </row>
    <row r="24" spans="1:20" s="191" customFormat="1" x14ac:dyDescent="0.25">
      <c r="A24" s="185"/>
      <c r="B24" s="193"/>
      <c r="C24" s="188"/>
      <c r="D24" s="11"/>
      <c r="E24" s="11"/>
      <c r="F24" s="11"/>
      <c r="G24" s="11"/>
      <c r="H24" s="11"/>
      <c r="I24" s="11"/>
      <c r="J24" s="11"/>
      <c r="K24" s="11"/>
      <c r="L24" s="11"/>
      <c r="M24" s="11"/>
      <c r="N24" s="11"/>
      <c r="O24" s="185"/>
      <c r="P24" s="1051"/>
      <c r="Q24" s="1051"/>
      <c r="R24" s="1051"/>
      <c r="S24" s="1051"/>
      <c r="T24" s="1051"/>
    </row>
    <row r="25" spans="1:20" s="188" customFormat="1" x14ac:dyDescent="0.25">
      <c r="A25" s="185"/>
      <c r="B25" s="98"/>
      <c r="C25" s="196"/>
      <c r="D25" s="196"/>
      <c r="E25" s="196"/>
      <c r="F25" s="196"/>
      <c r="G25" s="196"/>
      <c r="H25" s="196"/>
      <c r="I25" s="196"/>
      <c r="J25" s="196"/>
      <c r="K25" s="196"/>
      <c r="L25" s="196"/>
      <c r="M25" s="196"/>
      <c r="N25" s="196"/>
      <c r="O25" s="185"/>
      <c r="P25" s="1051"/>
      <c r="Q25" s="1051"/>
      <c r="R25" s="1051"/>
      <c r="S25" s="1051"/>
      <c r="T25" s="1051"/>
    </row>
    <row r="26" spans="1:20" s="188" customFormat="1" x14ac:dyDescent="0.2">
      <c r="A26" s="185"/>
      <c r="B26" s="100" t="s">
        <v>126</v>
      </c>
      <c r="C26" s="764" t="s">
        <v>744</v>
      </c>
      <c r="D26" s="196"/>
      <c r="E26" s="196"/>
      <c r="F26" s="196"/>
      <c r="G26" s="90" t="s">
        <v>16</v>
      </c>
      <c r="H26" s="90" t="s">
        <v>17</v>
      </c>
      <c r="I26" s="90" t="s">
        <v>18</v>
      </c>
      <c r="J26" s="196"/>
      <c r="K26" s="196"/>
      <c r="L26" s="196"/>
      <c r="M26" s="114" t="s">
        <v>393</v>
      </c>
      <c r="N26" s="94" t="s">
        <v>840</v>
      </c>
      <c r="O26" s="185"/>
      <c r="P26" s="1051"/>
      <c r="Q26" s="1051"/>
      <c r="R26" s="1051"/>
      <c r="S26" s="1051"/>
      <c r="T26" s="1051"/>
    </row>
    <row r="27" spans="1:20" s="188" customFormat="1" x14ac:dyDescent="0.25">
      <c r="A27" s="185"/>
      <c r="B27" s="114" t="s">
        <v>714</v>
      </c>
      <c r="C27" s="640" t="s">
        <v>839</v>
      </c>
      <c r="D27" s="196"/>
      <c r="E27" s="196"/>
      <c r="F27" s="765" t="s">
        <v>746</v>
      </c>
      <c r="G27" s="2144">
        <f>ACT!G19*'Other national data'!$I$476/'Other national data'!$G$468</f>
        <v>10034.653210988234</v>
      </c>
      <c r="H27" s="2145">
        <f>ACT!H19*'Other national data'!$I$476/'Other national data'!$G$468</f>
        <v>13383.744726506286</v>
      </c>
      <c r="I27" s="2146">
        <f>ACT!I19*'Other national data'!$I$476/'Other national data'!$G$468</f>
        <v>2199.7608171670854</v>
      </c>
      <c r="J27" s="196"/>
      <c r="K27" s="196"/>
      <c r="L27" s="196"/>
      <c r="M27" s="114" t="s">
        <v>100</v>
      </c>
      <c r="N27" s="94" t="s">
        <v>102</v>
      </c>
      <c r="O27" s="185"/>
      <c r="P27" s="36"/>
      <c r="Q27" s="36"/>
      <c r="R27" s="36"/>
      <c r="S27" s="36"/>
      <c r="T27" s="36"/>
    </row>
    <row r="28" spans="1:20" s="188" customFormat="1" x14ac:dyDescent="0.25">
      <c r="A28" s="185"/>
      <c r="B28" s="755" t="s">
        <v>323</v>
      </c>
      <c r="C28" s="211" t="s">
        <v>695</v>
      </c>
      <c r="D28" s="190"/>
      <c r="E28" s="190"/>
      <c r="F28" s="196"/>
      <c r="G28" s="196"/>
      <c r="H28" s="196"/>
      <c r="I28" s="196"/>
      <c r="J28" s="196"/>
      <c r="K28" s="196"/>
      <c r="L28" s="196"/>
      <c r="M28" s="196"/>
      <c r="N28" s="196"/>
      <c r="O28" s="185"/>
      <c r="P28" s="36"/>
      <c r="Q28" s="36"/>
      <c r="R28" s="36"/>
      <c r="S28" s="36"/>
      <c r="T28" s="36"/>
    </row>
    <row r="29" spans="1:20" s="188" customFormat="1" x14ac:dyDescent="0.25">
      <c r="A29" s="185"/>
      <c r="B29" s="379"/>
      <c r="C29" s="2603" t="s">
        <v>696</v>
      </c>
      <c r="D29" s="190"/>
      <c r="E29" s="190"/>
      <c r="F29" s="190"/>
      <c r="G29" s="592">
        <f>G19-G27</f>
        <v>85459.37678901176</v>
      </c>
      <c r="H29" s="593">
        <f t="shared" ref="H29:I29" si="0">H19-H27</f>
        <v>113981.66527349371</v>
      </c>
      <c r="I29" s="594">
        <f t="shared" si="0"/>
        <v>18734.099182832913</v>
      </c>
      <c r="J29" s="190"/>
      <c r="K29" s="196"/>
      <c r="L29" s="196"/>
      <c r="M29" s="196"/>
      <c r="N29" s="196"/>
      <c r="O29" s="185"/>
      <c r="P29" s="1051"/>
      <c r="Q29" s="1051"/>
      <c r="R29" s="36"/>
      <c r="S29" s="36"/>
      <c r="T29" s="36"/>
    </row>
    <row r="30" spans="1:20" s="188" customFormat="1" x14ac:dyDescent="0.25">
      <c r="A30" s="185"/>
      <c r="B30" s="481"/>
      <c r="C30" s="2604"/>
      <c r="D30" s="190"/>
      <c r="E30" s="190"/>
      <c r="F30" s="190"/>
      <c r="G30" s="190"/>
      <c r="H30" s="190"/>
      <c r="I30" s="190"/>
      <c r="J30" s="190"/>
      <c r="K30" s="196"/>
      <c r="L30" s="196"/>
      <c r="M30" s="196"/>
      <c r="N30" s="196"/>
      <c r="O30" s="185"/>
      <c r="P30" s="1051"/>
      <c r="Q30" s="1051"/>
      <c r="R30" s="36"/>
      <c r="S30" s="36"/>
      <c r="T30" s="36"/>
    </row>
    <row r="31" spans="1:20" s="188" customFormat="1" x14ac:dyDescent="0.25">
      <c r="A31" s="185"/>
      <c r="B31" s="189"/>
      <c r="C31" s="187"/>
      <c r="D31" s="190"/>
      <c r="E31" s="190"/>
      <c r="F31" s="190"/>
      <c r="G31" s="190"/>
      <c r="H31" s="190"/>
      <c r="I31" s="190"/>
      <c r="J31" s="190"/>
      <c r="K31" s="196"/>
      <c r="L31" s="196"/>
      <c r="M31" s="196"/>
      <c r="N31" s="196"/>
      <c r="O31" s="185"/>
      <c r="P31" s="36"/>
      <c r="Q31" s="36"/>
      <c r="R31" s="36"/>
      <c r="S31" s="36"/>
      <c r="T31" s="36"/>
    </row>
    <row r="32" spans="1:20" s="188" customFormat="1" x14ac:dyDescent="0.25">
      <c r="A32" s="185"/>
      <c r="B32" s="194"/>
      <c r="M32" s="194"/>
      <c r="O32" s="185"/>
      <c r="P32" s="36"/>
      <c r="Q32" s="36"/>
      <c r="R32" s="36"/>
      <c r="S32" s="36"/>
      <c r="T32" s="36"/>
    </row>
    <row r="33" spans="1:20" s="188" customFormat="1" ht="25.5" x14ac:dyDescent="0.25">
      <c r="A33" s="185"/>
      <c r="B33" s="97" t="s">
        <v>127</v>
      </c>
      <c r="C33" s="37" t="s">
        <v>711</v>
      </c>
      <c r="F33" s="368"/>
      <c r="G33" s="34" t="s">
        <v>1034</v>
      </c>
      <c r="H33" s="34" t="s">
        <v>1035</v>
      </c>
      <c r="I33" s="180" t="s">
        <v>527</v>
      </c>
      <c r="M33" s="113" t="s">
        <v>104</v>
      </c>
      <c r="N33" s="37" t="s">
        <v>756</v>
      </c>
      <c r="O33" s="185"/>
      <c r="P33" s="1051"/>
      <c r="Q33" s="1051"/>
      <c r="R33" s="1051"/>
      <c r="S33" s="1051"/>
      <c r="T33" s="1051"/>
    </row>
    <row r="34" spans="1:20" s="188" customFormat="1" x14ac:dyDescent="0.25">
      <c r="A34" s="185"/>
      <c r="B34" s="361" t="s">
        <v>323</v>
      </c>
      <c r="C34" s="2596" t="s">
        <v>526</v>
      </c>
      <c r="D34" s="11"/>
      <c r="E34" s="11"/>
      <c r="F34" s="369" t="s">
        <v>499</v>
      </c>
      <c r="G34" s="668">
        <v>0.02</v>
      </c>
      <c r="H34" s="669">
        <v>2.1000000000000001E-2</v>
      </c>
      <c r="I34" s="670">
        <f>AVERAGE(G34:H34)</f>
        <v>2.0500000000000001E-2</v>
      </c>
      <c r="L34" s="11"/>
      <c r="M34" s="113" t="s">
        <v>100</v>
      </c>
      <c r="N34" s="37" t="s">
        <v>101</v>
      </c>
      <c r="O34" s="185"/>
      <c r="P34" s="1051"/>
      <c r="Q34" s="1051"/>
      <c r="R34" s="1051">
        <f>IF(AND(ISNUMBER(I34),'Validn data - hide'!E10&gt;0),IF(I34/'Validn data - hide'!E10-1&gt;'Validn data - hide'!$L10,1,IF(I34/'Validn data - hide'!E10-1&lt;-'Validn data - hide'!$L10,-1,0)),0)</f>
        <v>0</v>
      </c>
      <c r="S34" s="1051"/>
      <c r="T34" s="1051"/>
    </row>
    <row r="35" spans="1:20" s="188" customFormat="1" x14ac:dyDescent="0.25">
      <c r="A35" s="185"/>
      <c r="C35" s="2597"/>
      <c r="D35" s="11"/>
      <c r="E35" s="11"/>
      <c r="F35" s="369" t="s">
        <v>74</v>
      </c>
      <c r="G35" s="671">
        <v>6.0000000000000001E-3</v>
      </c>
      <c r="H35" s="458">
        <v>7.0000000000000001E-3</v>
      </c>
      <c r="I35" s="672">
        <f t="shared" ref="I35:I71" si="1">AVERAGE(G35:H35)</f>
        <v>6.5000000000000006E-3</v>
      </c>
      <c r="L35" s="11"/>
      <c r="M35" s="361" t="s">
        <v>10</v>
      </c>
      <c r="N35" s="2598"/>
      <c r="O35" s="185"/>
      <c r="P35" s="1051"/>
      <c r="Q35" s="1051"/>
      <c r="R35" s="1051">
        <f>IF(AND(ISNUMBER(I35),'Validn data - hide'!E11&gt;0),IF(I35/'Validn data - hide'!E11-1&gt;'Validn data - hide'!$L11,1,IF(I35/'Validn data - hide'!E11-1&lt;-'Validn data - hide'!$L11,-1,0)),0)</f>
        <v>0</v>
      </c>
      <c r="S35" s="36"/>
      <c r="T35" s="36"/>
    </row>
    <row r="36" spans="1:20" s="188" customFormat="1" x14ac:dyDescent="0.25">
      <c r="A36" s="185"/>
      <c r="C36" s="39" t="s">
        <v>528</v>
      </c>
      <c r="D36" s="11"/>
      <c r="E36" s="11"/>
      <c r="F36" s="369" t="s">
        <v>403</v>
      </c>
      <c r="G36" s="671">
        <v>0.03</v>
      </c>
      <c r="H36" s="458">
        <v>2.5999999999999999E-2</v>
      </c>
      <c r="I36" s="672">
        <f t="shared" si="1"/>
        <v>2.7999999999999997E-2</v>
      </c>
      <c r="L36" s="11"/>
      <c r="M36" s="236"/>
      <c r="N36" s="2599"/>
      <c r="O36" s="185"/>
      <c r="P36" s="1051"/>
      <c r="Q36" s="1051"/>
      <c r="R36" s="1051">
        <f>IF(AND(ISNUMBER(I36),'Validn data - hide'!E12&gt;0),IF(I36/'Validn data - hide'!E12-1&gt;'Validn data - hide'!$L12,1,IF(I36/'Validn data - hide'!E12-1&lt;-'Validn data - hide'!$L12,-1,0)),0)</f>
        <v>1</v>
      </c>
      <c r="S36" s="36"/>
      <c r="T36" s="36"/>
    </row>
    <row r="37" spans="1:20" s="188" customFormat="1" x14ac:dyDescent="0.25">
      <c r="A37" s="185"/>
      <c r="C37" s="390" t="s">
        <v>534</v>
      </c>
      <c r="D37" s="64"/>
      <c r="E37" s="11"/>
      <c r="F37" s="369" t="s">
        <v>500</v>
      </c>
      <c r="G37" s="671">
        <v>9.4E-2</v>
      </c>
      <c r="H37" s="458">
        <v>7.9000000000000001E-2</v>
      </c>
      <c r="I37" s="672">
        <f t="shared" si="1"/>
        <v>8.6499999999999994E-2</v>
      </c>
      <c r="L37" s="64"/>
      <c r="M37" s="236"/>
      <c r="N37" s="2599"/>
      <c r="O37" s="185"/>
      <c r="P37" s="1051"/>
      <c r="Q37" s="1051"/>
      <c r="R37" s="1051">
        <f>IF(AND(ISNUMBER(I37),'Validn data - hide'!E13&gt;0),IF(I37/'Validn data - hide'!E13-1&gt;'Validn data - hide'!$L13,1,IF(I37/'Validn data - hide'!E13-1&lt;-'Validn data - hide'!$L13,-1,0)),0)</f>
        <v>1</v>
      </c>
      <c r="S37" s="36"/>
      <c r="T37" s="36"/>
    </row>
    <row r="38" spans="1:20" s="188" customFormat="1" x14ac:dyDescent="0.25">
      <c r="A38" s="185"/>
      <c r="C38" s="2606" t="s">
        <v>533</v>
      </c>
      <c r="D38" s="64"/>
      <c r="E38" s="11"/>
      <c r="F38" s="369" t="s">
        <v>477</v>
      </c>
      <c r="G38" s="671">
        <v>0.34400000000000003</v>
      </c>
      <c r="H38" s="458">
        <v>0.377</v>
      </c>
      <c r="I38" s="672">
        <f t="shared" si="1"/>
        <v>0.36050000000000004</v>
      </c>
      <c r="L38" s="64"/>
      <c r="M38" s="221"/>
      <c r="N38" s="2600"/>
      <c r="O38" s="185"/>
      <c r="P38" s="1051"/>
      <c r="Q38" s="1051"/>
      <c r="R38" s="1051">
        <f>IF(AND(ISNUMBER(I38),'Validn data - hide'!E14&gt;0),IF(I38/'Validn data - hide'!E14-1&gt;'Validn data - hide'!$L14,1,IF(I38/'Validn data - hide'!E14-1&lt;-'Validn data - hide'!$L14,-1,0)),0)</f>
        <v>0</v>
      </c>
      <c r="S38" s="36"/>
      <c r="T38" s="36"/>
    </row>
    <row r="39" spans="1:20" s="188" customFormat="1" x14ac:dyDescent="0.25">
      <c r="A39" s="185"/>
      <c r="B39" s="236"/>
      <c r="C39" s="2606"/>
      <c r="D39" s="64"/>
      <c r="E39" s="370"/>
      <c r="F39" s="369" t="s">
        <v>501</v>
      </c>
      <c r="G39" s="671">
        <v>6.0999999999999999E-2</v>
      </c>
      <c r="H39" s="458">
        <v>9.7000000000000003E-2</v>
      </c>
      <c r="I39" s="672">
        <f t="shared" si="1"/>
        <v>7.9000000000000001E-2</v>
      </c>
      <c r="L39" s="64"/>
      <c r="M39" s="113" t="s">
        <v>352</v>
      </c>
      <c r="N39" s="1329"/>
      <c r="O39" s="185"/>
      <c r="P39" s="1051"/>
      <c r="Q39" s="1051"/>
      <c r="R39" s="1051">
        <f>IF(AND(ISNUMBER(I39),'Validn data - hide'!E15&gt;0),IF(I39/'Validn data - hide'!E15-1&gt;'Validn data - hide'!$L15,1,IF(I39/'Validn data - hide'!E15-1&lt;-'Validn data - hide'!$L15,-1,0)),0)</f>
        <v>0</v>
      </c>
      <c r="S39" s="36"/>
      <c r="T39" s="36"/>
    </row>
    <row r="40" spans="1:20" s="188" customFormat="1" x14ac:dyDescent="0.25">
      <c r="A40" s="185"/>
      <c r="B40" s="67" t="s">
        <v>530</v>
      </c>
      <c r="C40" s="69" t="s">
        <v>122</v>
      </c>
      <c r="D40" s="64"/>
      <c r="E40" s="370"/>
      <c r="F40" s="369" t="s">
        <v>502</v>
      </c>
      <c r="G40" s="671">
        <v>0.02</v>
      </c>
      <c r="H40" s="458">
        <v>3.6999999999999998E-2</v>
      </c>
      <c r="I40" s="672">
        <f t="shared" si="1"/>
        <v>2.8499999999999998E-2</v>
      </c>
      <c r="L40" s="64"/>
      <c r="M40" s="113" t="s">
        <v>99</v>
      </c>
      <c r="N40" s="1328"/>
      <c r="O40" s="185"/>
      <c r="P40" s="1051"/>
      <c r="Q40" s="1051"/>
      <c r="R40" s="1051">
        <f>IF(AND(ISNUMBER(I40),'Validn data - hide'!E16&gt;0),IF(I40/'Validn data - hide'!E16-1&gt;'Validn data - hide'!$L16,1,IF(I40/'Validn data - hide'!E16-1&lt;-'Validn data - hide'!$L16,-1,0)),0)</f>
        <v>1</v>
      </c>
      <c r="S40" s="36"/>
      <c r="T40" s="36"/>
    </row>
    <row r="41" spans="1:20" s="188" customFormat="1" x14ac:dyDescent="0.25">
      <c r="A41" s="185"/>
      <c r="B41" s="202" t="s">
        <v>499</v>
      </c>
      <c r="C41" s="65" t="s">
        <v>20</v>
      </c>
      <c r="D41" s="64"/>
      <c r="E41" s="368"/>
      <c r="F41" s="369" t="s">
        <v>503</v>
      </c>
      <c r="G41" s="671">
        <v>3.5000000000000003E-2</v>
      </c>
      <c r="H41" s="458">
        <v>4.8000000000000001E-2</v>
      </c>
      <c r="I41" s="672">
        <f t="shared" si="1"/>
        <v>4.1500000000000002E-2</v>
      </c>
      <c r="L41" s="64"/>
      <c r="M41" s="113" t="s">
        <v>658</v>
      </c>
      <c r="N41" s="1328"/>
      <c r="O41" s="185"/>
      <c r="P41" s="1051"/>
      <c r="Q41" s="1051"/>
      <c r="R41" s="1051">
        <f>IF(AND(ISNUMBER(I41),'Validn data - hide'!E17&gt;0),IF(I41/'Validn data - hide'!E17-1&gt;'Validn data - hide'!$L17,1,IF(I41/'Validn data - hide'!E17-1&lt;-'Validn data - hide'!$L17,-1,0)),0)</f>
        <v>0</v>
      </c>
      <c r="S41" s="36"/>
      <c r="T41" s="36"/>
    </row>
    <row r="42" spans="1:20" s="188" customFormat="1" x14ac:dyDescent="0.25">
      <c r="A42" s="185"/>
      <c r="B42" s="202" t="s">
        <v>74</v>
      </c>
      <c r="C42" s="65" t="s">
        <v>20</v>
      </c>
      <c r="D42" s="64"/>
      <c r="F42" s="369" t="s">
        <v>504</v>
      </c>
      <c r="G42" s="671">
        <v>3.6999999999999998E-2</v>
      </c>
      <c r="H42" s="458">
        <v>3.6999999999999998E-2</v>
      </c>
      <c r="I42" s="672">
        <f t="shared" si="1"/>
        <v>3.6999999999999998E-2</v>
      </c>
      <c r="L42" s="64"/>
      <c r="M42" s="194"/>
      <c r="N42" s="199"/>
      <c r="O42" s="185"/>
      <c r="P42" s="1051"/>
      <c r="Q42" s="1051"/>
      <c r="R42" s="1051">
        <f>IF(AND(ISNUMBER(I42),'Validn data - hide'!E18&gt;0),IF(I42/'Validn data - hide'!E18-1&gt;'Validn data - hide'!$L18,1,IF(I42/'Validn data - hide'!E18-1&lt;-'Validn data - hide'!$L18,-1,0)),0)</f>
        <v>0</v>
      </c>
      <c r="S42" s="36"/>
      <c r="T42" s="36"/>
    </row>
    <row r="43" spans="1:20" s="188" customFormat="1" x14ac:dyDescent="0.25">
      <c r="A43" s="185"/>
      <c r="B43" s="202" t="s">
        <v>403</v>
      </c>
      <c r="C43" s="65" t="s">
        <v>20</v>
      </c>
      <c r="D43" s="64"/>
      <c r="F43" s="369" t="s">
        <v>505</v>
      </c>
      <c r="G43" s="671">
        <v>7.0000000000000001E-3</v>
      </c>
      <c r="H43" s="458">
        <v>4.0000000000000001E-3</v>
      </c>
      <c r="I43" s="672">
        <f t="shared" si="1"/>
        <v>5.4999999999999997E-3</v>
      </c>
      <c r="L43" s="64"/>
      <c r="M43" s="194"/>
      <c r="N43" s="199"/>
      <c r="O43" s="185"/>
      <c r="P43" s="1051"/>
      <c r="Q43" s="1051"/>
      <c r="R43" s="1051">
        <f>IF(AND(ISNUMBER(I43),'Validn data - hide'!E19&gt;0),IF(I43/'Validn data - hide'!E19-1&gt;'Validn data - hide'!$L19,1,IF(I43/'Validn data - hide'!E19-1&lt;-'Validn data - hide'!$L19,-1,0)),0)</f>
        <v>0</v>
      </c>
      <c r="S43" s="36"/>
      <c r="T43" s="36"/>
    </row>
    <row r="44" spans="1:20" s="188" customFormat="1" x14ac:dyDescent="0.25">
      <c r="A44" s="185"/>
      <c r="B44" s="202" t="s">
        <v>500</v>
      </c>
      <c r="C44" s="65" t="s">
        <v>20</v>
      </c>
      <c r="D44" s="64"/>
      <c r="F44" s="369" t="s">
        <v>506</v>
      </c>
      <c r="G44" s="671">
        <v>8.9999999999999993E-3</v>
      </c>
      <c r="H44" s="458">
        <v>8.0000000000000002E-3</v>
      </c>
      <c r="I44" s="672">
        <f t="shared" si="1"/>
        <v>8.5000000000000006E-3</v>
      </c>
      <c r="L44" s="64"/>
      <c r="M44" s="194"/>
      <c r="N44" s="199"/>
      <c r="O44" s="185"/>
      <c r="P44" s="1051"/>
      <c r="Q44" s="1051"/>
      <c r="R44" s="1051">
        <f>IF(AND(ISNUMBER(I44),'Validn data - hide'!E20&gt;0),IF(I44/'Validn data - hide'!E20-1&gt;'Validn data - hide'!$L20,1,IF(I44/'Validn data - hide'!E20-1&lt;-'Validn data - hide'!$L20,-1,0)),0)</f>
        <v>1</v>
      </c>
      <c r="S44" s="36"/>
      <c r="T44" s="36"/>
    </row>
    <row r="45" spans="1:20" s="188" customFormat="1" x14ac:dyDescent="0.25">
      <c r="A45" s="185"/>
      <c r="B45" s="202" t="s">
        <v>477</v>
      </c>
      <c r="C45" s="65" t="s">
        <v>61</v>
      </c>
      <c r="D45" s="64"/>
      <c r="F45" s="369" t="s">
        <v>507</v>
      </c>
      <c r="G45" s="671">
        <v>6.0000000000000001E-3</v>
      </c>
      <c r="H45" s="458">
        <v>6.0000000000000001E-3</v>
      </c>
      <c r="I45" s="672">
        <f t="shared" si="1"/>
        <v>6.0000000000000001E-3</v>
      </c>
      <c r="L45" s="64"/>
      <c r="M45" s="194"/>
      <c r="N45" s="199"/>
      <c r="O45" s="185"/>
      <c r="P45" s="1051"/>
      <c r="Q45" s="1051"/>
      <c r="R45" s="1051">
        <f>IF(AND(ISNUMBER(I45),'Validn data - hide'!E21&gt;0),IF(I45/'Validn data - hide'!E21-1&gt;'Validn data - hide'!$L21,1,IF(I45/'Validn data - hide'!E21-1&lt;-'Validn data - hide'!$L21,-1,0)),0)</f>
        <v>1</v>
      </c>
      <c r="S45" s="36"/>
      <c r="T45" s="36"/>
    </row>
    <row r="46" spans="1:20" s="188" customFormat="1" x14ac:dyDescent="0.25">
      <c r="A46" s="185"/>
      <c r="B46" s="202" t="s">
        <v>501</v>
      </c>
      <c r="C46" s="65" t="s">
        <v>63</v>
      </c>
      <c r="D46" s="64"/>
      <c r="F46" s="369" t="s">
        <v>508</v>
      </c>
      <c r="G46" s="671">
        <v>2E-3</v>
      </c>
      <c r="H46" s="458">
        <v>1E-3</v>
      </c>
      <c r="I46" s="672">
        <f t="shared" si="1"/>
        <v>1.5E-3</v>
      </c>
      <c r="L46" s="64"/>
      <c r="M46" s="194"/>
      <c r="N46" s="199"/>
      <c r="O46" s="185"/>
      <c r="P46" s="1051"/>
      <c r="Q46" s="1051"/>
      <c r="R46" s="1051">
        <f>IF(AND(ISNUMBER(I46),'Validn data - hide'!E22&gt;0),IF(I46/'Validn data - hide'!E22-1&gt;'Validn data - hide'!$L22,1,IF(I46/'Validn data - hide'!E22-1&lt;-'Validn data - hide'!$L22,-1,0)),0)</f>
        <v>1</v>
      </c>
      <c r="S46" s="36"/>
      <c r="T46" s="36"/>
    </row>
    <row r="47" spans="1:20" s="188" customFormat="1" x14ac:dyDescent="0.25">
      <c r="A47" s="185"/>
      <c r="B47" s="202" t="s">
        <v>502</v>
      </c>
      <c r="C47" s="65" t="s">
        <v>67</v>
      </c>
      <c r="D47" s="64"/>
      <c r="F47" s="369" t="s">
        <v>509</v>
      </c>
      <c r="G47" s="671">
        <v>0</v>
      </c>
      <c r="H47" s="458">
        <v>0</v>
      </c>
      <c r="I47" s="672">
        <f t="shared" si="1"/>
        <v>0</v>
      </c>
      <c r="L47" s="64"/>
      <c r="M47" s="194"/>
      <c r="N47" s="199"/>
      <c r="O47" s="185"/>
      <c r="P47" s="1051"/>
      <c r="Q47" s="1051"/>
      <c r="R47" s="1051">
        <f>IF(AND(ISNUMBER(I47),'Validn data - hide'!E23&gt;0),IF(I47/'Validn data - hide'!E23-1&gt;'Validn data - hide'!$L23,1,IF(I47/'Validn data - hide'!E23-1&lt;-'Validn data - hide'!$L23,-1,0)),0)</f>
        <v>0</v>
      </c>
      <c r="S47" s="36"/>
      <c r="T47" s="36"/>
    </row>
    <row r="48" spans="1:20" s="188" customFormat="1" x14ac:dyDescent="0.25">
      <c r="A48" s="185"/>
      <c r="B48" s="202" t="s">
        <v>503</v>
      </c>
      <c r="C48" s="65" t="s">
        <v>27</v>
      </c>
      <c r="D48" s="64"/>
      <c r="F48" s="31" t="s">
        <v>510</v>
      </c>
      <c r="G48" s="671">
        <v>0.01</v>
      </c>
      <c r="H48" s="458">
        <v>1.0999999999999999E-2</v>
      </c>
      <c r="I48" s="672">
        <f t="shared" si="1"/>
        <v>1.0499999999999999E-2</v>
      </c>
      <c r="L48" s="64"/>
      <c r="M48" s="194"/>
      <c r="O48" s="185"/>
      <c r="P48" s="1051"/>
      <c r="Q48" s="1051"/>
      <c r="R48" s="1051">
        <f>IF(AND(ISNUMBER(I48),'Validn data - hide'!E24&gt;0),IF(I48/'Validn data - hide'!E24-1&gt;'Validn data - hide'!$L24,1,IF(I48/'Validn data - hide'!E24-1&lt;-'Validn data - hide'!$L24,-1,0)),0)</f>
        <v>1</v>
      </c>
      <c r="S48" s="36"/>
      <c r="T48" s="36"/>
    </row>
    <row r="49" spans="1:20" s="188" customFormat="1" x14ac:dyDescent="0.25">
      <c r="A49" s="185"/>
      <c r="B49" s="202" t="s">
        <v>504</v>
      </c>
      <c r="C49" s="65" t="s">
        <v>30</v>
      </c>
      <c r="D49" s="64"/>
      <c r="F49" s="31" t="s">
        <v>511</v>
      </c>
      <c r="G49" s="671">
        <v>8.0000000000000002E-3</v>
      </c>
      <c r="H49" s="458">
        <v>7.0000000000000001E-3</v>
      </c>
      <c r="I49" s="672">
        <f t="shared" si="1"/>
        <v>7.4999999999999997E-3</v>
      </c>
      <c r="L49" s="64"/>
      <c r="M49" s="194"/>
      <c r="O49" s="185"/>
      <c r="P49" s="1051"/>
      <c r="Q49" s="1051"/>
      <c r="R49" s="1051">
        <f>IF(AND(ISNUMBER(I49),'Validn data - hide'!E25&gt;0),IF(I49/'Validn data - hide'!E25-1&gt;'Validn data - hide'!$L25,1,IF(I49/'Validn data - hide'!E25-1&lt;-'Validn data - hide'!$L25,-1,0)),0)</f>
        <v>1</v>
      </c>
      <c r="S49" s="36"/>
      <c r="T49" s="36"/>
    </row>
    <row r="50" spans="1:20" s="188" customFormat="1" x14ac:dyDescent="0.25">
      <c r="A50" s="185"/>
      <c r="B50" s="202" t="s">
        <v>505</v>
      </c>
      <c r="C50" s="65" t="s">
        <v>30</v>
      </c>
      <c r="F50" s="31" t="s">
        <v>512</v>
      </c>
      <c r="G50" s="671">
        <v>6.5000000000000002E-2</v>
      </c>
      <c r="H50" s="458">
        <v>6.3E-2</v>
      </c>
      <c r="I50" s="672">
        <f t="shared" si="1"/>
        <v>6.4000000000000001E-2</v>
      </c>
      <c r="L50" s="64"/>
      <c r="M50" s="194"/>
      <c r="O50" s="185"/>
      <c r="P50" s="1051"/>
      <c r="Q50" s="1051"/>
      <c r="R50" s="1051">
        <f>IF(AND(ISNUMBER(I50),'Validn data - hide'!E26&gt;0),IF(I50/'Validn data - hide'!E26-1&gt;'Validn data - hide'!$L26,1,IF(I50/'Validn data - hide'!E26-1&lt;-'Validn data - hide'!$L26,-1,0)),0)</f>
        <v>0</v>
      </c>
      <c r="S50" s="36"/>
      <c r="T50" s="36"/>
    </row>
    <row r="51" spans="1:20" s="188" customFormat="1" x14ac:dyDescent="0.25">
      <c r="A51" s="185"/>
      <c r="B51" s="202" t="s">
        <v>506</v>
      </c>
      <c r="C51" s="65" t="s">
        <v>32</v>
      </c>
      <c r="F51" s="31" t="s">
        <v>33</v>
      </c>
      <c r="G51" s="671">
        <v>2.5999999999999999E-2</v>
      </c>
      <c r="H51" s="458">
        <v>1.2E-2</v>
      </c>
      <c r="I51" s="672">
        <f t="shared" si="1"/>
        <v>1.9E-2</v>
      </c>
      <c r="L51" s="64"/>
      <c r="M51" s="194"/>
      <c r="O51" s="185"/>
      <c r="P51" s="1051"/>
      <c r="Q51" s="1051"/>
      <c r="R51" s="1051">
        <f>IF(AND(ISNUMBER(I51),'Validn data - hide'!E27&gt;0),IF(I51/'Validn data - hide'!E27-1&gt;'Validn data - hide'!$L27,1,IF(I51/'Validn data - hide'!E27-1&lt;-'Validn data - hide'!$L27,-1,0)),0)</f>
        <v>0</v>
      </c>
      <c r="S51" s="36"/>
      <c r="T51" s="36"/>
    </row>
    <row r="52" spans="1:20" s="188" customFormat="1" x14ac:dyDescent="0.25">
      <c r="A52" s="185"/>
      <c r="B52" s="202" t="s">
        <v>507</v>
      </c>
      <c r="C52" s="65" t="s">
        <v>32</v>
      </c>
      <c r="F52" s="31" t="s">
        <v>513</v>
      </c>
      <c r="G52" s="671">
        <v>3.0000000000000001E-3</v>
      </c>
      <c r="H52" s="458">
        <v>3.0000000000000001E-3</v>
      </c>
      <c r="I52" s="672">
        <f t="shared" si="1"/>
        <v>3.0000000000000001E-3</v>
      </c>
      <c r="L52" s="64"/>
      <c r="M52" s="194"/>
      <c r="O52" s="185"/>
      <c r="P52" s="1051"/>
      <c r="Q52" s="1051"/>
      <c r="R52" s="1051">
        <f>IF(AND(ISNUMBER(I52),'Validn data - hide'!E28&gt;0),IF(I52/'Validn data - hide'!E28-1&gt;'Validn data - hide'!$L28,1,IF(I52/'Validn data - hide'!E28-1&lt;-'Validn data - hide'!$L28,-1,0)),0)</f>
        <v>0</v>
      </c>
      <c r="S52" s="36"/>
      <c r="T52" s="36"/>
    </row>
    <row r="53" spans="1:20" s="188" customFormat="1" x14ac:dyDescent="0.25">
      <c r="A53" s="185"/>
      <c r="B53" s="202" t="s">
        <v>508</v>
      </c>
      <c r="C53" s="65" t="s">
        <v>32</v>
      </c>
      <c r="F53" s="31" t="s">
        <v>52</v>
      </c>
      <c r="G53" s="671">
        <v>5.0000000000000001E-3</v>
      </c>
      <c r="H53" s="458">
        <v>6.0000000000000001E-3</v>
      </c>
      <c r="I53" s="672">
        <f t="shared" si="1"/>
        <v>5.4999999999999997E-3</v>
      </c>
      <c r="L53" s="64"/>
      <c r="M53" s="194"/>
      <c r="O53" s="185"/>
      <c r="P53" s="1051"/>
      <c r="Q53" s="1051"/>
      <c r="R53" s="1051">
        <f>IF(AND(ISNUMBER(I53),'Validn data - hide'!E29&gt;0),IF(I53/'Validn data - hide'!E29-1&gt;'Validn data - hide'!$L29,1,IF(I53/'Validn data - hide'!E29-1&lt;-'Validn data - hide'!$L29,-1,0)),0)</f>
        <v>0</v>
      </c>
      <c r="S53" s="36"/>
      <c r="T53" s="36"/>
    </row>
    <row r="54" spans="1:20" s="188" customFormat="1" x14ac:dyDescent="0.25">
      <c r="A54" s="185"/>
      <c r="B54" s="202" t="s">
        <v>509</v>
      </c>
      <c r="C54" s="65" t="s">
        <v>32</v>
      </c>
      <c r="F54" s="31" t="s">
        <v>514</v>
      </c>
      <c r="G54" s="671">
        <v>0.01</v>
      </c>
      <c r="H54" s="458">
        <v>0.01</v>
      </c>
      <c r="I54" s="672">
        <f t="shared" si="1"/>
        <v>0.01</v>
      </c>
      <c r="L54" s="64"/>
      <c r="M54" s="194"/>
      <c r="O54" s="185"/>
      <c r="P54" s="1051"/>
      <c r="Q54" s="1051"/>
      <c r="R54" s="1051">
        <f>IF(AND(ISNUMBER(I54),'Validn data - hide'!E30&gt;0),IF(I54/'Validn data - hide'!E30-1&gt;'Validn data - hide'!$L30,1,IF(I54/'Validn data - hide'!E30-1&lt;-'Validn data - hide'!$L30,-1,0)),0)</f>
        <v>0</v>
      </c>
      <c r="S54" s="36"/>
      <c r="T54" s="36"/>
    </row>
    <row r="55" spans="1:20" s="188" customFormat="1" x14ac:dyDescent="0.25">
      <c r="A55" s="185"/>
      <c r="B55" s="202" t="s">
        <v>510</v>
      </c>
      <c r="C55" s="65" t="s">
        <v>32</v>
      </c>
      <c r="F55" s="31" t="s">
        <v>515</v>
      </c>
      <c r="G55" s="671">
        <v>4.0000000000000001E-3</v>
      </c>
      <c r="H55" s="458">
        <v>8.9999999999999993E-3</v>
      </c>
      <c r="I55" s="672">
        <f t="shared" si="1"/>
        <v>6.4999999999999997E-3</v>
      </c>
      <c r="L55" s="64"/>
      <c r="M55" s="194"/>
      <c r="O55" s="185"/>
      <c r="P55" s="1051"/>
      <c r="Q55" s="1051"/>
      <c r="R55" s="1051">
        <f>IF(AND(ISNUMBER(I55),'Validn data - hide'!E31&gt;0),IF(I55/'Validn data - hide'!E31-1&gt;'Validn data - hide'!$L31,1,IF(I55/'Validn data - hide'!E31-1&lt;-'Validn data - hide'!$L31,-1,0)),0)</f>
        <v>-1</v>
      </c>
      <c r="S55" s="36"/>
      <c r="T55" s="36"/>
    </row>
    <row r="56" spans="1:20" s="188" customFormat="1" x14ac:dyDescent="0.25">
      <c r="A56" s="185"/>
      <c r="B56" s="202" t="s">
        <v>511</v>
      </c>
      <c r="C56" s="65" t="s">
        <v>32</v>
      </c>
      <c r="F56" s="31" t="s">
        <v>516</v>
      </c>
      <c r="G56" s="671">
        <v>0</v>
      </c>
      <c r="H56" s="458">
        <v>0</v>
      </c>
      <c r="I56" s="672">
        <f t="shared" si="1"/>
        <v>0</v>
      </c>
      <c r="L56" s="64"/>
      <c r="M56" s="194"/>
      <c r="O56" s="185"/>
      <c r="P56" s="1051"/>
      <c r="Q56" s="1051"/>
      <c r="R56" s="1051">
        <f>IF(AND(ISNUMBER(I56),'Validn data - hide'!E32&gt;0),IF(I56/'Validn data - hide'!E32-1&gt;'Validn data - hide'!$L32,1,IF(I56/'Validn data - hide'!E32-1&lt;-'Validn data - hide'!$L32,-1,0)),0)</f>
        <v>0</v>
      </c>
      <c r="S56" s="36"/>
      <c r="T56" s="36"/>
    </row>
    <row r="57" spans="1:20" s="188" customFormat="1" x14ac:dyDescent="0.25">
      <c r="A57" s="185"/>
      <c r="B57" s="202" t="s">
        <v>512</v>
      </c>
      <c r="C57" s="65" t="s">
        <v>32</v>
      </c>
      <c r="F57" s="31" t="s">
        <v>35</v>
      </c>
      <c r="G57" s="671">
        <v>1E-3</v>
      </c>
      <c r="H57" s="458">
        <v>4.5000000000000005E-2</v>
      </c>
      <c r="I57" s="672">
        <f t="shared" si="1"/>
        <v>2.3000000000000003E-2</v>
      </c>
      <c r="L57" s="64"/>
      <c r="M57" s="194"/>
      <c r="O57" s="185"/>
      <c r="P57" s="1051"/>
      <c r="Q57" s="1051"/>
      <c r="R57" s="1051">
        <f>IF(AND(ISNUMBER(I57),'Validn data - hide'!E33&gt;0),IF(I57/'Validn data - hide'!E33-1&gt;'Validn data - hide'!$L33,1,IF(I57/'Validn data - hide'!E33-1&lt;-'Validn data - hide'!$L33,-1,0)),0)</f>
        <v>0</v>
      </c>
      <c r="S57" s="36"/>
      <c r="T57" s="36"/>
    </row>
    <row r="58" spans="1:20" s="188" customFormat="1" x14ac:dyDescent="0.25">
      <c r="A58" s="185"/>
      <c r="B58" s="202" t="s">
        <v>33</v>
      </c>
      <c r="C58" s="65" t="s">
        <v>32</v>
      </c>
      <c r="F58" s="31" t="s">
        <v>517</v>
      </c>
      <c r="G58" s="671">
        <v>1E-3</v>
      </c>
      <c r="H58" s="458">
        <v>1E-3</v>
      </c>
      <c r="I58" s="672">
        <f t="shared" si="1"/>
        <v>1E-3</v>
      </c>
      <c r="L58" s="64"/>
      <c r="M58" s="194"/>
      <c r="O58" s="185"/>
      <c r="P58" s="1051"/>
      <c r="Q58" s="1051"/>
      <c r="R58" s="1051">
        <f>IF(AND(ISNUMBER(I58),'Validn data - hide'!E34&gt;0),IF(I58/'Validn data - hide'!E34-1&gt;'Validn data - hide'!$L34,1,IF(I58/'Validn data - hide'!E34-1&lt;-'Validn data - hide'!$L34,-1,0)),0)</f>
        <v>-1</v>
      </c>
      <c r="S58" s="36"/>
      <c r="T58" s="36"/>
    </row>
    <row r="59" spans="1:20" s="188" customFormat="1" x14ac:dyDescent="0.25">
      <c r="A59" s="185"/>
      <c r="B59" s="202" t="s">
        <v>513</v>
      </c>
      <c r="C59" s="65" t="s">
        <v>20</v>
      </c>
      <c r="F59" s="31" t="s">
        <v>373</v>
      </c>
      <c r="G59" s="671">
        <v>5.8999999999999997E-2</v>
      </c>
      <c r="H59" s="458">
        <v>6.0999999999999999E-2</v>
      </c>
      <c r="I59" s="672">
        <f t="shared" si="1"/>
        <v>0.06</v>
      </c>
      <c r="M59" s="194"/>
      <c r="O59" s="185"/>
      <c r="P59" s="1051"/>
      <c r="Q59" s="1051"/>
      <c r="R59" s="1051">
        <f>IF(AND(ISNUMBER(I59),'Validn data - hide'!E35&gt;0),IF(I59/'Validn data - hide'!E35-1&gt;'Validn data - hide'!$L35,1,IF(I59/'Validn data - hide'!E35-1&lt;-'Validn data - hide'!$L35,-1,0)),0)</f>
        <v>1</v>
      </c>
      <c r="S59" s="36"/>
      <c r="T59" s="36"/>
    </row>
    <row r="60" spans="1:20" s="188" customFormat="1" x14ac:dyDescent="0.25">
      <c r="A60" s="185"/>
      <c r="B60" s="202" t="s">
        <v>52</v>
      </c>
      <c r="C60" s="65" t="s">
        <v>28</v>
      </c>
      <c r="F60" s="31" t="s">
        <v>518</v>
      </c>
      <c r="G60" s="671">
        <v>4.0000000000000001E-3</v>
      </c>
      <c r="H60" s="458">
        <v>1E-3</v>
      </c>
      <c r="I60" s="672">
        <f t="shared" si="1"/>
        <v>2.5000000000000001E-3</v>
      </c>
      <c r="M60" s="194"/>
      <c r="O60" s="185"/>
      <c r="P60" s="1051"/>
      <c r="Q60" s="1051"/>
      <c r="R60" s="1051">
        <f>IF(AND(ISNUMBER(I60),'Validn data - hide'!E36&gt;0),IF(I60/'Validn data - hide'!E36-1&gt;'Validn data - hide'!$L36,1,IF(I60/'Validn data - hide'!E36-1&lt;-'Validn data - hide'!$L36,-1,0)),0)</f>
        <v>-1</v>
      </c>
      <c r="S60" s="36"/>
      <c r="T60" s="36"/>
    </row>
    <row r="61" spans="1:20" s="188" customFormat="1" x14ac:dyDescent="0.25">
      <c r="A61" s="185"/>
      <c r="B61" s="202" t="s">
        <v>514</v>
      </c>
      <c r="C61" s="65" t="s">
        <v>28</v>
      </c>
      <c r="F61" s="31" t="s">
        <v>496</v>
      </c>
      <c r="G61" s="671">
        <v>1.2999999999999999E-2</v>
      </c>
      <c r="H61" s="458">
        <v>6.0000000000000001E-3</v>
      </c>
      <c r="I61" s="672">
        <f t="shared" si="1"/>
        <v>9.4999999999999998E-3</v>
      </c>
      <c r="O61" s="185"/>
      <c r="P61" s="1051"/>
      <c r="Q61" s="1051"/>
      <c r="R61" s="1051">
        <f>IF(AND(ISNUMBER(I61),'Validn data - hide'!E37&gt;0),IF(I61/'Validn data - hide'!E37-1&gt;'Validn data - hide'!$L37,1,IF(I61/'Validn data - hide'!E37-1&lt;-'Validn data - hide'!$L37,-1,0)),0)</f>
        <v>1</v>
      </c>
      <c r="S61" s="36"/>
      <c r="T61" s="36"/>
    </row>
    <row r="62" spans="1:20" s="191" customFormat="1" x14ac:dyDescent="0.25">
      <c r="A62" s="185"/>
      <c r="B62" s="202" t="s">
        <v>515</v>
      </c>
      <c r="C62" s="65" t="s">
        <v>28</v>
      </c>
      <c r="D62" s="11"/>
      <c r="E62" s="11"/>
      <c r="F62" s="369" t="s">
        <v>519</v>
      </c>
      <c r="G62" s="671">
        <v>0</v>
      </c>
      <c r="H62" s="458">
        <v>0</v>
      </c>
      <c r="I62" s="672">
        <f t="shared" si="1"/>
        <v>0</v>
      </c>
      <c r="J62" s="11"/>
      <c r="K62" s="11"/>
      <c r="L62" s="11"/>
      <c r="M62" s="188"/>
      <c r="N62" s="188"/>
      <c r="O62" s="185"/>
      <c r="P62" s="1051"/>
      <c r="Q62" s="1051"/>
      <c r="R62" s="1051">
        <f>IF(AND(ISNUMBER(I62),'Validn data - hide'!E38&gt;0),IF(I62/'Validn data - hide'!E38-1&gt;'Validn data - hide'!$L38,1,IF(I62/'Validn data - hide'!E38-1&lt;-'Validn data - hide'!$L38,-1,0)),0)</f>
        <v>-1</v>
      </c>
      <c r="S62" s="36"/>
      <c r="T62" s="36"/>
    </row>
    <row r="63" spans="1:20" s="191" customFormat="1" x14ac:dyDescent="0.25">
      <c r="A63" s="185"/>
      <c r="B63" s="202" t="s">
        <v>516</v>
      </c>
      <c r="C63" s="65" t="s">
        <v>25</v>
      </c>
      <c r="D63" s="11"/>
      <c r="E63" s="11"/>
      <c r="F63" s="369" t="s">
        <v>520</v>
      </c>
      <c r="G63" s="671">
        <v>1.2E-2</v>
      </c>
      <c r="H63" s="458">
        <v>4.0000000000000001E-3</v>
      </c>
      <c r="I63" s="672">
        <f t="shared" si="1"/>
        <v>8.0000000000000002E-3</v>
      </c>
      <c r="J63" s="11"/>
      <c r="K63" s="11"/>
      <c r="L63" s="11"/>
      <c r="M63" s="188"/>
      <c r="N63" s="188"/>
      <c r="O63" s="185"/>
      <c r="P63" s="1051"/>
      <c r="Q63" s="1051"/>
      <c r="R63" s="1051">
        <f>IF(AND(ISNUMBER(I63),'Validn data - hide'!E39&gt;0),IF(I63/'Validn data - hide'!E39-1&gt;'Validn data - hide'!$L39,1,IF(I63/'Validn data - hide'!E39-1&lt;-'Validn data - hide'!$L39,-1,0)),0)</f>
        <v>-1</v>
      </c>
      <c r="S63" s="36"/>
      <c r="T63" s="36"/>
    </row>
    <row r="64" spans="1:20" s="191" customFormat="1" x14ac:dyDescent="0.25">
      <c r="A64" s="185"/>
      <c r="B64" s="202" t="s">
        <v>35</v>
      </c>
      <c r="C64" s="70" t="s">
        <v>532</v>
      </c>
      <c r="D64" s="11"/>
      <c r="E64" s="11"/>
      <c r="F64" s="369" t="s">
        <v>521</v>
      </c>
      <c r="G64" s="671">
        <v>0</v>
      </c>
      <c r="H64" s="458">
        <v>5.0000000000000001E-3</v>
      </c>
      <c r="I64" s="672">
        <f t="shared" si="1"/>
        <v>2.5000000000000001E-3</v>
      </c>
      <c r="J64" s="11"/>
      <c r="K64" s="11"/>
      <c r="L64" s="11"/>
      <c r="M64" s="188"/>
      <c r="N64" s="188"/>
      <c r="O64" s="185"/>
      <c r="P64" s="1051"/>
      <c r="Q64" s="1051"/>
      <c r="R64" s="1051">
        <f>IF(AND(ISNUMBER(I64),'Validn data - hide'!E40&gt;0),IF(I64/'Validn data - hide'!E40-1&gt;'Validn data - hide'!$L40,1,IF(I64/'Validn data - hide'!E40-1&lt;-'Validn data - hide'!$L40,-1,0)),0)</f>
        <v>1</v>
      </c>
      <c r="S64" s="36"/>
      <c r="T64" s="36"/>
    </row>
    <row r="65" spans="1:20" s="191" customFormat="1" x14ac:dyDescent="0.25">
      <c r="A65" s="185"/>
      <c r="B65" s="202" t="s">
        <v>517</v>
      </c>
      <c r="C65" s="70" t="s">
        <v>532</v>
      </c>
      <c r="D65" s="12"/>
      <c r="E65" s="12"/>
      <c r="F65" s="369" t="s">
        <v>46</v>
      </c>
      <c r="G65" s="671">
        <v>3.1E-2</v>
      </c>
      <c r="H65" s="458">
        <v>0</v>
      </c>
      <c r="I65" s="672">
        <f t="shared" si="1"/>
        <v>1.55E-2</v>
      </c>
      <c r="J65" s="12"/>
      <c r="K65" s="12"/>
      <c r="L65" s="12"/>
      <c r="M65" s="188"/>
      <c r="N65" s="188"/>
      <c r="O65" s="185"/>
      <c r="P65" s="1051"/>
      <c r="Q65" s="1051"/>
      <c r="R65" s="1051">
        <f>IF(AND(ISNUMBER(I65),'Validn data - hide'!E41&gt;0),IF(I65/'Validn data - hide'!E41-1&gt;'Validn data - hide'!$L41,1,IF(I65/'Validn data - hide'!E41-1&lt;-'Validn data - hide'!$L41,-1,0)),0)</f>
        <v>1</v>
      </c>
      <c r="S65" s="36"/>
      <c r="T65" s="36"/>
    </row>
    <row r="66" spans="1:20" s="191" customFormat="1" x14ac:dyDescent="0.25">
      <c r="A66" s="185"/>
      <c r="B66" s="202" t="s">
        <v>373</v>
      </c>
      <c r="C66" s="65" t="s">
        <v>65</v>
      </c>
      <c r="D66" s="12"/>
      <c r="E66" s="12"/>
      <c r="F66" s="369" t="s">
        <v>97</v>
      </c>
      <c r="G66" s="671">
        <v>1E-3</v>
      </c>
      <c r="H66" s="458">
        <v>0</v>
      </c>
      <c r="I66" s="672">
        <f t="shared" si="1"/>
        <v>5.0000000000000001E-4</v>
      </c>
      <c r="J66" s="12"/>
      <c r="K66" s="12"/>
      <c r="L66" s="12"/>
      <c r="O66" s="185"/>
      <c r="P66" s="1051"/>
      <c r="Q66" s="1051"/>
      <c r="R66" s="1051">
        <f>IF(AND(ISNUMBER(I66),'Validn data - hide'!E42&gt;0),IF(I66/'Validn data - hide'!E42-1&gt;'Validn data - hide'!$L42,1,IF(I66/'Validn data - hide'!E42-1&lt;-'Validn data - hide'!$L42,-1,0)),0)</f>
        <v>-1</v>
      </c>
      <c r="S66" s="36"/>
      <c r="T66" s="36"/>
    </row>
    <row r="67" spans="1:20" s="191" customFormat="1" x14ac:dyDescent="0.25">
      <c r="A67" s="185"/>
      <c r="B67" s="202" t="s">
        <v>518</v>
      </c>
      <c r="C67" s="65" t="s">
        <v>107</v>
      </c>
      <c r="D67" s="12"/>
      <c r="E67" s="12"/>
      <c r="F67" s="369" t="s">
        <v>492</v>
      </c>
      <c r="G67" s="671">
        <v>0</v>
      </c>
      <c r="H67" s="458">
        <v>0</v>
      </c>
      <c r="I67" s="672">
        <f t="shared" si="1"/>
        <v>0</v>
      </c>
      <c r="J67" s="12"/>
      <c r="K67" s="12"/>
      <c r="L67" s="12"/>
      <c r="O67" s="185"/>
      <c r="P67" s="1051"/>
      <c r="Q67" s="1051"/>
      <c r="R67" s="1051">
        <f>IF(AND(ISNUMBER(I67),'Validn data - hide'!E43&gt;0),IF(I67/'Validn data - hide'!E43-1&gt;'Validn data - hide'!$L43,1,IF(I67/'Validn data - hide'!E43-1&lt;-'Validn data - hide'!$L43,-1,0)),0)</f>
        <v>-1</v>
      </c>
      <c r="S67" s="36"/>
      <c r="T67" s="36"/>
    </row>
    <row r="68" spans="1:20" s="191" customFormat="1" x14ac:dyDescent="0.25">
      <c r="A68" s="185"/>
      <c r="B68" s="202" t="s">
        <v>496</v>
      </c>
      <c r="C68" s="65" t="s">
        <v>25</v>
      </c>
      <c r="D68" s="11"/>
      <c r="E68" s="11"/>
      <c r="F68" s="369" t="s">
        <v>522</v>
      </c>
      <c r="G68" s="671">
        <v>0</v>
      </c>
      <c r="H68" s="458">
        <v>0</v>
      </c>
      <c r="I68" s="672">
        <f t="shared" si="1"/>
        <v>0</v>
      </c>
      <c r="J68" s="11"/>
      <c r="K68" s="11"/>
      <c r="L68" s="11"/>
      <c r="O68" s="185"/>
      <c r="P68" s="1051"/>
      <c r="Q68" s="1051"/>
      <c r="R68" s="1051">
        <f>IF(AND(ISNUMBER(I68),'Validn data - hide'!E44&gt;0),IF(I68/'Validn data - hide'!E44-1&gt;'Validn data - hide'!$L44,1,IF(I68/'Validn data - hide'!E44-1&lt;-'Validn data - hide'!$L44,-1,0)),0)</f>
        <v>-1</v>
      </c>
      <c r="S68" s="36"/>
      <c r="T68" s="36"/>
    </row>
    <row r="69" spans="1:20" s="191" customFormat="1" x14ac:dyDescent="0.25">
      <c r="A69" s="185"/>
      <c r="B69" s="202" t="s">
        <v>519</v>
      </c>
      <c r="C69" s="70" t="s">
        <v>532</v>
      </c>
      <c r="D69" s="11"/>
      <c r="E69" s="11"/>
      <c r="F69" s="369" t="s">
        <v>523</v>
      </c>
      <c r="G69" s="671">
        <v>0</v>
      </c>
      <c r="H69" s="458">
        <v>0</v>
      </c>
      <c r="I69" s="672">
        <f t="shared" si="1"/>
        <v>0</v>
      </c>
      <c r="J69" s="11"/>
      <c r="K69" s="11"/>
      <c r="L69" s="11"/>
      <c r="O69" s="185"/>
      <c r="P69" s="1051"/>
      <c r="Q69" s="1051"/>
      <c r="R69" s="1051">
        <f>IF(AND(ISNUMBER(I69),'Validn data - hide'!E45&gt;0),IF(I69/'Validn data - hide'!E45-1&gt;'Validn data - hide'!$L45,1,IF(I69/'Validn data - hide'!E45-1&lt;-'Validn data - hide'!$L45,-1,0)),0)</f>
        <v>0</v>
      </c>
      <c r="S69" s="36"/>
      <c r="T69" s="36"/>
    </row>
    <row r="70" spans="1:20" s="191" customFormat="1" x14ac:dyDescent="0.25">
      <c r="A70" s="185"/>
      <c r="B70" s="202" t="s">
        <v>520</v>
      </c>
      <c r="C70" s="70" t="s">
        <v>532</v>
      </c>
      <c r="D70" s="11"/>
      <c r="E70" s="11"/>
      <c r="F70" s="369" t="s">
        <v>524</v>
      </c>
      <c r="G70" s="671">
        <v>0</v>
      </c>
      <c r="H70" s="458">
        <v>3.0000000000000001E-3</v>
      </c>
      <c r="I70" s="672">
        <f t="shared" si="1"/>
        <v>1.5E-3</v>
      </c>
      <c r="J70" s="11"/>
      <c r="K70" s="11"/>
      <c r="L70" s="11"/>
      <c r="O70" s="185"/>
      <c r="P70" s="1051"/>
      <c r="Q70" s="1051"/>
      <c r="R70" s="1051">
        <f>IF(AND(ISNUMBER(I70),'Validn data - hide'!E46&gt;0),IF(I70/'Validn data - hide'!E46-1&gt;'Validn data - hide'!$L46,1,IF(I70/'Validn data - hide'!E46-1&lt;-'Validn data - hide'!$L46,-1,0)),0)</f>
        <v>0</v>
      </c>
      <c r="S70" s="36"/>
      <c r="T70" s="36"/>
    </row>
    <row r="71" spans="1:20" s="191" customFormat="1" x14ac:dyDescent="0.25">
      <c r="A71" s="185"/>
      <c r="B71" s="202" t="s">
        <v>521</v>
      </c>
      <c r="C71" s="70" t="s">
        <v>532</v>
      </c>
      <c r="D71" s="11"/>
      <c r="E71" s="11"/>
      <c r="F71" s="369" t="s">
        <v>525</v>
      </c>
      <c r="G71" s="673">
        <v>7.5999999999999998E-2</v>
      </c>
      <c r="H71" s="674">
        <v>6.0000000000000001E-3</v>
      </c>
      <c r="I71" s="675">
        <f t="shared" si="1"/>
        <v>4.1000000000000002E-2</v>
      </c>
      <c r="J71" s="11"/>
      <c r="K71" s="11"/>
      <c r="L71" s="11"/>
      <c r="M71" s="11"/>
      <c r="N71" s="11"/>
      <c r="O71" s="185"/>
      <c r="P71" s="1051"/>
      <c r="Q71" s="1051"/>
      <c r="R71" s="1051">
        <f>IF(AND(ISNUMBER(I71),'Validn data - hide'!E47&gt;0),IF(I71/'Validn data - hide'!E47-1&gt;'Validn data - hide'!$L47,1,IF(I71/'Validn data - hide'!E47-1&lt;-'Validn data - hide'!$L47,-1,0)),0)</f>
        <v>-1</v>
      </c>
      <c r="S71" s="36"/>
      <c r="T71" s="36"/>
    </row>
    <row r="72" spans="1:20" s="191" customFormat="1" x14ac:dyDescent="0.25">
      <c r="A72" s="185"/>
      <c r="B72" s="202" t="s">
        <v>46</v>
      </c>
      <c r="C72" s="65" t="s">
        <v>25</v>
      </c>
      <c r="D72" s="11"/>
      <c r="E72" s="11"/>
      <c r="F72" s="11"/>
      <c r="G72" s="11"/>
      <c r="H72" s="168" t="s">
        <v>397</v>
      </c>
      <c r="I72" s="174">
        <f>SUM(I34:I71)</f>
        <v>1.0004999999999993</v>
      </c>
      <c r="J72" s="11"/>
      <c r="K72" s="11"/>
      <c r="L72" s="11"/>
      <c r="M72" s="11"/>
      <c r="N72" s="11"/>
      <c r="O72" s="185"/>
      <c r="P72" s="1051"/>
      <c r="Q72" s="1051"/>
      <c r="R72" s="36"/>
      <c r="S72" s="36"/>
      <c r="T72" s="36"/>
    </row>
    <row r="73" spans="1:20" s="191" customFormat="1" x14ac:dyDescent="0.25">
      <c r="A73" s="185"/>
      <c r="B73" s="202" t="s">
        <v>97</v>
      </c>
      <c r="C73" s="70" t="s">
        <v>532</v>
      </c>
      <c r="D73" s="11"/>
      <c r="E73" s="11"/>
      <c r="F73" s="11"/>
      <c r="G73" s="11"/>
      <c r="H73" s="11"/>
      <c r="I73" s="11"/>
      <c r="J73" s="11"/>
      <c r="K73" s="11"/>
      <c r="L73" s="11"/>
      <c r="M73" s="11"/>
      <c r="N73" s="11"/>
      <c r="O73" s="185"/>
      <c r="P73" s="36"/>
      <c r="Q73" s="36"/>
      <c r="R73" s="36"/>
      <c r="S73" s="36"/>
      <c r="T73" s="36"/>
    </row>
    <row r="74" spans="1:20" s="191" customFormat="1" ht="12.75" customHeight="1" x14ac:dyDescent="0.25">
      <c r="A74" s="185"/>
      <c r="B74" s="202" t="s">
        <v>492</v>
      </c>
      <c r="C74" s="65" t="s">
        <v>25</v>
      </c>
      <c r="D74" s="11"/>
      <c r="E74" s="11"/>
      <c r="F74" s="6" t="s">
        <v>16</v>
      </c>
      <c r="G74" s="596" t="s">
        <v>806</v>
      </c>
      <c r="H74" s="2" t="s">
        <v>103</v>
      </c>
      <c r="I74" s="11"/>
      <c r="J74" s="11"/>
      <c r="K74" s="11"/>
      <c r="L74" s="11"/>
      <c r="M74" s="11"/>
      <c r="N74" s="11"/>
      <c r="O74" s="185"/>
      <c r="P74" s="36"/>
      <c r="Q74" s="36"/>
      <c r="R74" s="36"/>
      <c r="S74" s="36"/>
      <c r="T74" s="36"/>
    </row>
    <row r="75" spans="1:20" s="191" customFormat="1" x14ac:dyDescent="0.25">
      <c r="A75" s="185"/>
      <c r="B75" s="202" t="s">
        <v>522</v>
      </c>
      <c r="C75" s="65" t="s">
        <v>25</v>
      </c>
      <c r="D75" s="11"/>
      <c r="E75" s="11"/>
      <c r="F75" s="194" t="s">
        <v>25</v>
      </c>
      <c r="G75" s="599">
        <f>SUMIF($C$41:$C$78,$F75,$I$34:$I$71)</f>
        <v>2.5000000000000001E-2</v>
      </c>
      <c r="H75" s="602">
        <f t="shared" ref="H75:H84" si="2">G75/$G$85</f>
        <v>2.715915263443781E-2</v>
      </c>
      <c r="I75" s="34"/>
      <c r="J75" s="11"/>
      <c r="K75" s="11"/>
      <c r="L75" s="11"/>
      <c r="M75" s="11"/>
      <c r="N75" s="11"/>
      <c r="O75" s="185"/>
      <c r="P75" s="36"/>
      <c r="Q75" s="36"/>
      <c r="R75" s="36"/>
      <c r="S75" s="36"/>
      <c r="T75" s="36"/>
    </row>
    <row r="76" spans="1:20" s="191" customFormat="1" x14ac:dyDescent="0.25">
      <c r="A76" s="185"/>
      <c r="B76" s="202" t="s">
        <v>523</v>
      </c>
      <c r="C76" s="65" t="s">
        <v>25</v>
      </c>
      <c r="D76" s="11"/>
      <c r="E76" s="11"/>
      <c r="F76" s="194" t="s">
        <v>28</v>
      </c>
      <c r="G76" s="600">
        <f t="shared" ref="G76:G84" si="3">SUMIF($C$41:$C$78,$F76,$I$34:$I$71)</f>
        <v>2.1999999999999999E-2</v>
      </c>
      <c r="H76" s="603">
        <f t="shared" si="2"/>
        <v>2.3900054318305271E-2</v>
      </c>
      <c r="I76" s="34"/>
      <c r="J76" s="11"/>
      <c r="K76" s="11"/>
      <c r="L76" s="11"/>
      <c r="M76" s="11"/>
      <c r="N76" s="11"/>
      <c r="O76" s="185"/>
      <c r="P76" s="36"/>
      <c r="Q76" s="36"/>
      <c r="R76" s="36"/>
      <c r="S76" s="36"/>
      <c r="T76" s="36"/>
    </row>
    <row r="77" spans="1:20" s="191" customFormat="1" x14ac:dyDescent="0.25">
      <c r="A77" s="185"/>
      <c r="B77" s="202" t="s">
        <v>524</v>
      </c>
      <c r="C77" s="70" t="s">
        <v>107</v>
      </c>
      <c r="D77" s="11"/>
      <c r="E77" s="11"/>
      <c r="F77" s="194" t="s">
        <v>61</v>
      </c>
      <c r="G77" s="600">
        <f t="shared" si="3"/>
        <v>0.36050000000000004</v>
      </c>
      <c r="H77" s="603">
        <f t="shared" si="2"/>
        <v>0.39163498098859323</v>
      </c>
      <c r="I77" s="34"/>
      <c r="J77" s="11"/>
      <c r="K77" s="11"/>
      <c r="L77" s="11"/>
      <c r="M77" s="11"/>
      <c r="N77" s="11"/>
      <c r="O77" s="185"/>
      <c r="P77" s="36"/>
      <c r="Q77" s="36"/>
      <c r="R77" s="36"/>
      <c r="S77" s="36"/>
      <c r="T77" s="36"/>
    </row>
    <row r="78" spans="1:20" s="191" customFormat="1" x14ac:dyDescent="0.25">
      <c r="A78" s="185"/>
      <c r="B78" s="203" t="s">
        <v>525</v>
      </c>
      <c r="C78" s="441" t="s">
        <v>107</v>
      </c>
      <c r="D78" s="11"/>
      <c r="E78" s="11"/>
      <c r="F78" s="194" t="s">
        <v>63</v>
      </c>
      <c r="G78" s="600">
        <f t="shared" si="3"/>
        <v>7.9000000000000001E-2</v>
      </c>
      <c r="H78" s="603">
        <f t="shared" si="2"/>
        <v>8.5822922324823483E-2</v>
      </c>
      <c r="I78" s="34"/>
      <c r="J78" s="11"/>
      <c r="K78" s="11"/>
      <c r="L78" s="11"/>
      <c r="M78" s="11"/>
      <c r="N78" s="11"/>
      <c r="O78" s="185"/>
      <c r="P78" s="36"/>
      <c r="Q78" s="36"/>
      <c r="R78" s="36"/>
      <c r="S78" s="36"/>
      <c r="T78" s="36"/>
    </row>
    <row r="79" spans="1:20" s="191" customFormat="1" x14ac:dyDescent="0.25">
      <c r="A79" s="185"/>
      <c r="B79" s="1453" t="s">
        <v>714</v>
      </c>
      <c r="C79" s="1484" t="s">
        <v>907</v>
      </c>
      <c r="D79" s="11"/>
      <c r="E79" s="11"/>
      <c r="F79" s="598" t="s">
        <v>67</v>
      </c>
      <c r="G79" s="600">
        <f t="shared" si="3"/>
        <v>2.8499999999999998E-2</v>
      </c>
      <c r="H79" s="603">
        <f t="shared" si="2"/>
        <v>3.0961434003259101E-2</v>
      </c>
      <c r="I79" s="34"/>
      <c r="J79" s="11"/>
      <c r="K79" s="11"/>
      <c r="L79" s="11"/>
      <c r="M79" s="11"/>
      <c r="N79" s="11"/>
      <c r="O79" s="185"/>
      <c r="P79" s="36"/>
      <c r="Q79" s="36"/>
      <c r="R79" s="36"/>
      <c r="S79" s="36"/>
      <c r="T79" s="36"/>
    </row>
    <row r="80" spans="1:20" s="191" customFormat="1" x14ac:dyDescent="0.2">
      <c r="A80" s="185"/>
      <c r="B80" s="1485"/>
      <c r="C80" s="1486"/>
      <c r="D80" s="11"/>
      <c r="E80" s="11"/>
      <c r="F80" s="598" t="s">
        <v>65</v>
      </c>
      <c r="G80" s="600">
        <f t="shared" si="3"/>
        <v>0.06</v>
      </c>
      <c r="H80" s="603">
        <f t="shared" si="2"/>
        <v>6.5181966322650733E-2</v>
      </c>
      <c r="I80" s="34"/>
      <c r="J80" s="11"/>
      <c r="K80" s="11"/>
      <c r="L80" s="11"/>
      <c r="M80" s="11"/>
      <c r="N80" s="11"/>
      <c r="O80" s="185"/>
      <c r="P80" s="36"/>
      <c r="Q80" s="36"/>
      <c r="R80" s="36"/>
      <c r="S80" s="36"/>
      <c r="T80" s="36"/>
    </row>
    <row r="81" spans="1:20" s="191" customFormat="1" x14ac:dyDescent="0.2">
      <c r="A81" s="185"/>
      <c r="C81" s="1487"/>
      <c r="D81" s="11"/>
      <c r="E81" s="11"/>
      <c r="F81" s="194" t="s">
        <v>20</v>
      </c>
      <c r="G81" s="600">
        <f t="shared" si="3"/>
        <v>0.14449999999999999</v>
      </c>
      <c r="H81" s="603">
        <f t="shared" si="2"/>
        <v>0.15697990222705052</v>
      </c>
      <c r="I81" s="34"/>
      <c r="J81" s="11"/>
      <c r="K81" s="11"/>
      <c r="L81" s="11"/>
      <c r="M81" s="11"/>
      <c r="N81" s="11"/>
      <c r="O81" s="185"/>
      <c r="P81" s="36"/>
      <c r="Q81" s="36"/>
      <c r="R81" s="36"/>
      <c r="S81" s="36"/>
      <c r="T81" s="36"/>
    </row>
    <row r="82" spans="1:20" s="191" customFormat="1" x14ac:dyDescent="0.2">
      <c r="A82" s="185"/>
      <c r="C82" s="1487"/>
      <c r="D82" s="11"/>
      <c r="E82" s="11"/>
      <c r="F82" s="374" t="s">
        <v>32</v>
      </c>
      <c r="G82" s="600">
        <f t="shared" si="3"/>
        <v>0.11700000000000001</v>
      </c>
      <c r="H82" s="603">
        <f t="shared" si="2"/>
        <v>0.12710483432916894</v>
      </c>
      <c r="I82" s="34"/>
      <c r="J82" s="11"/>
      <c r="K82" s="11"/>
      <c r="L82" s="11"/>
      <c r="M82" s="11"/>
      <c r="N82" s="11"/>
      <c r="O82" s="185"/>
      <c r="P82" s="36"/>
      <c r="Q82" s="36"/>
      <c r="R82" s="36"/>
      <c r="S82" s="36"/>
      <c r="T82" s="36"/>
    </row>
    <row r="83" spans="1:20" s="191" customFormat="1" x14ac:dyDescent="0.25">
      <c r="A83" s="185"/>
      <c r="B83" s="194"/>
      <c r="C83" s="64"/>
      <c r="D83" s="11"/>
      <c r="E83" s="11"/>
      <c r="F83" s="194" t="s">
        <v>30</v>
      </c>
      <c r="G83" s="600">
        <f t="shared" si="3"/>
        <v>4.2499999999999996E-2</v>
      </c>
      <c r="H83" s="603">
        <f t="shared" si="2"/>
        <v>4.6170559478544274E-2</v>
      </c>
      <c r="I83" s="34"/>
      <c r="J83" s="11"/>
      <c r="K83" s="11"/>
      <c r="L83" s="11"/>
      <c r="M83" s="11"/>
      <c r="N83" s="11"/>
      <c r="O83" s="185"/>
      <c r="P83" s="36"/>
      <c r="Q83" s="36"/>
      <c r="R83" s="36"/>
      <c r="S83" s="36"/>
      <c r="T83" s="36"/>
    </row>
    <row r="84" spans="1:20" s="191" customFormat="1" x14ac:dyDescent="0.25">
      <c r="A84" s="185"/>
      <c r="B84" s="194"/>
      <c r="C84" s="64"/>
      <c r="D84" s="11"/>
      <c r="E84" s="11"/>
      <c r="F84" s="194" t="s">
        <v>27</v>
      </c>
      <c r="G84" s="601">
        <f t="shared" si="3"/>
        <v>4.1500000000000002E-2</v>
      </c>
      <c r="H84" s="604">
        <f t="shared" si="2"/>
        <v>4.5084193373166763E-2</v>
      </c>
      <c r="I84" s="34"/>
      <c r="J84" s="11"/>
      <c r="K84" s="11"/>
      <c r="L84" s="11"/>
      <c r="M84" s="11"/>
      <c r="N84" s="11"/>
      <c r="O84" s="185"/>
      <c r="P84" s="36"/>
      <c r="Q84" s="36"/>
      <c r="R84" s="36"/>
      <c r="S84" s="36"/>
      <c r="T84" s="36"/>
    </row>
    <row r="85" spans="1:20" s="191" customFormat="1" x14ac:dyDescent="0.25">
      <c r="A85" s="185"/>
      <c r="B85" s="194"/>
      <c r="C85" s="64"/>
      <c r="D85" s="11"/>
      <c r="E85" s="11"/>
      <c r="F85" s="598" t="s">
        <v>88</v>
      </c>
      <c r="G85" s="597">
        <f>SUM(G75:G84)</f>
        <v>0.92049999999999987</v>
      </c>
      <c r="H85" s="371">
        <f>SUM(H75:H84)</f>
        <v>1.0000000000000002</v>
      </c>
      <c r="I85" s="34"/>
      <c r="J85" s="11"/>
      <c r="K85" s="11"/>
      <c r="L85" s="11"/>
      <c r="M85" s="11"/>
      <c r="N85" s="11"/>
      <c r="O85" s="185"/>
      <c r="P85" s="36"/>
      <c r="Q85" s="36"/>
      <c r="R85" s="36"/>
      <c r="S85" s="36"/>
      <c r="T85" s="36"/>
    </row>
    <row r="86" spans="1:20" s="191" customFormat="1" x14ac:dyDescent="0.25">
      <c r="A86" s="185"/>
      <c r="B86" s="186"/>
      <c r="C86" s="325"/>
      <c r="D86" s="88"/>
      <c r="E86" s="88"/>
      <c r="F86" s="195"/>
      <c r="G86" s="195"/>
      <c r="H86" s="95"/>
      <c r="I86" s="95"/>
      <c r="J86" s="88"/>
      <c r="K86" s="88"/>
      <c r="L86" s="88"/>
      <c r="M86" s="88"/>
      <c r="N86" s="88"/>
      <c r="O86" s="185"/>
      <c r="P86" s="36"/>
      <c r="Q86" s="36"/>
      <c r="R86" s="36"/>
      <c r="S86" s="36"/>
      <c r="T86" s="36"/>
    </row>
    <row r="87" spans="1:20" s="191" customFormat="1" ht="25.5" x14ac:dyDescent="0.2">
      <c r="A87" s="185"/>
      <c r="B87" s="100" t="s">
        <v>128</v>
      </c>
      <c r="C87" s="94" t="s">
        <v>712</v>
      </c>
      <c r="D87" s="88"/>
      <c r="E87" s="88"/>
      <c r="F87" s="88"/>
      <c r="G87" s="91" t="s">
        <v>17</v>
      </c>
      <c r="H87" s="91" t="s">
        <v>18</v>
      </c>
      <c r="I87" s="95"/>
      <c r="J87" s="88"/>
      <c r="K87" s="88"/>
      <c r="L87" s="88"/>
      <c r="M87" s="114" t="s">
        <v>104</v>
      </c>
      <c r="N87" s="94" t="s">
        <v>758</v>
      </c>
      <c r="O87" s="185"/>
      <c r="P87" s="36"/>
      <c r="Q87" s="36"/>
      <c r="R87" s="36"/>
      <c r="S87" s="36"/>
      <c r="T87" s="36"/>
    </row>
    <row r="88" spans="1:20" s="191" customFormat="1" x14ac:dyDescent="0.25">
      <c r="A88" s="185"/>
      <c r="B88" s="372" t="s">
        <v>323</v>
      </c>
      <c r="C88" s="2603" t="s">
        <v>609</v>
      </c>
      <c r="D88" s="88"/>
      <c r="E88" s="88"/>
      <c r="F88" s="109" t="s">
        <v>79</v>
      </c>
      <c r="G88" s="393">
        <v>3.0476837335091763E-2</v>
      </c>
      <c r="H88" s="395">
        <v>6.1462096181934631E-3</v>
      </c>
      <c r="I88" s="95"/>
      <c r="J88" s="88"/>
      <c r="K88" s="88"/>
      <c r="L88" s="88"/>
      <c r="M88" s="114" t="s">
        <v>100</v>
      </c>
      <c r="N88" s="94" t="s">
        <v>101</v>
      </c>
      <c r="O88" s="185"/>
      <c r="P88" s="1051">
        <f>IF(AND(ISNUMBER(G88),'Validn data - hide'!C51&gt;0),IF(G88/'Validn data - hide'!C51-1&gt;'Validn data - hide'!$L51,1,IF(G88/'Validn data - hide'!C51-1&lt;-'Validn data - hide'!$L51,-1,0)),0)</f>
        <v>1</v>
      </c>
      <c r="Q88" s="1051">
        <f>IF(AND(ISNUMBER(H88),'Validn data - hide'!D51&gt;0),IF(H88/'Validn data - hide'!D51-1&gt;'Validn data - hide'!$L51,1,IF(H88/'Validn data - hide'!D51-1&lt;-'Validn data - hide'!$L51,-1,0)),0)</f>
        <v>1</v>
      </c>
      <c r="R88" s="36"/>
      <c r="S88" s="36"/>
      <c r="T88" s="36"/>
    </row>
    <row r="89" spans="1:20" s="191" customFormat="1" x14ac:dyDescent="0.25">
      <c r="A89" s="185"/>
      <c r="B89" s="379"/>
      <c r="C89" s="2604"/>
      <c r="D89" s="88"/>
      <c r="E89" s="88"/>
      <c r="F89" s="109" t="s">
        <v>473</v>
      </c>
      <c r="G89" s="396">
        <v>0</v>
      </c>
      <c r="H89" s="397">
        <v>0</v>
      </c>
      <c r="I89" s="95"/>
      <c r="J89" s="88"/>
      <c r="K89" s="88"/>
      <c r="L89" s="88"/>
      <c r="M89" s="360" t="s">
        <v>10</v>
      </c>
      <c r="N89" s="2589"/>
      <c r="O89" s="185"/>
      <c r="P89" s="1051">
        <f>IF(AND(ISNUMBER(G89),'Validn data - hide'!C52&gt;0),IF(G89/'Validn data - hide'!C52-1&gt;'Validn data - hide'!$L52,1,IF(G89/'Validn data - hide'!C52-1&lt;-'Validn data - hide'!$L52,-1,0)),0)</f>
        <v>-1</v>
      </c>
      <c r="Q89" s="1051">
        <f>IF(AND(ISNUMBER(H89),'Validn data - hide'!D52&gt;0),IF(H89/'Validn data - hide'!D52-1&gt;'Validn data - hide'!$L52,1,IF(H89/'Validn data - hide'!D52-1&lt;-'Validn data - hide'!$L52,-1,0)),0)</f>
        <v>-1</v>
      </c>
      <c r="R89" s="36"/>
      <c r="S89" s="36"/>
      <c r="T89" s="36"/>
    </row>
    <row r="90" spans="1:20" s="191" customFormat="1" x14ac:dyDescent="0.25">
      <c r="A90" s="185"/>
      <c r="B90" s="324"/>
      <c r="C90" s="321" t="s">
        <v>528</v>
      </c>
      <c r="D90" s="88"/>
      <c r="E90" s="88"/>
      <c r="F90" s="109" t="s">
        <v>474</v>
      </c>
      <c r="G90" s="396">
        <v>5.5946054215608797E-2</v>
      </c>
      <c r="H90" s="397">
        <v>7.1062341612312934E-3</v>
      </c>
      <c r="I90" s="95"/>
      <c r="J90" s="88"/>
      <c r="K90" s="88"/>
      <c r="L90" s="88"/>
      <c r="M90" s="379"/>
      <c r="N90" s="2590"/>
      <c r="O90" s="185"/>
      <c r="P90" s="1051">
        <f>IF(AND(ISNUMBER(G90),'Validn data - hide'!C53&gt;0),IF(G90/'Validn data - hide'!C53-1&gt;'Validn data - hide'!$L53,1,IF(G90/'Validn data - hide'!C53-1&lt;-'Validn data - hide'!$L53,-1,0)),0)</f>
        <v>0</v>
      </c>
      <c r="Q90" s="1051">
        <f>IF(AND(ISNUMBER(H90),'Validn data - hide'!D53&gt;0),IF(H90/'Validn data - hide'!D53-1&gt;'Validn data - hide'!$L53,1,IF(H90/'Validn data - hide'!D53-1&lt;-'Validn data - hide'!$L53,-1,0)),0)</f>
        <v>1</v>
      </c>
      <c r="R90" s="36"/>
      <c r="S90" s="36"/>
      <c r="T90" s="36"/>
    </row>
    <row r="91" spans="1:20" s="191" customFormat="1" x14ac:dyDescent="0.25">
      <c r="A91" s="185"/>
      <c r="B91" s="437"/>
      <c r="C91" s="438" t="s">
        <v>534</v>
      </c>
      <c r="D91" s="88"/>
      <c r="E91" s="88"/>
      <c r="F91" s="109" t="s">
        <v>475</v>
      </c>
      <c r="G91" s="396">
        <v>0</v>
      </c>
      <c r="H91" s="397">
        <v>0</v>
      </c>
      <c r="I91" s="95"/>
      <c r="J91" s="88"/>
      <c r="K91" s="88"/>
      <c r="L91" s="88"/>
      <c r="M91" s="379"/>
      <c r="N91" s="2590"/>
      <c r="O91" s="185"/>
      <c r="P91" s="1051">
        <f>IF(AND(ISNUMBER(G91),'Validn data - hide'!C54&gt;0),IF(G91/'Validn data - hide'!C54-1&gt;'Validn data - hide'!$L54,1,IF(G91/'Validn data - hide'!C54-1&lt;-'Validn data - hide'!$L54,-1,0)),0)</f>
        <v>-1</v>
      </c>
      <c r="Q91" s="1051">
        <f>IF(AND(ISNUMBER(H91),'Validn data - hide'!D54&gt;0),IF(H91/'Validn data - hide'!D54-1&gt;'Validn data - hide'!$L54,1,IF(H91/'Validn data - hide'!D54-1&lt;-'Validn data - hide'!$L54,-1,0)),0)</f>
        <v>-1</v>
      </c>
      <c r="R91" s="36"/>
      <c r="S91" s="36"/>
      <c r="T91" s="36"/>
    </row>
    <row r="92" spans="1:20" s="191" customFormat="1" x14ac:dyDescent="0.25">
      <c r="A92" s="185"/>
      <c r="B92" s="1253"/>
      <c r="C92" s="2595" t="s">
        <v>533</v>
      </c>
      <c r="D92" s="88"/>
      <c r="E92" s="88"/>
      <c r="F92" s="109" t="s">
        <v>476</v>
      </c>
      <c r="G92" s="396">
        <v>7.4628385217741122E-2</v>
      </c>
      <c r="H92" s="397">
        <v>8.6912720305669544E-2</v>
      </c>
      <c r="I92" s="95"/>
      <c r="J92" s="88"/>
      <c r="K92" s="88"/>
      <c r="L92" s="88"/>
      <c r="M92" s="375"/>
      <c r="N92" s="2591"/>
      <c r="O92" s="185"/>
      <c r="P92" s="1051">
        <f>IF(AND(ISNUMBER(G92),'Validn data - hide'!C55&gt;0),IF(G92/'Validn data - hide'!C55-1&gt;'Validn data - hide'!$L55,1,IF(G92/'Validn data - hide'!C55-1&lt;-'Validn data - hide'!$L55,-1,0)),0)</f>
        <v>0</v>
      </c>
      <c r="Q92" s="1051">
        <f>IF(AND(ISNUMBER(H92),'Validn data - hide'!D55&gt;0),IF(H92/'Validn data - hide'!D55-1&gt;'Validn data - hide'!$L55,1,IF(H92/'Validn data - hide'!D55-1&lt;-'Validn data - hide'!$L55,-1,0)),0)</f>
        <v>1</v>
      </c>
      <c r="R92" s="36"/>
      <c r="S92" s="36"/>
      <c r="T92" s="36"/>
    </row>
    <row r="93" spans="1:20" s="191" customFormat="1" x14ac:dyDescent="0.25">
      <c r="A93" s="185"/>
      <c r="B93" s="375"/>
      <c r="C93" s="2595"/>
      <c r="D93" s="88"/>
      <c r="E93" s="88"/>
      <c r="F93" s="109" t="s">
        <v>477</v>
      </c>
      <c r="G93" s="396">
        <v>0.14762260247449407</v>
      </c>
      <c r="H93" s="397">
        <v>1.9902947843467213E-3</v>
      </c>
      <c r="I93" s="95"/>
      <c r="J93" s="88"/>
      <c r="K93" s="88"/>
      <c r="L93" s="88"/>
      <c r="M93" s="114" t="s">
        <v>352</v>
      </c>
      <c r="N93" s="1330"/>
      <c r="O93" s="185"/>
      <c r="P93" s="1051">
        <f>IF(AND(ISNUMBER(G93),'Validn data - hide'!C56&gt;0),IF(G93/'Validn data - hide'!C56-1&gt;'Validn data - hide'!$L56,1,IF(G93/'Validn data - hide'!C56-1&lt;-'Validn data - hide'!$L56,-1,0)),0)</f>
        <v>1</v>
      </c>
      <c r="Q93" s="1051">
        <f>IF(AND(ISNUMBER(H93),'Validn data - hide'!D56&gt;0),IF(H93/'Validn data - hide'!D56-1&gt;'Validn data - hide'!$L56,1,IF(H93/'Validn data - hide'!D56-1&lt;-'Validn data - hide'!$L56,-1,0)),0)</f>
        <v>-1</v>
      </c>
      <c r="R93" s="36"/>
      <c r="S93" s="36"/>
      <c r="T93" s="36"/>
    </row>
    <row r="94" spans="1:20" s="191" customFormat="1" x14ac:dyDescent="0.25">
      <c r="A94" s="185"/>
      <c r="B94" s="172" t="s">
        <v>529</v>
      </c>
      <c r="C94" s="376" t="s">
        <v>122</v>
      </c>
      <c r="D94" s="88"/>
      <c r="E94" s="88"/>
      <c r="F94" s="109" t="s">
        <v>478</v>
      </c>
      <c r="G94" s="396">
        <v>3.1972609903424321E-2</v>
      </c>
      <c r="H94" s="397">
        <v>1.6424918837476647E-2</v>
      </c>
      <c r="I94" s="95"/>
      <c r="J94" s="88"/>
      <c r="K94" s="88"/>
      <c r="L94" s="88"/>
      <c r="M94" s="114" t="s">
        <v>99</v>
      </c>
      <c r="N94" s="1331"/>
      <c r="O94" s="185"/>
      <c r="P94" s="1051">
        <f>IF(AND(ISNUMBER(G94),'Validn data - hide'!C57&gt;0),IF(G94/'Validn data - hide'!C57-1&gt;'Validn data - hide'!$L57,1,IF(G94/'Validn data - hide'!C57-1&lt;-'Validn data - hide'!$L57,-1,0)),0)</f>
        <v>-1</v>
      </c>
      <c r="Q94" s="1051">
        <f>IF(AND(ISNUMBER(H94),'Validn data - hide'!D57&gt;0),IF(H94/'Validn data - hide'!D57-1&gt;'Validn data - hide'!$L57,1,IF(H94/'Validn data - hide'!D57-1&lt;-'Validn data - hide'!$L57,-1,0)),0)</f>
        <v>0</v>
      </c>
      <c r="R94" s="36"/>
      <c r="S94" s="36"/>
      <c r="T94" s="36"/>
    </row>
    <row r="95" spans="1:20" s="191" customFormat="1" x14ac:dyDescent="0.25">
      <c r="A95" s="185"/>
      <c r="B95" s="377" t="s">
        <v>79</v>
      </c>
      <c r="C95" s="373" t="s">
        <v>20</v>
      </c>
      <c r="D95" s="88"/>
      <c r="E95" s="88"/>
      <c r="F95" s="109" t="s">
        <v>479</v>
      </c>
      <c r="G95" s="396">
        <v>6.3277295305105605E-2</v>
      </c>
      <c r="H95" s="397">
        <v>0.26017619533084013</v>
      </c>
      <c r="I95" s="95"/>
      <c r="J95" s="88"/>
      <c r="K95" s="88"/>
      <c r="L95" s="88"/>
      <c r="M95" s="114" t="s">
        <v>658</v>
      </c>
      <c r="N95" s="1331"/>
      <c r="O95" s="185"/>
      <c r="P95" s="1051">
        <f>IF(AND(ISNUMBER(G95),'Validn data - hide'!C58&gt;0),IF(G95/'Validn data - hide'!C58-1&gt;'Validn data - hide'!$L58,1,IF(G95/'Validn data - hide'!C58-1&lt;-'Validn data - hide'!$L58,-1,0)),0)</f>
        <v>0</v>
      </c>
      <c r="Q95" s="1051">
        <f>IF(AND(ISNUMBER(H95),'Validn data - hide'!D58&gt;0),IF(H95/'Validn data - hide'!D58-1&gt;'Validn data - hide'!$L58,1,IF(H95/'Validn data - hide'!D58-1&lt;-'Validn data - hide'!$L58,-1,0)),0)</f>
        <v>1</v>
      </c>
      <c r="R95" s="36"/>
      <c r="S95" s="36"/>
      <c r="T95" s="36"/>
    </row>
    <row r="96" spans="1:20" s="191" customFormat="1" x14ac:dyDescent="0.25">
      <c r="A96" s="185"/>
      <c r="B96" s="377" t="s">
        <v>473</v>
      </c>
      <c r="C96" s="373" t="s">
        <v>20</v>
      </c>
      <c r="D96" s="88"/>
      <c r="E96" s="88"/>
      <c r="F96" s="109" t="s">
        <v>480</v>
      </c>
      <c r="G96" s="396">
        <v>2.059076545908756E-2</v>
      </c>
      <c r="H96" s="397">
        <v>4.3573436316619869E-2</v>
      </c>
      <c r="I96" s="95"/>
      <c r="J96" s="88"/>
      <c r="K96" s="88"/>
      <c r="L96" s="88"/>
      <c r="M96" s="88"/>
      <c r="N96" s="88"/>
      <c r="O96" s="185"/>
      <c r="P96" s="1051">
        <f>IF(AND(ISNUMBER(G96),'Validn data - hide'!C59&gt;0),IF(G96/'Validn data - hide'!C59-1&gt;'Validn data - hide'!$L59,1,IF(G96/'Validn data - hide'!C59-1&lt;-'Validn data - hide'!$L59,-1,0)),0)</f>
        <v>-1</v>
      </c>
      <c r="Q96" s="1051">
        <f>IF(AND(ISNUMBER(H96),'Validn data - hide'!D59&gt;0),IF(H96/'Validn data - hide'!D59-1&gt;'Validn data - hide'!$L59,1,IF(H96/'Validn data - hide'!D59-1&lt;-'Validn data - hide'!$L59,-1,0)),0)</f>
        <v>-1</v>
      </c>
      <c r="R96" s="36"/>
      <c r="S96" s="36"/>
      <c r="T96" s="36"/>
    </row>
    <row r="97" spans="1:20" s="191" customFormat="1" x14ac:dyDescent="0.25">
      <c r="A97" s="185"/>
      <c r="B97" s="377" t="s">
        <v>474</v>
      </c>
      <c r="C97" s="373" t="s">
        <v>20</v>
      </c>
      <c r="D97" s="88"/>
      <c r="E97" s="88"/>
      <c r="F97" s="109" t="s">
        <v>481</v>
      </c>
      <c r="G97" s="396">
        <v>2.8408479313290036E-3</v>
      </c>
      <c r="H97" s="397">
        <v>2.3415232757020253E-5</v>
      </c>
      <c r="I97" s="95"/>
      <c r="J97" s="88"/>
      <c r="K97" s="88"/>
      <c r="L97" s="88"/>
      <c r="M97" s="88"/>
      <c r="N97" s="88"/>
      <c r="O97" s="185"/>
      <c r="P97" s="1051">
        <f>IF(AND(ISNUMBER(G97),'Validn data - hide'!C60&gt;0),IF(G97/'Validn data - hide'!C60-1&gt;'Validn data - hide'!$L60,1,IF(G97/'Validn data - hide'!C60-1&lt;-'Validn data - hide'!$L60,-1,0)),0)</f>
        <v>-1</v>
      </c>
      <c r="Q97" s="1051">
        <f>IF(AND(ISNUMBER(H97),'Validn data - hide'!D60&gt;0),IF(H97/'Validn data - hide'!D60-1&gt;'Validn data - hide'!$L60,1,IF(H97/'Validn data - hide'!D60-1&lt;-'Validn data - hide'!$L60,-1,0)),0)</f>
        <v>-1</v>
      </c>
      <c r="R97" s="36"/>
      <c r="S97" s="36"/>
      <c r="T97" s="36"/>
    </row>
    <row r="98" spans="1:20" s="191" customFormat="1" x14ac:dyDescent="0.25">
      <c r="A98" s="185"/>
      <c r="B98" s="377" t="s">
        <v>475</v>
      </c>
      <c r="C98" s="373" t="s">
        <v>20</v>
      </c>
      <c r="D98" s="88"/>
      <c r="E98" s="88"/>
      <c r="F98" s="109" t="s">
        <v>70</v>
      </c>
      <c r="G98" s="396">
        <v>3.1237025431938539E-2</v>
      </c>
      <c r="H98" s="397">
        <v>3.5122849135530381E-4</v>
      </c>
      <c r="I98" s="95"/>
      <c r="J98" s="88"/>
      <c r="K98" s="88"/>
      <c r="L98" s="88"/>
      <c r="M98" s="88"/>
      <c r="N98" s="88"/>
      <c r="O98" s="185"/>
      <c r="P98" s="1051">
        <f>IF(AND(ISNUMBER(G98),'Validn data - hide'!C61&gt;0),IF(G98/'Validn data - hide'!C61-1&gt;'Validn data - hide'!$L61,1,IF(G98/'Validn data - hide'!C61-1&lt;-'Validn data - hide'!$L61,-1,0)),0)</f>
        <v>0</v>
      </c>
      <c r="Q98" s="1051">
        <f>IF(AND(ISNUMBER(H98),'Validn data - hide'!D61&gt;0),IF(H98/'Validn data - hide'!D61-1&gt;'Validn data - hide'!$L61,1,IF(H98/'Validn data - hide'!D61-1&lt;-'Validn data - hide'!$L61,-1,0)),0)</f>
        <v>-1</v>
      </c>
      <c r="R98" s="36"/>
      <c r="S98" s="36"/>
      <c r="T98" s="36"/>
    </row>
    <row r="99" spans="1:20" s="191" customFormat="1" x14ac:dyDescent="0.25">
      <c r="A99" s="185"/>
      <c r="B99" s="377" t="s">
        <v>476</v>
      </c>
      <c r="C99" s="373" t="s">
        <v>20</v>
      </c>
      <c r="D99" s="88"/>
      <c r="E99" s="88"/>
      <c r="F99" s="109" t="s">
        <v>482</v>
      </c>
      <c r="G99" s="396">
        <v>1.4188862390794395E-3</v>
      </c>
      <c r="H99" s="397">
        <v>5.4437526354828552E-3</v>
      </c>
      <c r="I99" s="95"/>
      <c r="J99" s="88"/>
      <c r="K99" s="88"/>
      <c r="L99" s="88"/>
      <c r="M99" s="88"/>
      <c r="N99" s="88"/>
      <c r="O99" s="185"/>
      <c r="P99" s="1051">
        <f>IF(AND(ISNUMBER(G99),'Validn data - hide'!C62&gt;0),IF(G99/'Validn data - hide'!C62-1&gt;'Validn data - hide'!$L62,1,IF(G99/'Validn data - hide'!C62-1&lt;-'Validn data - hide'!$L62,-1,0)),0)</f>
        <v>-1</v>
      </c>
      <c r="Q99" s="1051">
        <f>IF(AND(ISNUMBER(H99),'Validn data - hide'!D62&gt;0),IF(H99/'Validn data - hide'!D62-1&gt;'Validn data - hide'!$L62,1,IF(H99/'Validn data - hide'!D62-1&lt;-'Validn data - hide'!$L62,-1,0)),0)</f>
        <v>0</v>
      </c>
      <c r="R99" s="36"/>
      <c r="S99" s="36"/>
      <c r="T99" s="36"/>
    </row>
    <row r="100" spans="1:20" s="191" customFormat="1" x14ac:dyDescent="0.25">
      <c r="A100" s="185"/>
      <c r="B100" s="377" t="s">
        <v>477</v>
      </c>
      <c r="C100" s="373" t="s">
        <v>61</v>
      </c>
      <c r="D100" s="88"/>
      <c r="E100" s="88"/>
      <c r="F100" s="109" t="s">
        <v>483</v>
      </c>
      <c r="G100" s="396">
        <v>1.985210553443165E-2</v>
      </c>
      <c r="H100" s="397">
        <v>4.2147418962636455E-4</v>
      </c>
      <c r="I100" s="95"/>
      <c r="J100" s="88"/>
      <c r="K100" s="88"/>
      <c r="L100" s="88"/>
      <c r="M100" s="88"/>
      <c r="N100" s="88"/>
      <c r="O100" s="185"/>
      <c r="P100" s="1051">
        <f>IF(AND(ISNUMBER(G100),'Validn data - hide'!C63&gt;0),IF(G100/'Validn data - hide'!C63-1&gt;'Validn data - hide'!$L63,1,IF(G100/'Validn data - hide'!C63-1&lt;-'Validn data - hide'!$L63,-1,0)),0)</f>
        <v>0</v>
      </c>
      <c r="Q100" s="1051">
        <f>IF(AND(ISNUMBER(H100),'Validn data - hide'!D63&gt;0),IF(H100/'Validn data - hide'!D63-1&gt;'Validn data - hide'!$L63,1,IF(H100/'Validn data - hide'!D63-1&lt;-'Validn data - hide'!$L63,-1,0)),0)</f>
        <v>-1</v>
      </c>
      <c r="R100" s="36"/>
      <c r="S100" s="36"/>
      <c r="T100" s="36"/>
    </row>
    <row r="101" spans="1:20" s="191" customFormat="1" x14ac:dyDescent="0.25">
      <c r="A101" s="185"/>
      <c r="B101" s="377" t="s">
        <v>478</v>
      </c>
      <c r="C101" s="373" t="s">
        <v>63</v>
      </c>
      <c r="D101" s="88"/>
      <c r="E101" s="88"/>
      <c r="F101" s="109" t="s">
        <v>484</v>
      </c>
      <c r="G101" s="396">
        <v>3.259440260761548E-2</v>
      </c>
      <c r="H101" s="397">
        <v>6.2632857819785656E-3</v>
      </c>
      <c r="I101" s="95"/>
      <c r="J101" s="88"/>
      <c r="K101" s="88"/>
      <c r="L101" s="88"/>
      <c r="M101" s="88"/>
      <c r="N101" s="88"/>
      <c r="O101" s="185"/>
      <c r="P101" s="1051">
        <f>IF(AND(ISNUMBER(G101),'Validn data - hide'!C64&gt;0),IF(G101/'Validn data - hide'!C64-1&gt;'Validn data - hide'!$L64,1,IF(G101/'Validn data - hide'!C64-1&lt;-'Validn data - hide'!$L64,-1,0)),0)</f>
        <v>-1</v>
      </c>
      <c r="Q101" s="1051">
        <f>IF(AND(ISNUMBER(H101),'Validn data - hide'!D64&gt;0),IF(H101/'Validn data - hide'!D64-1&gt;'Validn data - hide'!$L64,1,IF(H101/'Validn data - hide'!D64-1&lt;-'Validn data - hide'!$L64,-1,0)),0)</f>
        <v>-1</v>
      </c>
      <c r="R101" s="36"/>
      <c r="S101" s="36"/>
      <c r="T101" s="36"/>
    </row>
    <row r="102" spans="1:20" s="191" customFormat="1" x14ac:dyDescent="0.25">
      <c r="A102" s="185"/>
      <c r="B102" s="377" t="s">
        <v>479</v>
      </c>
      <c r="C102" s="373" t="s">
        <v>67</v>
      </c>
      <c r="D102" s="88"/>
      <c r="E102" s="88"/>
      <c r="F102" s="109" t="s">
        <v>485</v>
      </c>
      <c r="G102" s="396">
        <v>9.236600093281918E-3</v>
      </c>
      <c r="H102" s="397">
        <v>4.6830465514040507E-5</v>
      </c>
      <c r="I102" s="95"/>
      <c r="J102" s="88"/>
      <c r="K102" s="88"/>
      <c r="L102" s="88"/>
      <c r="M102" s="88"/>
      <c r="N102" s="88"/>
      <c r="O102" s="185"/>
      <c r="P102" s="1051">
        <f>IF(AND(ISNUMBER(G102),'Validn data - hide'!C65&gt;0),IF(G102/'Validn data - hide'!C65-1&gt;'Validn data - hide'!$L65,1,IF(G102/'Validn data - hide'!C65-1&lt;-'Validn data - hide'!$L65,-1,0)),0)</f>
        <v>1</v>
      </c>
      <c r="Q102" s="1051">
        <f>IF(AND(ISNUMBER(H102),'Validn data - hide'!D65&gt;0),IF(H102/'Validn data - hide'!D65-1&gt;'Validn data - hide'!$L65,1,IF(H102/'Validn data - hide'!D65-1&lt;-'Validn data - hide'!$L65,-1,0)),0)</f>
        <v>-1</v>
      </c>
      <c r="R102" s="36"/>
      <c r="S102" s="36"/>
      <c r="T102" s="36"/>
    </row>
    <row r="103" spans="1:20" s="191" customFormat="1" x14ac:dyDescent="0.25">
      <c r="A103" s="185"/>
      <c r="B103" s="377" t="s">
        <v>480</v>
      </c>
      <c r="C103" s="373" t="s">
        <v>27</v>
      </c>
      <c r="D103" s="88"/>
      <c r="E103" s="88"/>
      <c r="F103" s="109" t="s">
        <v>486</v>
      </c>
      <c r="G103" s="396">
        <v>4.5478170526625054E-2</v>
      </c>
      <c r="H103" s="397">
        <v>4.3550021083862842E-2</v>
      </c>
      <c r="I103" s="95"/>
      <c r="J103" s="88"/>
      <c r="K103" s="88"/>
      <c r="L103" s="88"/>
      <c r="M103" s="88"/>
      <c r="N103" s="88"/>
      <c r="O103" s="185"/>
      <c r="P103" s="1051">
        <f>IF(AND(ISNUMBER(G103),'Validn data - hide'!C66&gt;0),IF(G103/'Validn data - hide'!C66-1&gt;'Validn data - hide'!$L66,1,IF(G103/'Validn data - hide'!C66-1&lt;-'Validn data - hide'!$L66,-1,0)),0)</f>
        <v>-1</v>
      </c>
      <c r="Q103" s="1051">
        <f>IF(AND(ISNUMBER(H103),'Validn data - hide'!D66&gt;0),IF(H103/'Validn data - hide'!D66-1&gt;'Validn data - hide'!$L66,1,IF(H103/'Validn data - hide'!D66-1&lt;-'Validn data - hide'!$L66,-1,0)),0)</f>
        <v>1</v>
      </c>
      <c r="R103" s="36"/>
      <c r="S103" s="36"/>
      <c r="T103" s="36"/>
    </row>
    <row r="104" spans="1:20" s="191" customFormat="1" x14ac:dyDescent="0.25">
      <c r="A104" s="185"/>
      <c r="B104" s="377" t="s">
        <v>481</v>
      </c>
      <c r="C104" s="373" t="s">
        <v>27</v>
      </c>
      <c r="D104" s="88"/>
      <c r="E104" s="88"/>
      <c r="F104" s="109" t="s">
        <v>487</v>
      </c>
      <c r="G104" s="396">
        <v>5.6724695031476324E-3</v>
      </c>
      <c r="H104" s="397">
        <v>1.6378088371962609E-2</v>
      </c>
      <c r="I104" s="95"/>
      <c r="J104" s="88"/>
      <c r="K104" s="88"/>
      <c r="L104" s="88"/>
      <c r="M104" s="88"/>
      <c r="N104" s="88"/>
      <c r="O104" s="185"/>
      <c r="P104" s="1051">
        <f>IF(AND(ISNUMBER(G104),'Validn data - hide'!C67&gt;0),IF(G104/'Validn data - hide'!C67-1&gt;'Validn data - hide'!$L67,1,IF(G104/'Validn data - hide'!C67-1&lt;-'Validn data - hide'!$L67,-1,0)),0)</f>
        <v>1</v>
      </c>
      <c r="Q104" s="1051">
        <f>IF(AND(ISNUMBER(H104),'Validn data - hide'!D67&gt;0),IF(H104/'Validn data - hide'!D67-1&gt;'Validn data - hide'!$L67,1,IF(H104/'Validn data - hide'!D67-1&lt;-'Validn data - hide'!$L67,-1,0)),0)</f>
        <v>1</v>
      </c>
      <c r="R104" s="1051"/>
      <c r="S104" s="36"/>
      <c r="T104" s="36"/>
    </row>
    <row r="105" spans="1:20" s="191" customFormat="1" x14ac:dyDescent="0.25">
      <c r="A105" s="185"/>
      <c r="B105" s="377" t="s">
        <v>70</v>
      </c>
      <c r="C105" s="373" t="s">
        <v>30</v>
      </c>
      <c r="D105" s="88"/>
      <c r="E105" s="88"/>
      <c r="F105" s="109" t="s">
        <v>488</v>
      </c>
      <c r="G105" s="396">
        <v>2.8439233844991282E-3</v>
      </c>
      <c r="H105" s="397">
        <v>1.6261012208177508E-2</v>
      </c>
      <c r="I105" s="95"/>
      <c r="J105" s="88"/>
      <c r="K105" s="88"/>
      <c r="L105" s="88"/>
      <c r="M105" s="88"/>
      <c r="N105" s="88"/>
      <c r="O105" s="185"/>
      <c r="P105" s="1051">
        <f>IF(AND(ISNUMBER(G105),'Validn data - hide'!C68&gt;0),IF(G105/'Validn data - hide'!C68-1&gt;'Validn data - hide'!$L68,1,IF(G105/'Validn data - hide'!C68-1&lt;-'Validn data - hide'!$L68,-1,0)),0)</f>
        <v>-1</v>
      </c>
      <c r="Q105" s="1051">
        <f>IF(AND(ISNUMBER(H105),'Validn data - hide'!D68&gt;0),IF(H105/'Validn data - hide'!D68-1&gt;'Validn data - hide'!$L68,1,IF(H105/'Validn data - hide'!D68-1&lt;-'Validn data - hide'!$L68,-1,0)),0)</f>
        <v>1</v>
      </c>
      <c r="R105" s="1051"/>
      <c r="S105" s="36"/>
      <c r="T105" s="36"/>
    </row>
    <row r="106" spans="1:20" s="191" customFormat="1" x14ac:dyDescent="0.25">
      <c r="A106" s="185"/>
      <c r="B106" s="377" t="s">
        <v>482</v>
      </c>
      <c r="C106" s="373" t="s">
        <v>30</v>
      </c>
      <c r="D106" s="88"/>
      <c r="E106" s="88"/>
      <c r="F106" s="109" t="s">
        <v>489</v>
      </c>
      <c r="G106" s="396">
        <v>2.1298670852042214E-3</v>
      </c>
      <c r="H106" s="397">
        <v>1.0864090038208693E-2</v>
      </c>
      <c r="I106" s="95"/>
      <c r="J106" s="88"/>
      <c r="K106" s="88"/>
      <c r="L106" s="88"/>
      <c r="M106" s="88"/>
      <c r="N106" s="88"/>
      <c r="O106" s="185"/>
      <c r="P106" s="1051">
        <f>IF(AND(ISNUMBER(G106),'Validn data - hide'!C69&gt;0),IF(G106/'Validn data - hide'!C69-1&gt;'Validn data - hide'!$L69,1,IF(G106/'Validn data - hide'!C69-1&lt;-'Validn data - hide'!$L69,-1,0)),0)</f>
        <v>-1</v>
      </c>
      <c r="Q106" s="1051">
        <f>IF(AND(ISNUMBER(H106),'Validn data - hide'!D69&gt;0),IF(H106/'Validn data - hide'!D69-1&gt;'Validn data - hide'!$L69,1,IF(H106/'Validn data - hide'!D69-1&lt;-'Validn data - hide'!$L69,-1,0)),0)</f>
        <v>-1</v>
      </c>
      <c r="R106" s="1051"/>
      <c r="S106" s="36"/>
      <c r="T106" s="36"/>
    </row>
    <row r="107" spans="1:20" s="191" customFormat="1" x14ac:dyDescent="0.25">
      <c r="A107" s="185"/>
      <c r="B107" s="377" t="s">
        <v>483</v>
      </c>
      <c r="C107" s="373" t="s">
        <v>32</v>
      </c>
      <c r="D107" s="88"/>
      <c r="E107" s="88"/>
      <c r="F107" s="109" t="s">
        <v>490</v>
      </c>
      <c r="G107" s="396">
        <v>1.4219616922495641E-3</v>
      </c>
      <c r="H107" s="397">
        <v>9.7566073249065036E-2</v>
      </c>
      <c r="I107" s="95"/>
      <c r="J107" s="88"/>
      <c r="K107" s="88"/>
      <c r="L107" s="88"/>
      <c r="M107" s="88"/>
      <c r="N107" s="88"/>
      <c r="O107" s="185"/>
      <c r="P107" s="1051">
        <f>IF(AND(ISNUMBER(G107),'Validn data - hide'!C70&gt;0),IF(G107/'Validn data - hide'!C70-1&gt;'Validn data - hide'!$L70,1,IF(G107/'Validn data - hide'!C70-1&lt;-'Validn data - hide'!$L70,-1,0)),0)</f>
        <v>0</v>
      </c>
      <c r="Q107" s="1051">
        <f>IF(AND(ISNUMBER(H107),'Validn data - hide'!D70&gt;0),IF(H107/'Validn data - hide'!D70-1&gt;'Validn data - hide'!$L70,1,IF(H107/'Validn data - hide'!D70-1&lt;-'Validn data - hide'!$L70,-1,0)),0)</f>
        <v>1</v>
      </c>
      <c r="R107" s="1051"/>
      <c r="S107" s="36"/>
      <c r="T107" s="36"/>
    </row>
    <row r="108" spans="1:20" s="191" customFormat="1" x14ac:dyDescent="0.25">
      <c r="A108" s="185"/>
      <c r="B108" s="377" t="s">
        <v>484</v>
      </c>
      <c r="C108" s="373" t="s">
        <v>32</v>
      </c>
      <c r="D108" s="88"/>
      <c r="E108" s="88"/>
      <c r="F108" s="109" t="s">
        <v>491</v>
      </c>
      <c r="G108" s="396">
        <v>1.4219616922495641E-3</v>
      </c>
      <c r="H108" s="397">
        <v>9.21457358463392E-2</v>
      </c>
      <c r="I108" s="95"/>
      <c r="J108" s="88"/>
      <c r="K108" s="88"/>
      <c r="L108" s="88"/>
      <c r="M108" s="88"/>
      <c r="N108" s="88"/>
      <c r="O108" s="185"/>
      <c r="P108" s="1051">
        <f>IF(AND(ISNUMBER(G108),'Validn data - hide'!C71&gt;0),IF(G108/'Validn data - hide'!C71-1&gt;'Validn data - hide'!$L71,1,IF(G108/'Validn data - hide'!C71-1&lt;-'Validn data - hide'!$L71,-1,0)),0)</f>
        <v>-1</v>
      </c>
      <c r="Q108" s="1051">
        <f>IF(AND(ISNUMBER(H108),'Validn data - hide'!D71&gt;0),IF(H108/'Validn data - hide'!D71-1&gt;'Validn data - hide'!$L71,1,IF(H108/'Validn data - hide'!D71-1&lt;-'Validn data - hide'!$L71,-1,0)),0)</f>
        <v>1</v>
      </c>
      <c r="R108" s="1051"/>
      <c r="S108" s="36"/>
      <c r="T108" s="36"/>
    </row>
    <row r="109" spans="1:20" s="191" customFormat="1" x14ac:dyDescent="0.25">
      <c r="A109" s="185"/>
      <c r="B109" s="377" t="s">
        <v>485</v>
      </c>
      <c r="C109" s="373" t="s">
        <v>32</v>
      </c>
      <c r="D109" s="88"/>
      <c r="E109" s="88"/>
      <c r="F109" s="109" t="s">
        <v>492</v>
      </c>
      <c r="G109" s="396">
        <v>1.2797655230246077E-2</v>
      </c>
      <c r="H109" s="397">
        <v>0.26017619533084013</v>
      </c>
      <c r="I109" s="95"/>
      <c r="J109" s="88"/>
      <c r="K109" s="88"/>
      <c r="L109" s="88"/>
      <c r="M109" s="88"/>
      <c r="N109" s="88"/>
      <c r="O109" s="185"/>
      <c r="P109" s="1051">
        <f>IF(AND(ISNUMBER(G109),'Validn data - hide'!C72&gt;0),IF(G109/'Validn data - hide'!C72-1&gt;'Validn data - hide'!$L72,1,IF(G109/'Validn data - hide'!C72-1&lt;-'Validn data - hide'!$L72,-1,0)),0)</f>
        <v>1</v>
      </c>
      <c r="Q109" s="1051">
        <f>IF(AND(ISNUMBER(H109),'Validn data - hide'!D72&gt;0),IF(H109/'Validn data - hide'!D72-1&gt;'Validn data - hide'!$L72,1,IF(H109/'Validn data - hide'!D72-1&lt;-'Validn data - hide'!$L72,-1,0)),0)</f>
        <v>1</v>
      </c>
      <c r="R109" s="1051"/>
      <c r="S109" s="36"/>
      <c r="T109" s="36"/>
    </row>
    <row r="110" spans="1:20" s="191" customFormat="1" x14ac:dyDescent="0.25">
      <c r="A110" s="185"/>
      <c r="B110" s="377" t="s">
        <v>486</v>
      </c>
      <c r="C110" s="373" t="s">
        <v>32</v>
      </c>
      <c r="D110" s="88"/>
      <c r="E110" s="88"/>
      <c r="F110" s="109" t="s">
        <v>493</v>
      </c>
      <c r="G110" s="396">
        <v>0.34340374867826973</v>
      </c>
      <c r="H110" s="397">
        <v>5.4203374027258361E-3</v>
      </c>
      <c r="I110" s="95"/>
      <c r="J110" s="88"/>
      <c r="K110" s="88"/>
      <c r="L110" s="88"/>
      <c r="M110" s="88"/>
      <c r="N110" s="88"/>
      <c r="O110" s="185"/>
      <c r="P110" s="1051">
        <f>IF(AND(ISNUMBER(G110),'Validn data - hide'!C73&gt;0),IF(G110/'Validn data - hide'!C73-1&gt;'Validn data - hide'!$L73,1,IF(G110/'Validn data - hide'!C73-1&lt;-'Validn data - hide'!$L73,-1,0)),0)</f>
        <v>1</v>
      </c>
      <c r="Q110" s="1051">
        <f>IF(AND(ISNUMBER(H110),'Validn data - hide'!D73&gt;0),IF(H110/'Validn data - hide'!D73-1&gt;'Validn data - hide'!$L73,1,IF(H110/'Validn data - hide'!D73-1&lt;-'Validn data - hide'!$L73,-1,0)),0)</f>
        <v>-1</v>
      </c>
      <c r="R110" s="1051"/>
      <c r="S110" s="36"/>
      <c r="T110" s="36"/>
    </row>
    <row r="111" spans="1:20" s="191" customFormat="1" x14ac:dyDescent="0.25">
      <c r="A111" s="185"/>
      <c r="B111" s="377" t="s">
        <v>487</v>
      </c>
      <c r="C111" s="373" t="s">
        <v>28</v>
      </c>
      <c r="D111" s="88"/>
      <c r="E111" s="88"/>
      <c r="F111" s="109" t="s">
        <v>42</v>
      </c>
      <c r="G111" s="396">
        <v>0</v>
      </c>
      <c r="H111" s="397">
        <v>0</v>
      </c>
      <c r="I111" s="95"/>
      <c r="J111" s="88"/>
      <c r="K111" s="88"/>
      <c r="L111" s="88"/>
      <c r="M111" s="88"/>
      <c r="N111" s="88"/>
      <c r="O111" s="185"/>
      <c r="P111" s="1051">
        <f>IF(AND(ISNUMBER(G111),'Validn data - hide'!C74&gt;0),IF(G111/'Validn data - hide'!C74-1&gt;'Validn data - hide'!$L74,1,IF(G111/'Validn data - hide'!C74-1&lt;-'Validn data - hide'!$L74,-1,0)),0)</f>
        <v>0</v>
      </c>
      <c r="Q111" s="1051">
        <f>IF(AND(ISNUMBER(H111),'Validn data - hide'!D74&gt;0),IF(H111/'Validn data - hide'!D74-1&gt;'Validn data - hide'!$L74,1,IF(H111/'Validn data - hide'!D74-1&lt;-'Validn data - hide'!$L74,-1,0)),0)</f>
        <v>0</v>
      </c>
      <c r="R111" s="1051"/>
      <c r="S111" s="36"/>
      <c r="T111" s="36"/>
    </row>
    <row r="112" spans="1:20" s="191" customFormat="1" x14ac:dyDescent="0.25">
      <c r="A112" s="185"/>
      <c r="B112" s="377" t="s">
        <v>488</v>
      </c>
      <c r="C112" s="373" t="s">
        <v>28</v>
      </c>
      <c r="D112" s="88"/>
      <c r="E112" s="88"/>
      <c r="F112" s="109" t="s">
        <v>494</v>
      </c>
      <c r="G112" s="396">
        <v>2.1298670852042214E-3</v>
      </c>
      <c r="H112" s="397">
        <v>2.3415232757020253E-5</v>
      </c>
      <c r="I112" s="95"/>
      <c r="J112" s="88"/>
      <c r="K112" s="88"/>
      <c r="L112" s="88"/>
      <c r="M112" s="88"/>
      <c r="N112" s="88"/>
      <c r="O112" s="185"/>
      <c r="P112" s="1051">
        <f>IF(AND(ISNUMBER(G112),'Validn data - hide'!C75&gt;0),IF(G112/'Validn data - hide'!C75-1&gt;'Validn data - hide'!$L75,1,IF(G112/'Validn data - hide'!C75-1&lt;-'Validn data - hide'!$L75,-1,0)),0)</f>
        <v>-1</v>
      </c>
      <c r="Q112" s="1051">
        <f>IF(AND(ISNUMBER(H112),'Validn data - hide'!D75&gt;0),IF(H112/'Validn data - hide'!D75-1&gt;'Validn data - hide'!$L75,1,IF(H112/'Validn data - hide'!D75-1&lt;-'Validn data - hide'!$L75,-1,0)),0)</f>
        <v>0</v>
      </c>
      <c r="R112" s="1051"/>
      <c r="S112" s="36"/>
      <c r="T112" s="36"/>
    </row>
    <row r="113" spans="1:20" s="191" customFormat="1" x14ac:dyDescent="0.25">
      <c r="A113" s="185"/>
      <c r="B113" s="377" t="s">
        <v>489</v>
      </c>
      <c r="C113" s="373" t="s">
        <v>28</v>
      </c>
      <c r="D113" s="88"/>
      <c r="E113" s="88"/>
      <c r="F113" s="109" t="s">
        <v>495</v>
      </c>
      <c r="G113" s="396">
        <v>0</v>
      </c>
      <c r="H113" s="397">
        <v>0</v>
      </c>
      <c r="I113" s="95"/>
      <c r="J113" s="88"/>
      <c r="K113" s="88"/>
      <c r="L113" s="88"/>
      <c r="M113" s="88"/>
      <c r="N113" s="88"/>
      <c r="O113" s="185"/>
      <c r="P113" s="1051">
        <f>IF(AND(ISNUMBER(G113),'Validn data - hide'!C76&gt;0),IF(G113/'Validn data - hide'!C76-1&gt;'Validn data - hide'!$L76,1,IF(G113/'Validn data - hide'!C76-1&lt;-'Validn data - hide'!$L76,-1,0)),0)</f>
        <v>0</v>
      </c>
      <c r="Q113" s="1051">
        <f>IF(AND(ISNUMBER(H113),'Validn data - hide'!D76&gt;0),IF(H113/'Validn data - hide'!D76-1&gt;'Validn data - hide'!$L76,1,IF(H113/'Validn data - hide'!D76-1&lt;-'Validn data - hide'!$L76,-1,0)),0)</f>
        <v>0</v>
      </c>
      <c r="R113" s="1051"/>
      <c r="S113" s="36"/>
      <c r="T113" s="36"/>
    </row>
    <row r="114" spans="1:20" s="191" customFormat="1" x14ac:dyDescent="0.25">
      <c r="A114" s="185"/>
      <c r="B114" s="377" t="s">
        <v>490</v>
      </c>
      <c r="C114" s="373" t="s">
        <v>25</v>
      </c>
      <c r="D114" s="88"/>
      <c r="E114" s="88"/>
      <c r="F114" s="109" t="s">
        <v>373</v>
      </c>
      <c r="G114" s="396">
        <v>1.274229707318383E-2</v>
      </c>
      <c r="H114" s="397">
        <v>4.2147418962636455E-4</v>
      </c>
      <c r="I114" s="95"/>
      <c r="J114" s="88"/>
      <c r="K114" s="88"/>
      <c r="L114" s="88"/>
      <c r="M114" s="88"/>
      <c r="N114" s="88"/>
      <c r="O114" s="185"/>
      <c r="P114" s="1051">
        <f>IF(AND(ISNUMBER(G114),'Validn data - hide'!C77&gt;0),IF(G114/'Validn data - hide'!C77-1&gt;'Validn data - hide'!$L77,1,IF(G114/'Validn data - hide'!C77-1&lt;-'Validn data - hide'!$L77,-1,0)),0)</f>
        <v>0</v>
      </c>
      <c r="Q114" s="1051">
        <f>IF(AND(ISNUMBER(H114),'Validn data - hide'!D77&gt;0),IF(H114/'Validn data - hide'!D77-1&gt;'Validn data - hide'!$L77,1,IF(H114/'Validn data - hide'!D77-1&lt;-'Validn data - hide'!$L77,-1,0)),0)</f>
        <v>-1</v>
      </c>
      <c r="R114" s="1051"/>
      <c r="S114" s="36"/>
      <c r="T114" s="36"/>
    </row>
    <row r="115" spans="1:20" s="191" customFormat="1" x14ac:dyDescent="0.25">
      <c r="A115" s="185"/>
      <c r="B115" s="377" t="s">
        <v>491</v>
      </c>
      <c r="C115" s="373" t="s">
        <v>25</v>
      </c>
      <c r="D115" s="88"/>
      <c r="E115" s="88"/>
      <c r="F115" s="109" t="s">
        <v>496</v>
      </c>
      <c r="G115" s="396">
        <v>0</v>
      </c>
      <c r="H115" s="397">
        <v>0</v>
      </c>
      <c r="I115" s="95"/>
      <c r="J115" s="88"/>
      <c r="K115" s="88"/>
      <c r="L115" s="88"/>
      <c r="M115" s="88"/>
      <c r="N115" s="88"/>
      <c r="O115" s="185"/>
      <c r="P115" s="1051">
        <f>IF(AND(ISNUMBER(G115),'Validn data - hide'!C78&gt;0),IF(G115/'Validn data - hide'!C78-1&gt;'Validn data - hide'!$L78,1,IF(G115/'Validn data - hide'!C78-1&lt;-'Validn data - hide'!$L78,-1,0)),0)</f>
        <v>-1</v>
      </c>
      <c r="Q115" s="1051">
        <f>IF(AND(ISNUMBER(H115),'Validn data - hide'!D78&gt;0),IF(H115/'Validn data - hide'!D78-1&gt;'Validn data - hide'!$L78,1,IF(H115/'Validn data - hide'!D78-1&lt;-'Validn data - hide'!$L78,-1,0)),0)</f>
        <v>-1</v>
      </c>
      <c r="R115" s="1051"/>
      <c r="S115" s="36"/>
      <c r="T115" s="36"/>
    </row>
    <row r="116" spans="1:20" s="191" customFormat="1" x14ac:dyDescent="0.25">
      <c r="A116" s="185"/>
      <c r="B116" s="377" t="s">
        <v>492</v>
      </c>
      <c r="C116" s="373" t="s">
        <v>25</v>
      </c>
      <c r="D116" s="88"/>
      <c r="E116" s="88"/>
      <c r="F116" s="109" t="s">
        <v>497</v>
      </c>
      <c r="G116" s="396">
        <v>0</v>
      </c>
      <c r="H116" s="397">
        <v>0</v>
      </c>
      <c r="I116" s="95"/>
      <c r="J116" s="88"/>
      <c r="K116" s="88"/>
      <c r="L116" s="88"/>
      <c r="M116" s="88"/>
      <c r="N116" s="88"/>
      <c r="O116" s="185"/>
      <c r="P116" s="1051">
        <f>IF(AND(ISNUMBER(G116),'Validn data - hide'!C79&gt;0),IF(G116/'Validn data - hide'!C79-1&gt;'Validn data - hide'!$L79,1,IF(G116/'Validn data - hide'!C79-1&lt;-'Validn data - hide'!$L79,-1,0)),0)</f>
        <v>-1</v>
      </c>
      <c r="Q116" s="1051">
        <f>IF(AND(ISNUMBER(H116),'Validn data - hide'!D79&gt;0),IF(H116/'Validn data - hide'!D79-1&gt;'Validn data - hide'!$L79,1,IF(H116/'Validn data - hide'!D79-1&lt;-'Validn data - hide'!$L79,-1,0)),0)</f>
        <v>-1</v>
      </c>
      <c r="R116" s="1051"/>
      <c r="S116" s="36"/>
      <c r="T116" s="36"/>
    </row>
    <row r="117" spans="1:20" s="191" customFormat="1" x14ac:dyDescent="0.25">
      <c r="A117" s="185"/>
      <c r="B117" s="377" t="s">
        <v>493</v>
      </c>
      <c r="C117" s="391" t="s">
        <v>532</v>
      </c>
      <c r="D117" s="88"/>
      <c r="E117" s="88"/>
      <c r="F117" s="109" t="s">
        <v>498</v>
      </c>
      <c r="G117" s="398">
        <v>4.8263660300891811E-2</v>
      </c>
      <c r="H117" s="400">
        <v>2.2313560895342893E-2</v>
      </c>
      <c r="I117" s="95"/>
      <c r="J117" s="88"/>
      <c r="K117" s="88"/>
      <c r="L117" s="88"/>
      <c r="M117" s="88"/>
      <c r="N117" s="88"/>
      <c r="O117" s="185"/>
      <c r="P117" s="1051">
        <f>IF(AND(ISNUMBER(G117),'Validn data - hide'!C80&gt;0),IF(G117/'Validn data - hide'!C80-1&gt;'Validn data - hide'!$L80,1,IF(G117/'Validn data - hide'!C80-1&lt;-'Validn data - hide'!$L80,-1,0)),0)</f>
        <v>0</v>
      </c>
      <c r="Q117" s="1051">
        <f>IF(AND(ISNUMBER(H117),'Validn data - hide'!D80&gt;0),IF(H117/'Validn data - hide'!D80-1&gt;'Validn data - hide'!$L80,1,IF(H117/'Validn data - hide'!D80-1&lt;-'Validn data - hide'!$L80,-1,0)),0)</f>
        <v>-1</v>
      </c>
      <c r="R117" s="1051"/>
      <c r="S117" s="36"/>
      <c r="T117" s="36"/>
    </row>
    <row r="118" spans="1:20" s="191" customFormat="1" x14ac:dyDescent="0.25">
      <c r="A118" s="185"/>
      <c r="B118" s="377" t="s">
        <v>42</v>
      </c>
      <c r="C118" s="373" t="s">
        <v>25</v>
      </c>
      <c r="D118" s="88"/>
      <c r="E118" s="88"/>
      <c r="F118" s="381" t="s">
        <v>397</v>
      </c>
      <c r="G118" s="382">
        <f>SUM(G88:G117)</f>
        <v>1.0000000000000002</v>
      </c>
      <c r="H118" s="382">
        <f>SUM(H88:H117)</f>
        <v>0.99999999999999989</v>
      </c>
      <c r="I118" s="95"/>
      <c r="J118" s="88"/>
      <c r="K118" s="88"/>
      <c r="L118" s="88"/>
      <c r="M118" s="88"/>
      <c r="N118" s="88"/>
      <c r="O118" s="185"/>
      <c r="P118" s="1051"/>
      <c r="Q118" s="1051"/>
      <c r="R118" s="1051"/>
      <c r="S118" s="36"/>
      <c r="T118" s="36"/>
    </row>
    <row r="119" spans="1:20" s="191" customFormat="1" x14ac:dyDescent="0.25">
      <c r="A119" s="185"/>
      <c r="B119" s="377" t="s">
        <v>494</v>
      </c>
      <c r="C119" s="439" t="s">
        <v>531</v>
      </c>
      <c r="D119" s="88"/>
      <c r="E119" s="88"/>
      <c r="F119" s="195"/>
      <c r="G119" s="608" t="s">
        <v>17</v>
      </c>
      <c r="H119" s="88"/>
      <c r="I119" s="608" t="s">
        <v>18</v>
      </c>
      <c r="J119" s="88"/>
      <c r="K119" s="88"/>
      <c r="L119" s="88"/>
      <c r="M119" s="88"/>
      <c r="N119" s="88"/>
      <c r="O119" s="185"/>
      <c r="P119" s="1051"/>
      <c r="Q119" s="1051"/>
      <c r="R119" s="1051"/>
      <c r="S119" s="36"/>
      <c r="T119" s="36"/>
    </row>
    <row r="120" spans="1:20" s="191" customFormat="1" x14ac:dyDescent="0.25">
      <c r="A120" s="185"/>
      <c r="B120" s="377" t="s">
        <v>495</v>
      </c>
      <c r="C120" s="373" t="s">
        <v>32</v>
      </c>
      <c r="D120" s="88"/>
      <c r="E120" s="88"/>
      <c r="F120" s="95"/>
      <c r="G120" s="98" t="s">
        <v>806</v>
      </c>
      <c r="H120" s="98" t="s">
        <v>704</v>
      </c>
      <c r="I120" s="98" t="s">
        <v>806</v>
      </c>
      <c r="J120" s="98" t="s">
        <v>704</v>
      </c>
      <c r="K120" s="88"/>
      <c r="L120" s="88"/>
      <c r="M120" s="88"/>
      <c r="N120" s="88"/>
      <c r="O120" s="185"/>
      <c r="P120" s="1051"/>
      <c r="Q120" s="1051"/>
      <c r="R120" s="1051"/>
      <c r="S120" s="36"/>
      <c r="T120" s="36"/>
    </row>
    <row r="121" spans="1:20" s="191" customFormat="1" x14ac:dyDescent="0.25">
      <c r="A121" s="185"/>
      <c r="B121" s="377" t="s">
        <v>373</v>
      </c>
      <c r="C121" s="373" t="s">
        <v>65</v>
      </c>
      <c r="D121" s="88"/>
      <c r="E121" s="88"/>
      <c r="F121" s="186" t="s">
        <v>25</v>
      </c>
      <c r="G121" s="383">
        <f>SUMIF($C$95:$C$124,$F121,G$88:G$117)</f>
        <v>1.5641578614745206E-2</v>
      </c>
      <c r="H121" s="605">
        <f t="shared" ref="H121:H130" si="4">G121/$G$131</f>
        <v>2.5712215399305148E-2</v>
      </c>
      <c r="I121" s="383">
        <f>SUMIF($C$95:$C$124,$F121,H$88:H$117)</f>
        <v>0.44988800442624438</v>
      </c>
      <c r="J121" s="384">
        <f t="shared" ref="J121:J130" si="5">I121/$I$131</f>
        <v>0.46272106333721286</v>
      </c>
      <c r="K121" s="88"/>
      <c r="L121" s="88"/>
      <c r="M121" s="88"/>
      <c r="N121" s="88"/>
      <c r="O121" s="185"/>
      <c r="P121" s="1051"/>
      <c r="Q121" s="1051"/>
      <c r="R121" s="1051"/>
      <c r="S121" s="36"/>
      <c r="T121" s="36"/>
    </row>
    <row r="122" spans="1:20" s="191" customFormat="1" x14ac:dyDescent="0.25">
      <c r="A122" s="185"/>
      <c r="B122" s="377" t="s">
        <v>496</v>
      </c>
      <c r="C122" s="373" t="s">
        <v>25</v>
      </c>
      <c r="D122" s="88"/>
      <c r="E122" s="88"/>
      <c r="F122" s="186" t="s">
        <v>28</v>
      </c>
      <c r="G122" s="385">
        <f>SUMIF($C$95:$C$124,$F122,G$88:G$117)+G112/2</f>
        <v>1.1711193515453093E-2</v>
      </c>
      <c r="H122" s="606">
        <f t="shared" si="4"/>
        <v>1.9251300502905199E-2</v>
      </c>
      <c r="I122" s="385">
        <f>SUMIF($C$95:$C$124,$F122,H$88:H$117)+H112/2</f>
        <v>4.3514898234727324E-2</v>
      </c>
      <c r="J122" s="386">
        <f t="shared" si="5"/>
        <v>4.4756161053599849E-2</v>
      </c>
      <c r="K122" s="88"/>
      <c r="L122" s="88"/>
      <c r="M122" s="88"/>
      <c r="N122" s="88"/>
      <c r="O122" s="185"/>
      <c r="P122" s="1051"/>
      <c r="Q122" s="1051"/>
      <c r="R122" s="1051"/>
      <c r="S122" s="36"/>
      <c r="T122" s="36"/>
    </row>
    <row r="123" spans="1:20" s="191" customFormat="1" x14ac:dyDescent="0.25">
      <c r="A123" s="185"/>
      <c r="B123" s="377" t="s">
        <v>497</v>
      </c>
      <c r="C123" s="373" t="s">
        <v>25</v>
      </c>
      <c r="D123" s="88"/>
      <c r="E123" s="88"/>
      <c r="F123" s="1258" t="s">
        <v>61</v>
      </c>
      <c r="G123" s="385">
        <f>SUMIF($C$95:$C$124,$F123,G$88:G$117)</f>
        <v>0.14762260247449407</v>
      </c>
      <c r="H123" s="606">
        <f t="shared" si="4"/>
        <v>0.24266758785152318</v>
      </c>
      <c r="I123" s="385">
        <f>SUMIF($C$95:$C$124,$F123,H$88:H$117)</f>
        <v>1.9902947843467213E-3</v>
      </c>
      <c r="J123" s="386">
        <f t="shared" si="5"/>
        <v>2.0470679589288904E-3</v>
      </c>
      <c r="K123" s="88"/>
      <c r="L123" s="88"/>
      <c r="M123" s="88"/>
      <c r="N123" s="88"/>
      <c r="O123" s="185"/>
      <c r="P123" s="1051"/>
      <c r="Q123" s="1051"/>
      <c r="R123" s="1051"/>
      <c r="S123" s="36"/>
      <c r="T123" s="36"/>
    </row>
    <row r="124" spans="1:20" s="191" customFormat="1" x14ac:dyDescent="0.25">
      <c r="A124" s="185"/>
      <c r="B124" s="378" t="s">
        <v>498</v>
      </c>
      <c r="C124" s="440" t="s">
        <v>107</v>
      </c>
      <c r="D124" s="88"/>
      <c r="E124" s="88"/>
      <c r="F124" s="1258" t="s">
        <v>63</v>
      </c>
      <c r="G124" s="385">
        <f>SUMIF($C$95:$C$124,$F124,G$88:G$117)</f>
        <v>3.1972609903424321E-2</v>
      </c>
      <c r="H124" s="606">
        <f t="shared" si="4"/>
        <v>5.2557779042828053E-2</v>
      </c>
      <c r="I124" s="385">
        <f>SUMIF($C$95:$C$124,$F124,H$88:H$117)</f>
        <v>1.6424918837476647E-2</v>
      </c>
      <c r="J124" s="386">
        <f t="shared" si="5"/>
        <v>1.6893439778189502E-2</v>
      </c>
      <c r="K124" s="88"/>
      <c r="L124" s="88"/>
      <c r="M124" s="88"/>
      <c r="N124" s="88"/>
      <c r="O124" s="185"/>
      <c r="P124" s="1051"/>
      <c r="Q124" s="1051"/>
      <c r="R124" s="1051"/>
      <c r="S124" s="36"/>
      <c r="T124" s="36"/>
    </row>
    <row r="125" spans="1:20" s="191" customFormat="1" x14ac:dyDescent="0.25">
      <c r="A125" s="185"/>
      <c r="B125" s="195"/>
      <c r="C125" s="195"/>
      <c r="D125" s="88"/>
      <c r="E125" s="88"/>
      <c r="F125" s="1258" t="s">
        <v>67</v>
      </c>
      <c r="G125" s="385">
        <f>SUMIF($C$95:$C$124,$F125,G$88:G$117)</f>
        <v>6.3277295305105605E-2</v>
      </c>
      <c r="H125" s="606">
        <f t="shared" si="4"/>
        <v>0.10401759866082537</v>
      </c>
      <c r="I125" s="385">
        <f>SUMIF($C$95:$C$124,$F125,H$88:H$117)</f>
        <v>0.26017619533084013</v>
      </c>
      <c r="J125" s="386">
        <f t="shared" si="5"/>
        <v>0.26759772337573756</v>
      </c>
      <c r="K125" s="88"/>
      <c r="L125" s="88"/>
      <c r="M125" s="88"/>
      <c r="N125" s="88"/>
      <c r="O125" s="185"/>
      <c r="P125" s="1051"/>
      <c r="Q125" s="1051"/>
      <c r="R125" s="1051"/>
      <c r="S125" s="36"/>
      <c r="T125" s="36"/>
    </row>
    <row r="126" spans="1:20" s="191" customFormat="1" x14ac:dyDescent="0.25">
      <c r="A126" s="185"/>
      <c r="B126" s="195"/>
      <c r="C126" s="195"/>
      <c r="D126" s="88"/>
      <c r="E126" s="88"/>
      <c r="F126" s="1258" t="s">
        <v>65</v>
      </c>
      <c r="G126" s="385">
        <f>SUMIF($C$95:$C$124,$F126,G$88:G$117)</f>
        <v>1.274229707318383E-2</v>
      </c>
      <c r="H126" s="606">
        <f t="shared" si="4"/>
        <v>2.0946267323605123E-2</v>
      </c>
      <c r="I126" s="385">
        <f>SUMIF($C$95:$C$124,$F126,H$88:H$117)</f>
        <v>4.2147418962636455E-4</v>
      </c>
      <c r="J126" s="386">
        <f t="shared" si="5"/>
        <v>4.3349674424376504E-4</v>
      </c>
      <c r="K126" s="88"/>
      <c r="L126" s="88"/>
      <c r="M126" s="88"/>
      <c r="N126" s="88"/>
      <c r="O126" s="185"/>
      <c r="P126" s="1051"/>
      <c r="Q126" s="1051"/>
      <c r="R126" s="1051"/>
      <c r="S126" s="36"/>
      <c r="T126" s="36"/>
    </row>
    <row r="127" spans="1:20" s="191" customFormat="1" x14ac:dyDescent="0.25">
      <c r="A127" s="185"/>
      <c r="B127" s="195"/>
      <c r="C127" s="195"/>
      <c r="D127" s="88"/>
      <c r="E127" s="88"/>
      <c r="F127" s="186" t="s">
        <v>20</v>
      </c>
      <c r="G127" s="385">
        <f>SUMIF($C$95:$C$124,$F127,G$88:G$117)</f>
        <v>0.16105127676844166</v>
      </c>
      <c r="H127" s="606">
        <f t="shared" si="4"/>
        <v>0.2647421478737193</v>
      </c>
      <c r="I127" s="385">
        <f>SUMIF($C$95:$C$124,$F127,H$88:H$117)</f>
        <v>0.10016516408509429</v>
      </c>
      <c r="J127" s="386">
        <f t="shared" si="5"/>
        <v>0.10302237618873814</v>
      </c>
      <c r="K127" s="88"/>
      <c r="L127" s="88"/>
      <c r="M127" s="88"/>
      <c r="N127" s="88"/>
      <c r="O127" s="185"/>
      <c r="P127" s="1051"/>
      <c r="Q127" s="1051"/>
      <c r="R127" s="1051"/>
      <c r="S127" s="36"/>
      <c r="T127" s="36"/>
    </row>
    <row r="128" spans="1:20" s="191" customFormat="1" x14ac:dyDescent="0.25">
      <c r="A128" s="185"/>
      <c r="B128" s="195"/>
      <c r="C128" s="195"/>
      <c r="D128" s="88"/>
      <c r="E128" s="88"/>
      <c r="F128" s="380" t="s">
        <v>32</v>
      </c>
      <c r="G128" s="385">
        <f>SUMIF($C$95:$C$124,$F128,G$88:G$117)+G112/2</f>
        <v>0.10822621230455622</v>
      </c>
      <c r="H128" s="606">
        <f t="shared" si="4"/>
        <v>0.1779063195068056</v>
      </c>
      <c r="I128" s="385">
        <f>SUMIF($C$95:$C$124,$F128,H$88:H$117)+H112/2</f>
        <v>5.0293319137360321E-2</v>
      </c>
      <c r="J128" s="386">
        <f t="shared" si="5"/>
        <v>5.1727936466490938E-2</v>
      </c>
      <c r="K128" s="88"/>
      <c r="L128" s="88"/>
      <c r="M128" s="88"/>
      <c r="N128" s="88"/>
      <c r="O128" s="185"/>
      <c r="P128" s="1051"/>
      <c r="Q128" s="1051"/>
      <c r="R128" s="1051"/>
      <c r="S128" s="36"/>
      <c r="T128" s="1052"/>
    </row>
    <row r="129" spans="1:20" s="191" customFormat="1" x14ac:dyDescent="0.25">
      <c r="A129" s="185"/>
      <c r="B129" s="195"/>
      <c r="C129" s="195"/>
      <c r="D129" s="88"/>
      <c r="E129" s="88"/>
      <c r="F129" s="186" t="s">
        <v>30</v>
      </c>
      <c r="G129" s="385">
        <f>SUMIF($C$95:$C$124,$F129,G$88:G$117)</f>
        <v>3.265591167101798E-2</v>
      </c>
      <c r="H129" s="606">
        <f t="shared" si="4"/>
        <v>5.368101619579238E-2</v>
      </c>
      <c r="I129" s="385">
        <f>SUMIF($C$95:$C$124,$F129,H$88:H$117)</f>
        <v>5.7949811268381592E-3</v>
      </c>
      <c r="J129" s="386">
        <f t="shared" si="5"/>
        <v>5.9602830096556559E-3</v>
      </c>
      <c r="K129" s="88"/>
      <c r="L129" s="88"/>
      <c r="M129" s="88"/>
      <c r="N129" s="88"/>
      <c r="O129" s="185"/>
      <c r="P129" s="1051"/>
      <c r="Q129" s="1051"/>
      <c r="R129" s="1051"/>
      <c r="S129" s="36"/>
      <c r="T129" s="36"/>
    </row>
    <row r="130" spans="1:20" s="191" customFormat="1" x14ac:dyDescent="0.25">
      <c r="A130" s="185"/>
      <c r="B130" s="195"/>
      <c r="C130" s="195"/>
      <c r="D130" s="88"/>
      <c r="E130" s="88"/>
      <c r="F130" s="186" t="s">
        <v>27</v>
      </c>
      <c r="G130" s="387">
        <f>SUMIF($C$95:$C$124,$F130,G$88:G$117)</f>
        <v>2.3431613390416564E-2</v>
      </c>
      <c r="H130" s="607">
        <f t="shared" si="4"/>
        <v>3.8517767642690555E-2</v>
      </c>
      <c r="I130" s="387">
        <f>SUMIF($C$95:$C$124,$F130,H$88:H$117)</f>
        <v>4.359685154937689E-2</v>
      </c>
      <c r="J130" s="388">
        <f t="shared" si="5"/>
        <v>4.4840452087202796E-2</v>
      </c>
      <c r="K130" s="88"/>
      <c r="L130" s="88"/>
      <c r="M130" s="88"/>
      <c r="N130" s="88"/>
      <c r="O130" s="185"/>
      <c r="P130" s="1051"/>
      <c r="Q130" s="1051"/>
      <c r="R130" s="1051"/>
      <c r="S130" s="36"/>
      <c r="T130" s="36"/>
    </row>
    <row r="131" spans="1:20" s="191" customFormat="1" x14ac:dyDescent="0.25">
      <c r="A131" s="185"/>
      <c r="B131" s="195"/>
      <c r="C131" s="195"/>
      <c r="D131" s="88"/>
      <c r="E131" s="88"/>
      <c r="F131" s="327"/>
      <c r="G131" s="626">
        <f>SUM(G121:G130)</f>
        <v>0.60833259102083859</v>
      </c>
      <c r="H131" s="327">
        <f>SUM(H121:H130)</f>
        <v>0.99999999999999989</v>
      </c>
      <c r="I131" s="626">
        <f>SUM(I121:I130)</f>
        <v>0.97226610170193128</v>
      </c>
      <c r="J131" s="327">
        <f>SUM(J121:J130)</f>
        <v>0.99999999999999978</v>
      </c>
      <c r="K131" s="88"/>
      <c r="L131" s="88"/>
      <c r="M131" s="88"/>
      <c r="N131" s="88"/>
      <c r="O131" s="185"/>
      <c r="P131" s="1051"/>
      <c r="Q131" s="1051"/>
      <c r="R131" s="1051"/>
      <c r="S131" s="36"/>
      <c r="T131" s="36"/>
    </row>
    <row r="132" spans="1:20" s="191" customFormat="1" x14ac:dyDescent="0.25">
      <c r="A132" s="185"/>
      <c r="B132" s="195"/>
      <c r="C132" s="195"/>
      <c r="D132" s="88"/>
      <c r="E132" s="88"/>
      <c r="F132" s="327"/>
      <c r="G132" s="626"/>
      <c r="H132" s="327"/>
      <c r="I132" s="626"/>
      <c r="J132" s="327"/>
      <c r="K132" s="88"/>
      <c r="L132" s="88"/>
      <c r="M132" s="88"/>
      <c r="N132" s="88"/>
      <c r="O132" s="185"/>
      <c r="P132" s="1051"/>
      <c r="Q132" s="1051"/>
      <c r="R132" s="1051"/>
      <c r="S132" s="36"/>
      <c r="T132" s="36"/>
    </row>
    <row r="133" spans="1:20" s="191" customFormat="1" x14ac:dyDescent="0.25">
      <c r="A133" s="185"/>
      <c r="B133" s="195"/>
      <c r="C133" s="195"/>
      <c r="D133" s="88"/>
      <c r="E133" s="88"/>
      <c r="F133" s="327"/>
      <c r="G133" s="626"/>
      <c r="H133" s="327"/>
      <c r="I133" s="626"/>
      <c r="J133" s="327"/>
      <c r="K133" s="88"/>
      <c r="L133" s="88"/>
      <c r="M133" s="88"/>
      <c r="N133" s="88"/>
      <c r="O133" s="185"/>
      <c r="P133" s="1051"/>
      <c r="Q133" s="1051"/>
      <c r="R133" s="1051"/>
      <c r="S133" s="36"/>
      <c r="T133" s="36"/>
    </row>
    <row r="134" spans="1:20" s="188" customFormat="1" x14ac:dyDescent="0.25">
      <c r="A134" s="185"/>
      <c r="B134" s="194"/>
      <c r="M134" s="194"/>
      <c r="O134" s="185"/>
      <c r="P134" s="1051"/>
      <c r="Q134" s="1051"/>
      <c r="R134" s="1051"/>
      <c r="S134" s="36"/>
      <c r="T134" s="36"/>
    </row>
    <row r="135" spans="1:20" s="188" customFormat="1" x14ac:dyDescent="0.25">
      <c r="A135" s="185"/>
      <c r="B135" s="97" t="s">
        <v>130</v>
      </c>
      <c r="C135" s="37" t="s">
        <v>535</v>
      </c>
      <c r="F135" s="2" t="s">
        <v>103</v>
      </c>
      <c r="G135" s="34" t="s">
        <v>16</v>
      </c>
      <c r="H135" s="34" t="s">
        <v>17</v>
      </c>
      <c r="I135" s="34" t="s">
        <v>18</v>
      </c>
      <c r="M135" s="2592" t="s">
        <v>648</v>
      </c>
      <c r="N135" s="2586" t="s">
        <v>427</v>
      </c>
      <c r="O135" s="185"/>
      <c r="P135" s="1051"/>
      <c r="Q135" s="1051"/>
      <c r="R135" s="1051"/>
      <c r="S135" s="36"/>
      <c r="T135" s="36"/>
    </row>
    <row r="136" spans="1:20" s="188" customFormat="1" x14ac:dyDescent="0.25">
      <c r="A136" s="185"/>
      <c r="F136" s="194" t="s">
        <v>25</v>
      </c>
      <c r="G136" s="609">
        <f t="shared" ref="G136:G145" si="6">H75*G$29</f>
        <v>2321.0042582567021</v>
      </c>
      <c r="H136" s="610">
        <f t="shared" ref="H136:H145" si="7">H121*H$29</f>
        <v>2930.7211290835698</v>
      </c>
      <c r="I136" s="611">
        <f t="shared" ref="I136:I145" si="8">J121*I$29</f>
        <v>8668.6622945452564</v>
      </c>
      <c r="M136" s="2593"/>
      <c r="N136" s="2587"/>
      <c r="O136" s="185"/>
      <c r="P136" s="1051"/>
      <c r="Q136" s="1051"/>
      <c r="R136" s="1051"/>
      <c r="S136" s="36"/>
      <c r="T136" s="36"/>
    </row>
    <row r="137" spans="1:20" s="188" customFormat="1" x14ac:dyDescent="0.25">
      <c r="A137" s="185"/>
      <c r="D137" s="199"/>
      <c r="F137" s="194" t="s">
        <v>28</v>
      </c>
      <c r="G137" s="612">
        <f t="shared" si="6"/>
        <v>2042.4837472658978</v>
      </c>
      <c r="H137" s="309">
        <f t="shared" si="7"/>
        <v>2194.2952900015816</v>
      </c>
      <c r="I137" s="613">
        <f t="shared" si="8"/>
        <v>838.46636022098323</v>
      </c>
      <c r="L137" s="199"/>
      <c r="M137" s="2594"/>
      <c r="N137" s="2588"/>
      <c r="O137" s="185"/>
      <c r="P137" s="1051"/>
      <c r="Q137" s="1051"/>
      <c r="R137" s="1051"/>
      <c r="S137" s="36"/>
      <c r="T137" s="36"/>
    </row>
    <row r="138" spans="1:20" s="188" customFormat="1" ht="15" customHeight="1" x14ac:dyDescent="0.25">
      <c r="A138" s="185"/>
      <c r="D138" s="199"/>
      <c r="F138" s="194" t="s">
        <v>61</v>
      </c>
      <c r="G138" s="612">
        <f t="shared" si="6"/>
        <v>33468.881404061649</v>
      </c>
      <c r="H138" s="309">
        <f t="shared" si="7"/>
        <v>27659.655771218444</v>
      </c>
      <c r="I138" s="613">
        <f t="shared" si="8"/>
        <v>38.349974176573163</v>
      </c>
      <c r="L138" s="199"/>
      <c r="M138" s="113" t="s">
        <v>100</v>
      </c>
      <c r="N138" s="37" t="s">
        <v>102</v>
      </c>
      <c r="O138" s="185"/>
      <c r="P138" s="1051"/>
      <c r="Q138" s="1051"/>
      <c r="R138" s="1051"/>
      <c r="S138" s="36"/>
      <c r="T138" s="36"/>
    </row>
    <row r="139" spans="1:20" s="188" customFormat="1" x14ac:dyDescent="0.25">
      <c r="A139" s="185"/>
      <c r="B139" s="193"/>
      <c r="F139" s="194" t="s">
        <v>63</v>
      </c>
      <c r="G139" s="612">
        <f t="shared" si="6"/>
        <v>7334.3734560911789</v>
      </c>
      <c r="H139" s="309">
        <f t="shared" si="7"/>
        <v>5990.6231783778694</v>
      </c>
      <c r="I139" s="613">
        <f t="shared" si="8"/>
        <v>316.48337634381699</v>
      </c>
      <c r="M139" s="11"/>
      <c r="N139" s="11"/>
      <c r="O139" s="185"/>
      <c r="P139" s="1051"/>
      <c r="Q139" s="1051"/>
      <c r="R139" s="1051"/>
      <c r="S139" s="36"/>
      <c r="T139" s="36"/>
    </row>
    <row r="140" spans="1:20" s="188" customFormat="1" x14ac:dyDescent="0.25">
      <c r="A140" s="185"/>
      <c r="B140" s="194"/>
      <c r="F140" s="598" t="s">
        <v>67</v>
      </c>
      <c r="G140" s="612">
        <f t="shared" si="6"/>
        <v>2645.9448544126403</v>
      </c>
      <c r="H140" s="309">
        <f t="shared" si="7"/>
        <v>11856.099113110804</v>
      </c>
      <c r="I140" s="613">
        <f t="shared" si="8"/>
        <v>5013.202290821353</v>
      </c>
      <c r="M140" s="194"/>
      <c r="O140" s="185"/>
      <c r="P140" s="1051"/>
      <c r="Q140" s="1051"/>
      <c r="R140" s="1051"/>
      <c r="S140" s="36"/>
      <c r="T140" s="36"/>
    </row>
    <row r="141" spans="1:20" s="188" customFormat="1" x14ac:dyDescent="0.25">
      <c r="A141" s="185"/>
      <c r="B141" s="194"/>
      <c r="F141" s="598" t="s">
        <v>65</v>
      </c>
      <c r="G141" s="612">
        <f t="shared" si="6"/>
        <v>5570.4102198160845</v>
      </c>
      <c r="H141" s="309">
        <f t="shared" si="7"/>
        <v>2387.4904308082782</v>
      </c>
      <c r="I141" s="613">
        <f t="shared" si="8"/>
        <v>8.1211710020978476</v>
      </c>
      <c r="M141" s="194"/>
      <c r="O141" s="185"/>
      <c r="P141" s="36"/>
      <c r="Q141" s="36"/>
      <c r="R141" s="36"/>
      <c r="S141" s="36"/>
      <c r="T141" s="36"/>
    </row>
    <row r="142" spans="1:20" s="188" customFormat="1" x14ac:dyDescent="0.25">
      <c r="A142" s="185"/>
      <c r="B142" s="194"/>
      <c r="F142" s="194" t="s">
        <v>20</v>
      </c>
      <c r="G142" s="612">
        <f t="shared" si="6"/>
        <v>13415.404612723736</v>
      </c>
      <c r="H142" s="309">
        <f t="shared" si="7"/>
        <v>30175.750882728047</v>
      </c>
      <c r="I142" s="613">
        <f t="shared" si="8"/>
        <v>1930.0314135709441</v>
      </c>
      <c r="M142" s="194"/>
      <c r="O142" s="185"/>
      <c r="P142" s="36"/>
      <c r="Q142" s="36"/>
      <c r="R142" s="36"/>
      <c r="S142" s="36"/>
      <c r="T142" s="36"/>
    </row>
    <row r="143" spans="1:20" s="188" customFormat="1" x14ac:dyDescent="0.25">
      <c r="A143" s="185"/>
      <c r="B143" s="194"/>
      <c r="F143" s="374" t="s">
        <v>32</v>
      </c>
      <c r="G143" s="612">
        <f t="shared" si="6"/>
        <v>10862.299928641365</v>
      </c>
      <c r="H143" s="309">
        <f t="shared" si="7"/>
        <v>20278.058560063942</v>
      </c>
      <c r="I143" s="613">
        <f t="shared" si="8"/>
        <v>969.0762922865207</v>
      </c>
      <c r="M143" s="194"/>
      <c r="O143" s="185"/>
      <c r="P143" s="36"/>
      <c r="Q143" s="36"/>
      <c r="R143" s="36"/>
      <c r="S143" s="36"/>
      <c r="T143" s="36"/>
    </row>
    <row r="144" spans="1:20" s="188" customFormat="1" x14ac:dyDescent="0.25">
      <c r="A144" s="185"/>
      <c r="B144" s="194"/>
      <c r="F144" s="194" t="s">
        <v>30</v>
      </c>
      <c r="G144" s="612">
        <f t="shared" si="6"/>
        <v>3945.7072390363933</v>
      </c>
      <c r="H144" s="309">
        <f t="shared" si="7"/>
        <v>6118.6516195698014</v>
      </c>
      <c r="I144" s="613">
        <f t="shared" si="8"/>
        <v>111.66053306064292</v>
      </c>
      <c r="M144" s="194"/>
      <c r="O144" s="185"/>
      <c r="P144" s="36"/>
      <c r="Q144" s="36"/>
      <c r="R144" s="36"/>
      <c r="S144" s="36"/>
      <c r="T144" s="36"/>
    </row>
    <row r="145" spans="1:20" s="188" customFormat="1" x14ac:dyDescent="0.25">
      <c r="A145" s="185"/>
      <c r="B145" s="194"/>
      <c r="F145" s="194" t="s">
        <v>27</v>
      </c>
      <c r="G145" s="614">
        <f t="shared" si="6"/>
        <v>3852.8670687061253</v>
      </c>
      <c r="H145" s="615">
        <f t="shared" si="7"/>
        <v>4390.3192985313617</v>
      </c>
      <c r="I145" s="616">
        <f t="shared" si="8"/>
        <v>840.04547680472433</v>
      </c>
      <c r="M145" s="194"/>
      <c r="O145" s="185"/>
      <c r="P145" s="36"/>
      <c r="Q145" s="36"/>
      <c r="R145" s="36"/>
      <c r="S145" s="36"/>
      <c r="T145" s="36"/>
    </row>
    <row r="146" spans="1:20" s="188" customFormat="1" x14ac:dyDescent="0.25">
      <c r="A146" s="185"/>
      <c r="B146" s="194"/>
      <c r="F146" s="33" t="s">
        <v>37</v>
      </c>
      <c r="G146" s="328" t="str">
        <f>IF(SUM(G136:G145)=G29,"Ok","Error")</f>
        <v>Ok</v>
      </c>
      <c r="H146" s="328" t="str">
        <f>IF(SUM(H136:H145)=H29,"Ok","Error")</f>
        <v>Ok</v>
      </c>
      <c r="I146" s="328" t="str">
        <f>IF(SUM(I136:I145)=I29,"Ok","Error")</f>
        <v>Ok</v>
      </c>
      <c r="M146" s="194"/>
      <c r="O146" s="185"/>
      <c r="P146" s="36"/>
      <c r="Q146" s="36"/>
      <c r="R146" s="36"/>
      <c r="S146" s="36"/>
      <c r="T146" s="36"/>
    </row>
    <row r="147" spans="1:20" s="188" customFormat="1" x14ac:dyDescent="0.25">
      <c r="A147" s="185"/>
      <c r="B147" s="186"/>
      <c r="C147" s="187"/>
      <c r="D147" s="187"/>
      <c r="E147" s="187"/>
      <c r="F147" s="96"/>
      <c r="G147" s="620"/>
      <c r="H147" s="620"/>
      <c r="I147" s="620"/>
      <c r="J147" s="187"/>
      <c r="K147" s="187"/>
      <c r="L147" s="187"/>
      <c r="M147" s="186"/>
      <c r="N147" s="187"/>
      <c r="O147" s="185"/>
      <c r="P147" s="36"/>
      <c r="Q147" s="36"/>
      <c r="R147" s="36"/>
      <c r="S147" s="36"/>
      <c r="T147" s="36"/>
    </row>
    <row r="148" spans="1:20" s="188" customFormat="1" x14ac:dyDescent="0.25">
      <c r="A148" s="185"/>
      <c r="B148" s="100" t="s">
        <v>132</v>
      </c>
      <c r="C148" s="94" t="s">
        <v>707</v>
      </c>
      <c r="D148" s="187"/>
      <c r="E148" s="187"/>
      <c r="F148" s="89" t="s">
        <v>103</v>
      </c>
      <c r="G148" s="95" t="s">
        <v>16</v>
      </c>
      <c r="H148" s="95" t="s">
        <v>17</v>
      </c>
      <c r="I148" s="95" t="s">
        <v>18</v>
      </c>
      <c r="J148" s="187"/>
      <c r="K148" s="187"/>
      <c r="L148" s="187"/>
      <c r="M148" s="2609" t="s">
        <v>393</v>
      </c>
      <c r="N148" s="2612" t="s">
        <v>713</v>
      </c>
      <c r="O148" s="185"/>
      <c r="P148" s="36"/>
      <c r="Q148" s="36"/>
      <c r="R148" s="36"/>
      <c r="S148" s="36"/>
      <c r="T148" s="36"/>
    </row>
    <row r="149" spans="1:20" s="188" customFormat="1" x14ac:dyDescent="0.25">
      <c r="A149" s="185"/>
      <c r="B149" s="1456" t="s">
        <v>714</v>
      </c>
      <c r="C149" s="2623" t="s">
        <v>916</v>
      </c>
      <c r="D149" s="187"/>
      <c r="E149" s="187"/>
      <c r="F149" s="186" t="s">
        <v>25</v>
      </c>
      <c r="G149" s="990">
        <f t="shared" ref="G149:I150" si="9">G136</f>
        <v>2321.0042582567021</v>
      </c>
      <c r="H149" s="991">
        <f t="shared" si="9"/>
        <v>2930.7211290835698</v>
      </c>
      <c r="I149" s="992">
        <f t="shared" si="9"/>
        <v>8668.6622945452564</v>
      </c>
      <c r="J149" s="187"/>
      <c r="K149" s="187"/>
      <c r="L149" s="187"/>
      <c r="M149" s="2610"/>
      <c r="N149" s="2613"/>
      <c r="O149" s="185"/>
      <c r="P149" s="36"/>
      <c r="Q149" s="36"/>
      <c r="R149" s="36"/>
      <c r="S149" s="36"/>
      <c r="T149" s="36"/>
    </row>
    <row r="150" spans="1:20" s="188" customFormat="1" x14ac:dyDescent="0.25">
      <c r="A150" s="185"/>
      <c r="B150" s="653"/>
      <c r="C150" s="2624"/>
      <c r="D150" s="187"/>
      <c r="E150" s="187"/>
      <c r="F150" s="186" t="s">
        <v>28</v>
      </c>
      <c r="G150" s="993">
        <f t="shared" si="9"/>
        <v>2042.4837472658978</v>
      </c>
      <c r="H150" s="621">
        <f t="shared" si="9"/>
        <v>2194.2952900015816</v>
      </c>
      <c r="I150" s="994">
        <f t="shared" si="9"/>
        <v>838.46636022098323</v>
      </c>
      <c r="J150" s="187"/>
      <c r="K150" s="187"/>
      <c r="L150" s="187"/>
      <c r="M150" s="2611"/>
      <c r="N150" s="2614"/>
      <c r="O150" s="185"/>
      <c r="P150" s="36"/>
      <c r="Q150" s="36"/>
      <c r="R150" s="36"/>
      <c r="S150" s="36"/>
      <c r="T150" s="36"/>
    </row>
    <row r="151" spans="1:20" s="188" customFormat="1" x14ac:dyDescent="0.25">
      <c r="A151" s="185"/>
      <c r="B151" s="481"/>
      <c r="C151" s="2625"/>
      <c r="D151" s="187"/>
      <c r="E151" s="187"/>
      <c r="F151" s="186" t="s">
        <v>61</v>
      </c>
      <c r="G151" s="993">
        <f>G138-'Other national data'!G320</f>
        <v>22199.411842180605</v>
      </c>
      <c r="H151" s="621">
        <f>H138-'Other national data'!H320</f>
        <v>22390.222472537855</v>
      </c>
      <c r="I151" s="994">
        <f>I138-'Other national data'!I320</f>
        <v>38.349974176573163</v>
      </c>
      <c r="J151" s="187"/>
      <c r="K151" s="187"/>
      <c r="L151" s="187"/>
      <c r="M151" s="114" t="s">
        <v>100</v>
      </c>
      <c r="N151" s="94" t="s">
        <v>102</v>
      </c>
      <c r="O151" s="185"/>
      <c r="P151" s="36"/>
      <c r="Q151" s="36"/>
      <c r="R151" s="36"/>
      <c r="S151" s="36"/>
      <c r="T151" s="36"/>
    </row>
    <row r="152" spans="1:20" s="188" customFormat="1" x14ac:dyDescent="0.25">
      <c r="A152" s="185"/>
      <c r="B152" s="186"/>
      <c r="C152" s="187"/>
      <c r="D152" s="187"/>
      <c r="E152" s="187"/>
      <c r="F152" s="186" t="s">
        <v>63</v>
      </c>
      <c r="G152" s="993">
        <f>G139-'Other national data'!G321</f>
        <v>6643.4755549739421</v>
      </c>
      <c r="H152" s="621">
        <f>H139-'Other national data'!H321</f>
        <v>5716.3558859769973</v>
      </c>
      <c r="I152" s="994">
        <f>I139-'Other national data'!I321</f>
        <v>315.58023455450405</v>
      </c>
      <c r="J152" s="187"/>
      <c r="K152" s="187"/>
      <c r="L152" s="187"/>
      <c r="M152" s="186"/>
      <c r="N152" s="187"/>
      <c r="O152" s="185"/>
      <c r="P152" s="36"/>
      <c r="Q152" s="36"/>
      <c r="R152" s="36"/>
      <c r="S152" s="36"/>
      <c r="T152" s="36"/>
    </row>
    <row r="153" spans="1:20" s="188" customFormat="1" x14ac:dyDescent="0.25">
      <c r="A153" s="185"/>
      <c r="B153" s="186"/>
      <c r="C153" s="187"/>
      <c r="D153" s="187"/>
      <c r="E153" s="187"/>
      <c r="F153" s="622" t="s">
        <v>67</v>
      </c>
      <c r="G153" s="993">
        <f>G140-'Other national data'!G322</f>
        <v>2417.9094712132937</v>
      </c>
      <c r="H153" s="621">
        <f>H140-'Other national data'!H322</f>
        <v>11071.957253188097</v>
      </c>
      <c r="I153" s="994">
        <f>I140-'Other national data'!I322</f>
        <v>5010.7234548464303</v>
      </c>
      <c r="J153" s="187"/>
      <c r="K153" s="187"/>
      <c r="L153" s="187"/>
      <c r="M153" s="186"/>
      <c r="N153" s="187"/>
      <c r="O153" s="185"/>
      <c r="P153" s="36"/>
      <c r="Q153" s="36"/>
      <c r="R153" s="36"/>
      <c r="S153" s="36"/>
      <c r="T153" s="36"/>
    </row>
    <row r="154" spans="1:20" s="188" customFormat="1" x14ac:dyDescent="0.25">
      <c r="A154" s="185"/>
      <c r="B154" s="186"/>
      <c r="C154" s="187"/>
      <c r="D154" s="187"/>
      <c r="E154" s="187"/>
      <c r="F154" s="622" t="s">
        <v>65</v>
      </c>
      <c r="G154" s="993">
        <f>G141-'Other national data'!G323</f>
        <v>4947.2740498483281</v>
      </c>
      <c r="H154" s="621">
        <f>H141-'Other national data'!H323</f>
        <v>2387.4904308082782</v>
      </c>
      <c r="I154" s="994">
        <f>I141-'Other national data'!I323</f>
        <v>8.1211710020978476</v>
      </c>
      <c r="J154" s="187"/>
      <c r="K154" s="187"/>
      <c r="L154" s="187"/>
      <c r="M154" s="186"/>
      <c r="N154" s="187"/>
      <c r="O154" s="185"/>
      <c r="P154" s="36"/>
      <c r="Q154" s="36"/>
      <c r="R154" s="36"/>
      <c r="S154" s="36"/>
      <c r="T154" s="36"/>
    </row>
    <row r="155" spans="1:20" s="188" customFormat="1" x14ac:dyDescent="0.25">
      <c r="A155" s="185"/>
      <c r="B155" s="186"/>
      <c r="C155" s="187"/>
      <c r="D155" s="187"/>
      <c r="E155" s="187"/>
      <c r="F155" s="186" t="s">
        <v>20</v>
      </c>
      <c r="G155" s="993">
        <f>G142-'Other national data'!G324</f>
        <v>9023.715422616373</v>
      </c>
      <c r="H155" s="621">
        <f>H142-'Other national data'!H324</f>
        <v>20297.366832398358</v>
      </c>
      <c r="I155" s="994">
        <f>I142-'Other national data'!I324</f>
        <v>1298.2131166029899</v>
      </c>
      <c r="J155" s="187"/>
      <c r="K155" s="187"/>
      <c r="L155" s="187"/>
      <c r="M155" s="186"/>
      <c r="N155" s="187"/>
      <c r="O155" s="185"/>
      <c r="P155" s="36"/>
      <c r="Q155" s="36"/>
      <c r="R155" s="36"/>
      <c r="S155" s="36"/>
      <c r="T155" s="36"/>
    </row>
    <row r="156" spans="1:20" s="188" customFormat="1" x14ac:dyDescent="0.25">
      <c r="A156" s="185"/>
      <c r="B156" s="186"/>
      <c r="C156" s="187"/>
      <c r="D156" s="187"/>
      <c r="E156" s="187"/>
      <c r="F156" s="380" t="s">
        <v>32</v>
      </c>
      <c r="G156" s="993">
        <f t="shared" ref="G156:I157" si="10">G143</f>
        <v>10862.299928641365</v>
      </c>
      <c r="H156" s="621">
        <f t="shared" si="10"/>
        <v>20278.058560063942</v>
      </c>
      <c r="I156" s="994">
        <f t="shared" si="10"/>
        <v>969.0762922865207</v>
      </c>
      <c r="J156" s="187"/>
      <c r="K156" s="187"/>
      <c r="L156" s="187"/>
      <c r="M156" s="186"/>
      <c r="N156" s="187"/>
      <c r="O156" s="185"/>
      <c r="P156" s="1051"/>
      <c r="Q156" s="1051"/>
      <c r="R156" s="1051"/>
      <c r="S156" s="36"/>
      <c r="T156" s="36"/>
    </row>
    <row r="157" spans="1:20" s="188" customFormat="1" x14ac:dyDescent="0.25">
      <c r="A157" s="185"/>
      <c r="B157" s="186"/>
      <c r="C157" s="187"/>
      <c r="D157" s="187"/>
      <c r="E157" s="187"/>
      <c r="F157" s="186" t="s">
        <v>30</v>
      </c>
      <c r="G157" s="993">
        <f t="shared" si="10"/>
        <v>3945.7072390363933</v>
      </c>
      <c r="H157" s="621">
        <f t="shared" si="10"/>
        <v>6118.6516195698014</v>
      </c>
      <c r="I157" s="994">
        <f t="shared" si="10"/>
        <v>111.66053306064292</v>
      </c>
      <c r="J157" s="187"/>
      <c r="K157" s="187"/>
      <c r="L157" s="187"/>
      <c r="M157" s="186"/>
      <c r="N157" s="187"/>
      <c r="O157" s="185"/>
      <c r="P157" s="36"/>
      <c r="Q157" s="36"/>
      <c r="R157" s="36"/>
      <c r="S157" s="36"/>
      <c r="T157" s="36"/>
    </row>
    <row r="158" spans="1:20" s="188" customFormat="1" x14ac:dyDescent="0.25">
      <c r="A158" s="185"/>
      <c r="B158" s="186"/>
      <c r="C158" s="187"/>
      <c r="D158" s="187"/>
      <c r="E158" s="187"/>
      <c r="F158" s="186" t="s">
        <v>27</v>
      </c>
      <c r="G158" s="995">
        <f>G145-'Other national data'!G325</f>
        <v>2598.0211972654133</v>
      </c>
      <c r="H158" s="996">
        <f>H145-'Other national data'!H325</f>
        <v>2960.4298297730584</v>
      </c>
      <c r="I158" s="997">
        <f>I145-'Other national data'!I325</f>
        <v>566.44984539747441</v>
      </c>
      <c r="J158" s="187"/>
      <c r="K158" s="187"/>
      <c r="L158" s="187"/>
      <c r="M158" s="186"/>
      <c r="N158" s="187"/>
      <c r="O158" s="185"/>
      <c r="P158" s="36"/>
      <c r="Q158" s="36"/>
      <c r="R158" s="36"/>
      <c r="S158" s="36"/>
      <c r="T158" s="36"/>
    </row>
    <row r="159" spans="1:20" s="188" customFormat="1" x14ac:dyDescent="0.25">
      <c r="A159" s="185"/>
      <c r="B159" s="186"/>
      <c r="C159" s="187"/>
      <c r="D159" s="187"/>
      <c r="E159" s="187"/>
      <c r="F159" s="96" t="s">
        <v>37</v>
      </c>
      <c r="G159" s="620" t="str">
        <f>IF(SUM(G149:G158)+SUM('Other national data'!G320:G325)=G29,"Ok","Error")</f>
        <v>Ok</v>
      </c>
      <c r="H159" s="620" t="str">
        <f>IF(SUM(H149:H158)+SUM('Other national data'!H320:H325)=H29,"Ok","Error")</f>
        <v>Ok</v>
      </c>
      <c r="I159" s="620" t="str">
        <f>IF(SUM(I149:I158)+SUM('Other national data'!I320:I325)=I29,"Ok","Error")</f>
        <v>Ok</v>
      </c>
      <c r="J159" s="187"/>
      <c r="K159" s="187"/>
      <c r="L159" s="187"/>
      <c r="M159" s="186"/>
      <c r="N159" s="187"/>
      <c r="O159" s="185"/>
      <c r="P159" s="36"/>
      <c r="Q159" s="36"/>
      <c r="R159" s="36"/>
      <c r="S159" s="36"/>
      <c r="T159" s="36"/>
    </row>
    <row r="160" spans="1:20" ht="15.75" x14ac:dyDescent="0.25">
      <c r="A160" s="130"/>
      <c r="B160" s="130"/>
      <c r="C160" s="130"/>
      <c r="D160" s="130"/>
      <c r="E160" s="130"/>
      <c r="F160" s="130"/>
      <c r="G160" s="130"/>
      <c r="H160" s="130"/>
      <c r="I160" s="130"/>
      <c r="J160" s="130"/>
      <c r="K160" s="130"/>
      <c r="L160" s="130"/>
      <c r="M160" s="130"/>
      <c r="N160" s="130"/>
      <c r="O160" s="130"/>
    </row>
    <row r="161" spans="1:20" ht="15.75" x14ac:dyDescent="0.25">
      <c r="A161" s="131"/>
      <c r="B161" s="131" t="s">
        <v>461</v>
      </c>
      <c r="C161" s="363" t="s">
        <v>575</v>
      </c>
      <c r="D161" s="131"/>
      <c r="E161" s="131"/>
      <c r="F161" s="131"/>
      <c r="G161" s="131"/>
      <c r="H161" s="131"/>
      <c r="I161" s="131"/>
      <c r="J161" s="131"/>
      <c r="K161" s="131"/>
      <c r="L161" s="131"/>
      <c r="M161" s="132"/>
      <c r="N161" s="131"/>
      <c r="O161" s="131"/>
    </row>
    <row r="162" spans="1:20" s="191" customFormat="1" x14ac:dyDescent="0.25">
      <c r="A162" s="201"/>
      <c r="B162" s="193"/>
      <c r="C162" s="188"/>
      <c r="D162" s="582"/>
      <c r="E162" s="582"/>
      <c r="F162" s="582"/>
      <c r="G162" s="582"/>
      <c r="H162" s="582"/>
      <c r="I162" s="582"/>
      <c r="J162" s="582"/>
      <c r="K162" s="582"/>
      <c r="L162" s="582"/>
      <c r="M162" s="582"/>
      <c r="N162" s="582"/>
      <c r="O162" s="201"/>
      <c r="P162" s="36"/>
      <c r="Q162" s="36"/>
      <c r="R162" s="36"/>
      <c r="S162" s="36"/>
      <c r="T162" s="36"/>
    </row>
    <row r="163" spans="1:20" s="191" customFormat="1" x14ac:dyDescent="0.2">
      <c r="A163" s="201"/>
      <c r="B163" s="858" t="s">
        <v>125</v>
      </c>
      <c r="C163" s="2586" t="s">
        <v>1003</v>
      </c>
      <c r="D163" s="582"/>
      <c r="E163" s="582"/>
      <c r="F163" s="582"/>
      <c r="G163" s="791" t="s">
        <v>16</v>
      </c>
      <c r="H163" s="791" t="s">
        <v>17</v>
      </c>
      <c r="I163" s="791" t="s">
        <v>18</v>
      </c>
      <c r="J163" s="582"/>
      <c r="K163" s="582"/>
      <c r="L163" s="582"/>
      <c r="M163" s="113" t="s">
        <v>104</v>
      </c>
      <c r="N163" s="37" t="s">
        <v>760</v>
      </c>
      <c r="O163" s="201"/>
      <c r="P163" s="36"/>
      <c r="Q163" s="36"/>
      <c r="R163" s="36"/>
      <c r="S163" s="36"/>
      <c r="T163" s="36"/>
    </row>
    <row r="164" spans="1:20" s="191" customFormat="1" x14ac:dyDescent="0.25">
      <c r="A164" s="201"/>
      <c r="B164" s="221"/>
      <c r="C164" s="2588"/>
      <c r="D164" s="582"/>
      <c r="E164" s="582"/>
      <c r="F164" s="638"/>
      <c r="G164" s="1332">
        <f>'Other national data'!$G99*'Other national data'!H99</f>
        <v>2100</v>
      </c>
      <c r="H164" s="1333">
        <f>'Other national data'!$G99*'Other national data'!I99</f>
        <v>600</v>
      </c>
      <c r="I164" s="1334">
        <f>'Other national data'!$G99*'Other national data'!J99</f>
        <v>0</v>
      </c>
      <c r="J164" s="582"/>
      <c r="K164" s="582"/>
      <c r="L164" s="582"/>
      <c r="M164" s="113" t="s">
        <v>100</v>
      </c>
      <c r="N164" s="37" t="s">
        <v>102</v>
      </c>
      <c r="O164" s="201"/>
      <c r="P164" s="36"/>
      <c r="Q164" s="36"/>
      <c r="R164" s="36"/>
      <c r="S164" s="36"/>
      <c r="T164" s="36"/>
    </row>
    <row r="165" spans="1:20" s="191" customFormat="1" x14ac:dyDescent="0.25">
      <c r="A165" s="201"/>
      <c r="B165" s="854" t="s">
        <v>323</v>
      </c>
      <c r="C165" s="2596" t="s">
        <v>1002</v>
      </c>
      <c r="D165" s="822"/>
      <c r="E165" s="586"/>
      <c r="F165" s="586"/>
      <c r="G165" s="586"/>
      <c r="H165" s="586"/>
      <c r="I165" s="586"/>
      <c r="J165" s="586"/>
      <c r="K165" s="586"/>
      <c r="L165" s="586"/>
      <c r="M165" s="585" t="s">
        <v>10</v>
      </c>
      <c r="N165" s="1335" t="s">
        <v>1001</v>
      </c>
      <c r="O165" s="201"/>
      <c r="P165" s="36"/>
      <c r="Q165" s="36"/>
      <c r="R165" s="36"/>
      <c r="S165" s="36"/>
      <c r="T165" s="36"/>
    </row>
    <row r="166" spans="1:20" s="191" customFormat="1" x14ac:dyDescent="0.25">
      <c r="A166" s="201"/>
      <c r="B166" s="236"/>
      <c r="C166" s="2597"/>
      <c r="D166" s="586"/>
      <c r="E166" s="586"/>
      <c r="F166" s="586"/>
      <c r="G166" s="586"/>
      <c r="H166" s="586"/>
      <c r="I166" s="586"/>
      <c r="J166" s="586"/>
      <c r="K166" s="586"/>
      <c r="L166" s="586"/>
      <c r="M166" s="113" t="s">
        <v>352</v>
      </c>
      <c r="N166" s="1329" t="s">
        <v>356</v>
      </c>
      <c r="O166" s="201"/>
      <c r="P166" s="36"/>
      <c r="Q166" s="36"/>
      <c r="R166" s="36"/>
      <c r="S166" s="36"/>
      <c r="T166" s="36"/>
    </row>
    <row r="167" spans="1:20" s="191" customFormat="1" x14ac:dyDescent="0.25">
      <c r="A167" s="201"/>
      <c r="B167" s="854" t="s">
        <v>714</v>
      </c>
      <c r="C167" s="2621" t="s">
        <v>710</v>
      </c>
      <c r="D167" s="586"/>
      <c r="E167" s="586"/>
      <c r="F167" s="586"/>
      <c r="G167" s="586"/>
      <c r="H167" s="586"/>
      <c r="I167" s="586"/>
      <c r="J167" s="586"/>
      <c r="K167" s="586"/>
      <c r="L167" s="586"/>
      <c r="M167" s="113" t="s">
        <v>99</v>
      </c>
      <c r="N167" s="1595">
        <v>42568</v>
      </c>
      <c r="O167" s="201"/>
      <c r="P167" s="36"/>
      <c r="Q167" s="36"/>
      <c r="R167" s="36"/>
      <c r="S167" s="36"/>
      <c r="T167" s="36"/>
    </row>
    <row r="168" spans="1:20" s="191" customFormat="1" x14ac:dyDescent="0.25">
      <c r="A168" s="201"/>
      <c r="B168" s="203"/>
      <c r="C168" s="2622"/>
      <c r="D168" s="586"/>
      <c r="E168" s="586"/>
      <c r="F168" s="586"/>
      <c r="G168" s="586"/>
      <c r="H168" s="586"/>
      <c r="I168" s="586"/>
      <c r="J168" s="586"/>
      <c r="K168" s="586"/>
      <c r="L168" s="586"/>
      <c r="M168" s="113" t="s">
        <v>658</v>
      </c>
      <c r="N168" s="1328" t="s">
        <v>681</v>
      </c>
      <c r="O168" s="201"/>
      <c r="P168" s="36"/>
      <c r="Q168" s="36"/>
      <c r="R168" s="36"/>
      <c r="S168" s="36"/>
      <c r="T168" s="36"/>
    </row>
    <row r="169" spans="1:20" s="191" customFormat="1" x14ac:dyDescent="0.25">
      <c r="A169" s="201"/>
      <c r="D169" s="586"/>
      <c r="E169" s="586"/>
      <c r="F169" s="586"/>
      <c r="G169" s="586"/>
      <c r="H169" s="586"/>
      <c r="I169" s="586"/>
      <c r="J169" s="586"/>
      <c r="K169" s="586"/>
      <c r="L169" s="586"/>
      <c r="M169" s="586"/>
      <c r="N169" s="586"/>
      <c r="O169" s="201"/>
      <c r="P169" s="36"/>
      <c r="Q169" s="36"/>
      <c r="R169" s="36"/>
      <c r="S169" s="36"/>
      <c r="T169" s="36"/>
    </row>
    <row r="170" spans="1:20" s="188" customFormat="1" x14ac:dyDescent="0.25">
      <c r="A170" s="201"/>
      <c r="B170" s="195"/>
      <c r="C170" s="187"/>
      <c r="D170" s="187"/>
      <c r="E170" s="187"/>
      <c r="F170" s="187"/>
      <c r="G170" s="187"/>
      <c r="H170" s="187"/>
      <c r="I170" s="187"/>
      <c r="J170" s="187"/>
      <c r="K170" s="187"/>
      <c r="L170" s="187"/>
      <c r="M170" s="187"/>
      <c r="N170" s="187"/>
      <c r="O170" s="201"/>
      <c r="P170" s="36"/>
      <c r="Q170" s="36"/>
      <c r="R170" s="36"/>
      <c r="S170" s="36"/>
      <c r="T170" s="36"/>
    </row>
    <row r="171" spans="1:20" s="188" customFormat="1" x14ac:dyDescent="0.25">
      <c r="A171" s="201"/>
      <c r="B171" s="882" t="s">
        <v>126</v>
      </c>
      <c r="C171" s="2612" t="s">
        <v>762</v>
      </c>
      <c r="D171" s="88"/>
      <c r="E171" s="88"/>
      <c r="F171" s="479" t="s">
        <v>913</v>
      </c>
      <c r="G171" s="95" t="s">
        <v>16</v>
      </c>
      <c r="H171" s="95" t="s">
        <v>17</v>
      </c>
      <c r="I171" s="95" t="s">
        <v>18</v>
      </c>
      <c r="J171" s="479" t="s">
        <v>88</v>
      </c>
      <c r="K171" s="88"/>
      <c r="L171" s="88"/>
      <c r="M171" s="881" t="s">
        <v>104</v>
      </c>
      <c r="N171" s="94" t="s">
        <v>841</v>
      </c>
      <c r="O171" s="201"/>
      <c r="P171" s="1051">
        <f>IF(AND(ISNUMBER(J172),'Validn data - hide'!C87&gt;0),IF(J172/'Validn data - hide'!C87-1&gt;'Validn data - hide'!$L87,1,IF(J172/'Validn data - hide'!C87-1&lt;-'Validn data - hide'!$L87,-1,0)),0)</f>
        <v>1</v>
      </c>
      <c r="Q171" s="36"/>
      <c r="R171" s="36"/>
      <c r="S171" s="36"/>
      <c r="T171" s="36"/>
    </row>
    <row r="172" spans="1:20" s="188" customFormat="1" x14ac:dyDescent="0.2">
      <c r="A172" s="201"/>
      <c r="B172" s="375"/>
      <c r="C172" s="2614"/>
      <c r="D172" s="187"/>
      <c r="E172" s="187"/>
      <c r="F172" s="890" t="s">
        <v>513</v>
      </c>
      <c r="G172" s="1336"/>
      <c r="H172" s="1337"/>
      <c r="I172" s="1337"/>
      <c r="J172" s="1338">
        <v>10755.460000000001</v>
      </c>
      <c r="K172" s="187"/>
      <c r="L172" s="187"/>
      <c r="M172" s="114" t="s">
        <v>100</v>
      </c>
      <c r="N172" s="94" t="s">
        <v>102</v>
      </c>
      <c r="O172" s="201"/>
      <c r="P172" s="1051">
        <f>IF(AND(ISNUMBER(J173),'Validn data - hide'!C88&gt;0),IF(J173/'Validn data - hide'!C88-1&gt;'Validn data - hide'!$L88,1,IF(J173/'Validn data - hide'!C88-1&lt;-'Validn data - hide'!$L88,-1,0)),0)</f>
        <v>-1</v>
      </c>
      <c r="Q172" s="36"/>
      <c r="R172" s="36"/>
      <c r="S172" s="36"/>
      <c r="T172" s="36"/>
    </row>
    <row r="173" spans="1:20" s="188" customFormat="1" x14ac:dyDescent="0.2">
      <c r="A173" s="201"/>
      <c r="B173" s="583" t="s">
        <v>323</v>
      </c>
      <c r="C173" s="584" t="s">
        <v>537</v>
      </c>
      <c r="D173" s="187"/>
      <c r="E173" s="187"/>
      <c r="F173" s="889" t="s">
        <v>403</v>
      </c>
      <c r="G173" s="1339"/>
      <c r="H173" s="1340"/>
      <c r="I173" s="1340"/>
      <c r="J173" s="1341">
        <v>22944.19</v>
      </c>
      <c r="K173" s="187"/>
      <c r="L173" s="187"/>
      <c r="M173" s="114" t="s">
        <v>10</v>
      </c>
      <c r="N173" s="1331"/>
      <c r="O173" s="201"/>
      <c r="P173" s="1051">
        <f>IF(AND(ISNUMBER(J174),'Validn data - hide'!C89&gt;0),IF(J174/'Validn data - hide'!C89-1&gt;'Validn data - hide'!$L89,1,IF(J174/'Validn data - hide'!C89-1&lt;-'Validn data - hide'!$L89,-1,0)),0)</f>
        <v>0</v>
      </c>
      <c r="Q173" s="36"/>
      <c r="R173" s="36"/>
      <c r="S173" s="36"/>
      <c r="T173" s="36"/>
    </row>
    <row r="174" spans="1:20" s="188" customFormat="1" x14ac:dyDescent="0.2">
      <c r="A174" s="201"/>
      <c r="B174" s="587"/>
      <c r="C174" s="438" t="s">
        <v>534</v>
      </c>
      <c r="D174" s="187"/>
      <c r="E174" s="187"/>
      <c r="F174" s="889" t="s">
        <v>30</v>
      </c>
      <c r="G174" s="1339"/>
      <c r="H174" s="1340"/>
      <c r="I174" s="1340"/>
      <c r="J174" s="1341">
        <v>14344.73</v>
      </c>
      <c r="K174" s="187"/>
      <c r="L174" s="187"/>
      <c r="M174" s="114" t="s">
        <v>352</v>
      </c>
      <c r="N174" s="1330"/>
      <c r="O174" s="201"/>
      <c r="P174" s="1051">
        <f>IF(AND(ISNUMBER(J175),'Validn data - hide'!C90&gt;0),IF(J175/'Validn data - hide'!C90-1&gt;'Validn data - hide'!$L90,1,IF(J175/'Validn data - hide'!C90-1&lt;-'Validn data - hide'!$L90,-1,0)),0)</f>
        <v>-1</v>
      </c>
      <c r="Q174" s="36"/>
      <c r="R174" s="36"/>
      <c r="S174" s="36"/>
      <c r="T174" s="36"/>
    </row>
    <row r="175" spans="1:20" s="188" customFormat="1" x14ac:dyDescent="0.2">
      <c r="A175" s="201"/>
      <c r="B175" s="1272" t="s">
        <v>720</v>
      </c>
      <c r="C175" s="2628" t="s">
        <v>719</v>
      </c>
      <c r="D175" s="187"/>
      <c r="E175" s="187"/>
      <c r="F175" s="889" t="s">
        <v>538</v>
      </c>
      <c r="G175" s="1339"/>
      <c r="H175" s="1340"/>
      <c r="I175" s="1340"/>
      <c r="J175" s="1341">
        <v>459.88</v>
      </c>
      <c r="K175" s="187"/>
      <c r="L175" s="187"/>
      <c r="M175" s="114" t="s">
        <v>99</v>
      </c>
      <c r="N175" s="1331"/>
      <c r="O175" s="201"/>
      <c r="P175" s="1051">
        <f>IF(AND(ISNUMBER(J176),'Validn data - hide'!C91&gt;0),IF(J176/'Validn data - hide'!C91-1&gt;'Validn data - hide'!$L91,1,IF(J176/'Validn data - hide'!C91-1&lt;-'Validn data - hide'!$L91,-1,0)),0)</f>
        <v>0</v>
      </c>
      <c r="Q175" s="36"/>
      <c r="R175" s="36"/>
      <c r="S175" s="36"/>
      <c r="T175" s="36"/>
    </row>
    <row r="176" spans="1:20" s="389" customFormat="1" ht="12.75" customHeight="1" x14ac:dyDescent="0.2">
      <c r="A176" s="201"/>
      <c r="B176" s="1295"/>
      <c r="C176" s="2629"/>
      <c r="D176" s="627"/>
      <c r="E176" s="505"/>
      <c r="F176" s="889" t="s">
        <v>507</v>
      </c>
      <c r="G176" s="1342"/>
      <c r="H176" s="1340"/>
      <c r="I176" s="1340"/>
      <c r="J176" s="1341">
        <v>749.48</v>
      </c>
      <c r="K176" s="505"/>
      <c r="L176" s="505"/>
      <c r="M176" s="114" t="s">
        <v>658</v>
      </c>
      <c r="N176" s="1331"/>
      <c r="O176" s="201"/>
      <c r="P176" s="1051">
        <f>IF(AND(ISNUMBER(J177),'Validn data - hide'!C92&gt;0),IF(J177/'Validn data - hide'!C92-1&gt;'Validn data - hide'!$L92,1,IF(J177/'Validn data - hide'!C92-1&lt;-'Validn data - hide'!$L92,-1,0)),0)</f>
        <v>1</v>
      </c>
      <c r="Q176" s="36"/>
      <c r="R176" s="36"/>
      <c r="S176" s="36"/>
      <c r="T176" s="36"/>
    </row>
    <row r="177" spans="1:20" s="389" customFormat="1" x14ac:dyDescent="0.2">
      <c r="A177" s="201"/>
      <c r="B177" s="505"/>
      <c r="C177" s="2628" t="s">
        <v>716</v>
      </c>
      <c r="D177" s="692"/>
      <c r="E177" s="505"/>
      <c r="F177" s="889" t="s">
        <v>52</v>
      </c>
      <c r="G177" s="1342"/>
      <c r="H177" s="1343"/>
      <c r="I177" s="1343"/>
      <c r="J177" s="1341">
        <v>3039.82</v>
      </c>
      <c r="K177" s="505"/>
      <c r="L177" s="505"/>
      <c r="M177" s="505"/>
      <c r="N177" s="505"/>
      <c r="O177" s="201"/>
      <c r="P177" s="1051">
        <f>IF(AND(ISNUMBER(J178),'Validn data - hide'!C93&gt;0),IF(J178/'Validn data - hide'!C93-1&gt;'Validn data - hide'!$L93,1,IF(J178/'Validn data - hide'!C93-1&lt;-'Validn data - hide'!$L93,-1,0)),0)</f>
        <v>1</v>
      </c>
      <c r="Q177" s="36"/>
      <c r="R177" s="36"/>
      <c r="S177" s="36"/>
      <c r="T177" s="36"/>
    </row>
    <row r="178" spans="1:20" s="389" customFormat="1" x14ac:dyDescent="0.2">
      <c r="A178" s="201"/>
      <c r="B178" s="505"/>
      <c r="C178" s="2629"/>
      <c r="D178" s="504"/>
      <c r="E178" s="505"/>
      <c r="F178" s="889" t="s">
        <v>539</v>
      </c>
      <c r="G178" s="1342"/>
      <c r="H178" s="1343"/>
      <c r="I178" s="1343"/>
      <c r="J178" s="1341">
        <v>990.23</v>
      </c>
      <c r="K178" s="505"/>
      <c r="L178" s="505"/>
      <c r="M178" s="505"/>
      <c r="N178" s="505"/>
      <c r="O178" s="201"/>
      <c r="P178" s="1051">
        <f>IF(AND(ISNUMBER(J179),'Validn data - hide'!C94&gt;0),IF(J179/'Validn data - hide'!C94-1&gt;'Validn data - hide'!$L94,1,IF(J179/'Validn data - hide'!C94-1&lt;-'Validn data - hide'!$L94,-1,0)),0)</f>
        <v>1</v>
      </c>
      <c r="Q178" s="36"/>
      <c r="R178" s="36"/>
      <c r="S178" s="36"/>
      <c r="T178" s="36"/>
    </row>
    <row r="179" spans="1:20" s="389" customFormat="1" x14ac:dyDescent="0.2">
      <c r="A179" s="201"/>
      <c r="B179" s="477"/>
      <c r="C179" s="640" t="s">
        <v>907</v>
      </c>
      <c r="D179" s="630"/>
      <c r="E179" s="505"/>
      <c r="F179" s="889" t="s">
        <v>540</v>
      </c>
      <c r="G179" s="1342"/>
      <c r="H179" s="1343"/>
      <c r="I179" s="1343"/>
      <c r="J179" s="1341">
        <v>22659.599999999999</v>
      </c>
      <c r="K179" s="505"/>
      <c r="L179" s="505"/>
      <c r="M179" s="505"/>
      <c r="N179" s="505"/>
      <c r="O179" s="201"/>
      <c r="P179" s="1051">
        <f>IF(AND(ISNUMBER(J180),'Validn data - hide'!C95&gt;0),IF(J180/'Validn data - hide'!C95-1&gt;'Validn data - hide'!$L95,1,IF(J180/'Validn data - hide'!C95-1&lt;-'Validn data - hide'!$L95,-1,0)),0)</f>
        <v>-1</v>
      </c>
      <c r="Q179" s="36"/>
      <c r="R179" s="36"/>
      <c r="S179" s="36"/>
      <c r="T179" s="36"/>
    </row>
    <row r="180" spans="1:20" s="389" customFormat="1" x14ac:dyDescent="0.2">
      <c r="A180" s="201"/>
      <c r="B180" s="172" t="s">
        <v>637</v>
      </c>
      <c r="C180" s="376" t="s">
        <v>122</v>
      </c>
      <c r="D180" s="504"/>
      <c r="E180" s="505"/>
      <c r="F180" s="889" t="s">
        <v>23</v>
      </c>
      <c r="G180" s="1342"/>
      <c r="H180" s="1343"/>
      <c r="I180" s="1343"/>
      <c r="J180" s="1341">
        <v>227397.59</v>
      </c>
      <c r="K180" s="505"/>
      <c r="L180" s="505"/>
      <c r="M180" s="505"/>
      <c r="N180" s="505"/>
      <c r="O180" s="201"/>
      <c r="P180" s="1051">
        <f>IF(AND(ISNUMBER(J181),'Validn data - hide'!C96&gt;0),IF(J181/'Validn data - hide'!C96-1&gt;'Validn data - hide'!$L96,1,IF(J181/'Validn data - hide'!C96-1&lt;-'Validn data - hide'!$L96,-1,0)),0)</f>
        <v>-1</v>
      </c>
      <c r="Q180" s="36"/>
      <c r="R180" s="36"/>
      <c r="S180" s="36"/>
      <c r="T180" s="36"/>
    </row>
    <row r="181" spans="1:20" s="389" customFormat="1" x14ac:dyDescent="0.2">
      <c r="A181" s="201"/>
      <c r="B181" s="628" t="s">
        <v>513</v>
      </c>
      <c r="C181" s="629" t="s">
        <v>89</v>
      </c>
      <c r="D181" s="504"/>
      <c r="E181" s="505"/>
      <c r="F181" s="889" t="s">
        <v>21</v>
      </c>
      <c r="G181" s="1342"/>
      <c r="H181" s="1343"/>
      <c r="I181" s="1343"/>
      <c r="J181" s="1341">
        <v>435</v>
      </c>
      <c r="K181" s="505"/>
      <c r="L181" s="505"/>
      <c r="M181" s="505"/>
      <c r="N181" s="505"/>
      <c r="O181" s="201"/>
      <c r="P181" s="1051">
        <f>IF(AND(ISNUMBER(J182),'Validn data - hide'!C97&gt;0),IF(J182/'Validn data - hide'!C97-1&gt;'Validn data - hide'!$L97,1,IF(J182/'Validn data - hide'!C97-1&lt;-'Validn data - hide'!$L97,-1,0)),0)</f>
        <v>1</v>
      </c>
      <c r="Q181" s="36"/>
      <c r="R181" s="36"/>
      <c r="S181" s="36"/>
      <c r="T181" s="36"/>
    </row>
    <row r="182" spans="1:20" s="389" customFormat="1" x14ac:dyDescent="0.2">
      <c r="A182" s="201"/>
      <c r="B182" s="631" t="s">
        <v>403</v>
      </c>
      <c r="C182" s="632" t="s">
        <v>20</v>
      </c>
      <c r="D182" s="504"/>
      <c r="E182" s="505"/>
      <c r="F182" s="889" t="s">
        <v>67</v>
      </c>
      <c r="G182" s="1342"/>
      <c r="H182" s="1343"/>
      <c r="I182" s="1343"/>
      <c r="J182" s="1341">
        <v>19267.18</v>
      </c>
      <c r="K182" s="505"/>
      <c r="L182" s="505"/>
      <c r="M182" s="505"/>
      <c r="N182" s="505"/>
      <c r="O182" s="201"/>
      <c r="P182" s="1051">
        <f>IF(AND(ISNUMBER(J183),'Validn data - hide'!C98&gt;0),IF(J183/'Validn data - hide'!C98-1&gt;'Validn data - hide'!$L98,1,IF(J183/'Validn data - hide'!C98-1&lt;-'Validn data - hide'!$L98,-1,0)),0)</f>
        <v>1</v>
      </c>
      <c r="Q182" s="36"/>
      <c r="R182" s="36"/>
      <c r="S182" s="36"/>
      <c r="T182" s="36"/>
    </row>
    <row r="183" spans="1:20" s="389" customFormat="1" x14ac:dyDescent="0.2">
      <c r="A183" s="201"/>
      <c r="B183" s="633" t="s">
        <v>30</v>
      </c>
      <c r="C183" s="632" t="s">
        <v>30</v>
      </c>
      <c r="D183" s="504"/>
      <c r="E183" s="505"/>
      <c r="F183" s="889" t="s">
        <v>541</v>
      </c>
      <c r="G183" s="1342"/>
      <c r="H183" s="1343"/>
      <c r="I183" s="1343"/>
      <c r="J183" s="1341">
        <v>24333</v>
      </c>
      <c r="K183" s="505"/>
      <c r="L183" s="505"/>
      <c r="M183" s="505"/>
      <c r="N183" s="505"/>
      <c r="O183" s="201"/>
      <c r="P183" s="1051">
        <f>IF(AND(ISNUMBER(J184),'Validn data - hide'!C99&gt;0),IF(J184/'Validn data - hide'!C99-1&gt;'Validn data - hide'!$L99,1,IF(J184/'Validn data - hide'!C99-1&lt;-'Validn data - hide'!$L99,-1,0)),0)</f>
        <v>1</v>
      </c>
      <c r="Q183" s="36"/>
      <c r="R183" s="36"/>
      <c r="S183" s="36"/>
      <c r="T183" s="36"/>
    </row>
    <row r="184" spans="1:20" s="389" customFormat="1" x14ac:dyDescent="0.2">
      <c r="A184" s="201"/>
      <c r="B184" s="631" t="s">
        <v>538</v>
      </c>
      <c r="C184" s="634" t="s">
        <v>532</v>
      </c>
      <c r="D184" s="504"/>
      <c r="E184" s="505"/>
      <c r="F184" s="889" t="s">
        <v>542</v>
      </c>
      <c r="G184" s="1342"/>
      <c r="H184" s="1343"/>
      <c r="I184" s="1343"/>
      <c r="J184" s="1341">
        <v>39104.14</v>
      </c>
      <c r="K184" s="505"/>
      <c r="L184" s="505"/>
      <c r="M184" s="505"/>
      <c r="N184" s="505"/>
      <c r="O184" s="201"/>
      <c r="P184" s="1051">
        <f>IF(AND(ISNUMBER(J185),'Validn data - hide'!C100&gt;0),IF(J185/'Validn data - hide'!C100-1&gt;'Validn data - hide'!$L100,1,IF(J185/'Validn data - hide'!C100-1&lt;-'Validn data - hide'!$L100,-1,0)),0)</f>
        <v>-1</v>
      </c>
      <c r="Q184" s="36"/>
      <c r="R184" s="36"/>
      <c r="S184" s="36"/>
      <c r="T184" s="36"/>
    </row>
    <row r="185" spans="1:20" s="389" customFormat="1" x14ac:dyDescent="0.2">
      <c r="A185" s="201"/>
      <c r="B185" s="631" t="s">
        <v>507</v>
      </c>
      <c r="C185" s="634" t="s">
        <v>532</v>
      </c>
      <c r="D185" s="504"/>
      <c r="E185" s="505"/>
      <c r="F185" s="889" t="s">
        <v>543</v>
      </c>
      <c r="G185" s="1342"/>
      <c r="H185" s="1343"/>
      <c r="I185" s="1343"/>
      <c r="J185" s="1341">
        <v>142781.70000000001</v>
      </c>
      <c r="K185" s="505"/>
      <c r="L185" s="505"/>
      <c r="M185" s="505"/>
      <c r="N185" s="505"/>
      <c r="O185" s="201"/>
      <c r="P185" s="1051">
        <f>IF(AND(ISNUMBER(J186),'Validn data - hide'!C101&gt;0),IF(J186/'Validn data - hide'!C101-1&gt;'Validn data - hide'!$L101,1,IF(J186/'Validn data - hide'!C101-1&lt;-'Validn data - hide'!$L101,-1,0)),0)</f>
        <v>0</v>
      </c>
      <c r="Q185" s="36"/>
      <c r="R185" s="36"/>
      <c r="S185" s="36"/>
      <c r="T185" s="36"/>
    </row>
    <row r="186" spans="1:20" s="389" customFormat="1" x14ac:dyDescent="0.2">
      <c r="A186" s="201"/>
      <c r="B186" s="631" t="s">
        <v>52</v>
      </c>
      <c r="C186" s="632" t="s">
        <v>52</v>
      </c>
      <c r="D186" s="504"/>
      <c r="E186" s="505"/>
      <c r="F186" s="889" t="s">
        <v>544</v>
      </c>
      <c r="G186" s="1342"/>
      <c r="H186" s="1343"/>
      <c r="I186" s="1343"/>
      <c r="J186" s="1341"/>
      <c r="K186" s="505"/>
      <c r="L186" s="505"/>
      <c r="M186" s="505"/>
      <c r="N186" s="505"/>
      <c r="O186" s="201"/>
      <c r="P186" s="1051">
        <f>IF(AND(ISNUMBER(J187),'Validn data - hide'!C102&gt;0),IF(J187/'Validn data - hide'!C102-1&gt;'Validn data - hide'!$L102,1,IF(J187/'Validn data - hide'!C102-1&lt;-'Validn data - hide'!$L102,-1,0)),0)</f>
        <v>0</v>
      </c>
      <c r="Q186" s="36"/>
      <c r="R186" s="36"/>
      <c r="S186" s="36"/>
      <c r="T186" s="36"/>
    </row>
    <row r="187" spans="1:20" s="389" customFormat="1" x14ac:dyDescent="0.2">
      <c r="A187" s="201"/>
      <c r="B187" s="631" t="s">
        <v>539</v>
      </c>
      <c r="C187" s="632" t="s">
        <v>56</v>
      </c>
      <c r="D187" s="504"/>
      <c r="E187" s="505"/>
      <c r="F187" s="889" t="s">
        <v>545</v>
      </c>
      <c r="G187" s="1342"/>
      <c r="H187" s="1343"/>
      <c r="I187" s="1343"/>
      <c r="J187" s="1341">
        <v>621</v>
      </c>
      <c r="K187" s="505"/>
      <c r="L187" s="505"/>
      <c r="M187" s="505"/>
      <c r="N187" s="505"/>
      <c r="O187" s="201"/>
      <c r="P187" s="1051">
        <f>IF(AND(ISNUMBER(J188),'Validn data - hide'!C103&gt;0),IF(J188/'Validn data - hide'!C103-1&gt;'Validn data - hide'!$L103,1,IF(J188/'Validn data - hide'!C103-1&lt;-'Validn data - hide'!$L103,-1,0)),0)</f>
        <v>0</v>
      </c>
      <c r="Q187" s="1051"/>
      <c r="R187" s="1051"/>
      <c r="S187" s="36"/>
      <c r="T187" s="36"/>
    </row>
    <row r="188" spans="1:20" s="389" customFormat="1" x14ac:dyDescent="0.2">
      <c r="A188" s="201"/>
      <c r="B188" s="631" t="s">
        <v>540</v>
      </c>
      <c r="C188" s="632" t="s">
        <v>56</v>
      </c>
      <c r="D188" s="504"/>
      <c r="E188" s="505"/>
      <c r="F188" s="889" t="s">
        <v>546</v>
      </c>
      <c r="G188" s="1342"/>
      <c r="H188" s="1344"/>
      <c r="I188" s="1345"/>
      <c r="J188" s="1341">
        <v>1404</v>
      </c>
      <c r="K188" s="505"/>
      <c r="L188" s="505"/>
      <c r="M188" s="505"/>
      <c r="N188" s="505"/>
      <c r="O188" s="201"/>
      <c r="P188" s="1051">
        <f>IF(AND(ISNUMBER(J189),'Validn data - hide'!C104&gt;0),IF(J189/'Validn data - hide'!C104-1&gt;'Validn data - hide'!$L104,1,IF(J189/'Validn data - hide'!C104-1&lt;-'Validn data - hide'!$L104,-1,0)),0)</f>
        <v>1</v>
      </c>
      <c r="Q188" s="36"/>
      <c r="R188" s="36"/>
      <c r="S188" s="36"/>
      <c r="T188" s="36"/>
    </row>
    <row r="189" spans="1:20" s="389" customFormat="1" x14ac:dyDescent="0.2">
      <c r="A189" s="201"/>
      <c r="B189" s="631" t="s">
        <v>23</v>
      </c>
      <c r="C189" s="632" t="s">
        <v>63</v>
      </c>
      <c r="D189" s="504"/>
      <c r="E189" s="505"/>
      <c r="F189" s="889" t="s">
        <v>547</v>
      </c>
      <c r="G189" s="1342"/>
      <c r="H189" s="1344"/>
      <c r="I189" s="1345"/>
      <c r="J189" s="1341">
        <v>6000</v>
      </c>
      <c r="K189" s="505"/>
      <c r="L189" s="505"/>
      <c r="M189" s="505"/>
      <c r="N189" s="505"/>
      <c r="O189" s="201"/>
      <c r="P189" s="1051">
        <f>IF(AND(ISNUMBER(J190),'Validn data - hide'!C105&gt;0),IF(J190/'Validn data - hide'!C105-1&gt;'Validn data - hide'!$L105,1,IF(J190/'Validn data - hide'!C105-1&lt;-'Validn data - hide'!$L105,-1,0)),0)</f>
        <v>1</v>
      </c>
      <c r="Q189" s="36"/>
      <c r="R189" s="36"/>
      <c r="S189" s="36"/>
      <c r="T189" s="36"/>
    </row>
    <row r="190" spans="1:20" s="389" customFormat="1" x14ac:dyDescent="0.2">
      <c r="A190" s="201"/>
      <c r="B190" s="631" t="s">
        <v>21</v>
      </c>
      <c r="C190" s="632" t="s">
        <v>61</v>
      </c>
      <c r="D190" s="504"/>
      <c r="E190" s="505"/>
      <c r="F190" s="889" t="s">
        <v>548</v>
      </c>
      <c r="G190" s="1342"/>
      <c r="H190" s="1344"/>
      <c r="I190" s="1345"/>
      <c r="J190" s="1341">
        <v>102711.38</v>
      </c>
      <c r="K190" s="505"/>
      <c r="L190" s="505"/>
      <c r="M190" s="505"/>
      <c r="N190" s="505"/>
      <c r="O190" s="201"/>
      <c r="P190" s="1051">
        <f>IF(AND(ISNUMBER(J191),'Validn data - hide'!C106&gt;0),IF(J191/'Validn data - hide'!C106-1&gt;'Validn data - hide'!$L106,1,IF(J191/'Validn data - hide'!C106-1&lt;-'Validn data - hide'!$L106,-1,0)),0)</f>
        <v>1</v>
      </c>
      <c r="Q190" s="36"/>
      <c r="R190" s="36"/>
      <c r="S190" s="36"/>
      <c r="T190" s="36"/>
    </row>
    <row r="191" spans="1:20" s="389" customFormat="1" x14ac:dyDescent="0.2">
      <c r="A191" s="201"/>
      <c r="B191" s="631" t="s">
        <v>67</v>
      </c>
      <c r="C191" s="632" t="s">
        <v>67</v>
      </c>
      <c r="D191" s="504"/>
      <c r="E191" s="505"/>
      <c r="F191" s="889" t="s">
        <v>549</v>
      </c>
      <c r="G191" s="1342"/>
      <c r="H191" s="1344"/>
      <c r="I191" s="1345"/>
      <c r="J191" s="1341">
        <v>419.57</v>
      </c>
      <c r="K191" s="505"/>
      <c r="L191" s="505"/>
      <c r="M191" s="505"/>
      <c r="N191" s="505"/>
      <c r="O191" s="201"/>
      <c r="P191" s="1051">
        <f>IF(AND(ISNUMBER(J192),'Validn data - hide'!C107&gt;0),IF(J192/'Validn data - hide'!C107-1&gt;'Validn data - hide'!$L107,1,IF(J192/'Validn data - hide'!C107-1&lt;-'Validn data - hide'!$L107,-1,0)),0)</f>
        <v>-1</v>
      </c>
      <c r="Q191" s="36"/>
      <c r="R191" s="36"/>
      <c r="S191" s="36"/>
      <c r="T191" s="36"/>
    </row>
    <row r="192" spans="1:20" s="389" customFormat="1" x14ac:dyDescent="0.2">
      <c r="A192" s="201"/>
      <c r="B192" s="631" t="s">
        <v>541</v>
      </c>
      <c r="C192" s="632" t="s">
        <v>42</v>
      </c>
      <c r="D192" s="504"/>
      <c r="E192" s="505"/>
      <c r="F192" s="889" t="s">
        <v>39</v>
      </c>
      <c r="G192" s="1342"/>
      <c r="H192" s="1344"/>
      <c r="I192" s="1345"/>
      <c r="J192" s="1341">
        <v>10</v>
      </c>
      <c r="K192" s="505"/>
      <c r="L192" s="505"/>
      <c r="M192" s="505"/>
      <c r="N192" s="505"/>
      <c r="O192" s="201"/>
      <c r="P192" s="1051">
        <f>IF(AND(ISNUMBER(J193),'Validn data - hide'!C108&gt;0),IF(J193/'Validn data - hide'!C108-1&gt;'Validn data - hide'!$L108,1,IF(J193/'Validn data - hide'!C108-1&lt;-'Validn data - hide'!$L108,-1,0)),0)</f>
        <v>1</v>
      </c>
      <c r="Q192" s="36"/>
      <c r="R192" s="36"/>
      <c r="S192" s="36"/>
      <c r="T192" s="36"/>
    </row>
    <row r="193" spans="1:20" s="389" customFormat="1" x14ac:dyDescent="0.2">
      <c r="A193" s="201"/>
      <c r="B193" s="631" t="s">
        <v>542</v>
      </c>
      <c r="C193" s="632" t="s">
        <v>44</v>
      </c>
      <c r="D193" s="504"/>
      <c r="E193" s="505"/>
      <c r="F193" s="889" t="s">
        <v>827</v>
      </c>
      <c r="G193" s="1342"/>
      <c r="H193" s="1344"/>
      <c r="I193" s="1345"/>
      <c r="J193" s="1341">
        <v>1853.4099999999999</v>
      </c>
      <c r="K193" s="505"/>
      <c r="L193" s="505"/>
      <c r="M193" s="505"/>
      <c r="N193" s="505"/>
      <c r="O193" s="201"/>
      <c r="P193" s="1051">
        <f>IF(AND(ISNUMBER(J194),'Validn data - hide'!C109&gt;0),IF(J194/'Validn data - hide'!C109-1&gt;'Validn data - hide'!$L109,1,IF(J194/'Validn data - hide'!C109-1&lt;-'Validn data - hide'!$L109,-1,0)),0)</f>
        <v>-1</v>
      </c>
      <c r="Q193" s="302"/>
      <c r="R193" s="302"/>
      <c r="S193" s="302"/>
      <c r="T193" s="302"/>
    </row>
    <row r="194" spans="1:20" s="389" customFormat="1" x14ac:dyDescent="0.2">
      <c r="A194" s="201"/>
      <c r="B194" s="631" t="s">
        <v>543</v>
      </c>
      <c r="C194" s="632" t="s">
        <v>46</v>
      </c>
      <c r="D194" s="504"/>
      <c r="E194" s="505"/>
      <c r="F194" s="889" t="s">
        <v>828</v>
      </c>
      <c r="G194" s="1342"/>
      <c r="H194" s="1344"/>
      <c r="I194" s="1345"/>
      <c r="J194" s="1341">
        <v>2655.17</v>
      </c>
      <c r="K194" s="505"/>
      <c r="L194" s="505"/>
      <c r="M194" s="505"/>
      <c r="N194" s="505"/>
      <c r="O194" s="201"/>
      <c r="P194" s="1051">
        <f>IF(AND(ISNUMBER(J195),'Validn data - hide'!C110&gt;0),IF(J195/'Validn data - hide'!C110-1&gt;'Validn data - hide'!$L110,1,IF(J195/'Validn data - hide'!C110-1&lt;-'Validn data - hide'!$L110,-1,0)),0)</f>
        <v>0</v>
      </c>
      <c r="Q194" s="36"/>
      <c r="R194" s="36"/>
      <c r="S194" s="36"/>
      <c r="T194" s="36"/>
    </row>
    <row r="195" spans="1:20" s="389" customFormat="1" x14ac:dyDescent="0.2">
      <c r="A195" s="201"/>
      <c r="B195" s="633" t="s">
        <v>544</v>
      </c>
      <c r="C195" s="632" t="s">
        <v>49</v>
      </c>
      <c r="D195" s="504"/>
      <c r="E195" s="505"/>
      <c r="F195" s="889" t="s">
        <v>829</v>
      </c>
      <c r="G195" s="1342"/>
      <c r="H195" s="1344"/>
      <c r="I195" s="1345"/>
      <c r="J195" s="1341"/>
      <c r="K195" s="505"/>
      <c r="L195" s="505"/>
      <c r="M195" s="505"/>
      <c r="N195" s="505"/>
      <c r="O195" s="201"/>
      <c r="P195" s="1051">
        <f>IF(AND(ISNUMBER(J196),'Validn data - hide'!C111&gt;0),IF(J196/'Validn data - hide'!C111-1&gt;'Validn data - hide'!$L111,1,IF(J196/'Validn data - hide'!C111-1&lt;-'Validn data - hide'!$L111,-1,0)),0)</f>
        <v>-1</v>
      </c>
      <c r="Q195" s="36"/>
      <c r="R195" s="36"/>
      <c r="S195" s="36"/>
      <c r="T195" s="36"/>
    </row>
    <row r="196" spans="1:20" s="389" customFormat="1" x14ac:dyDescent="0.2">
      <c r="A196" s="201"/>
      <c r="B196" s="633" t="s">
        <v>545</v>
      </c>
      <c r="C196" s="634" t="s">
        <v>532</v>
      </c>
      <c r="D196" s="504"/>
      <c r="E196" s="505"/>
      <c r="F196" s="889" t="s">
        <v>830</v>
      </c>
      <c r="G196" s="1342"/>
      <c r="H196" s="1344"/>
      <c r="I196" s="1345"/>
      <c r="J196" s="1341">
        <v>28.17</v>
      </c>
      <c r="K196" s="505"/>
      <c r="L196" s="505"/>
      <c r="M196" s="505"/>
      <c r="N196" s="505"/>
      <c r="O196" s="201"/>
      <c r="P196" s="1051">
        <f>IF(AND(ISNUMBER(J197),'Validn data - hide'!C112&gt;0),IF(J197/'Validn data - hide'!C112-1&gt;'Validn data - hide'!$L112,1,IF(J197/'Validn data - hide'!C112-1&lt;-'Validn data - hide'!$L112,-1,0)),0)</f>
        <v>-1</v>
      </c>
      <c r="Q196" s="36"/>
      <c r="R196" s="36"/>
      <c r="S196" s="36"/>
      <c r="T196" s="36"/>
    </row>
    <row r="197" spans="1:20" s="389" customFormat="1" x14ac:dyDescent="0.2">
      <c r="A197" s="201"/>
      <c r="B197" s="633" t="s">
        <v>546</v>
      </c>
      <c r="C197" s="632" t="s">
        <v>83</v>
      </c>
      <c r="D197" s="504"/>
      <c r="E197" s="505"/>
      <c r="F197" s="889" t="s">
        <v>831</v>
      </c>
      <c r="G197" s="1342"/>
      <c r="H197" s="1344"/>
      <c r="I197" s="1345"/>
      <c r="J197" s="1341">
        <v>20</v>
      </c>
      <c r="K197" s="505"/>
      <c r="L197" s="505"/>
      <c r="M197" s="505"/>
      <c r="N197" s="505"/>
      <c r="O197" s="201"/>
      <c r="P197" s="1051">
        <f>IF(AND(ISNUMBER(J198),'Validn data - hide'!C113&gt;0),IF(J198/'Validn data - hide'!C113-1&gt;'Validn data - hide'!$L113,1,IF(J198/'Validn data - hide'!C113-1&lt;-'Validn data - hide'!$L113,-1,0)),0)</f>
        <v>0</v>
      </c>
      <c r="Q197" s="36"/>
      <c r="R197" s="36"/>
      <c r="S197" s="36"/>
      <c r="T197" s="36"/>
    </row>
    <row r="198" spans="1:20" s="389" customFormat="1" x14ac:dyDescent="0.2">
      <c r="A198" s="201"/>
      <c r="B198" s="633" t="s">
        <v>547</v>
      </c>
      <c r="C198" s="634" t="s">
        <v>532</v>
      </c>
      <c r="D198" s="504"/>
      <c r="E198" s="505"/>
      <c r="F198" s="889" t="s">
        <v>832</v>
      </c>
      <c r="G198" s="1342"/>
      <c r="H198" s="1344"/>
      <c r="I198" s="1345"/>
      <c r="J198" s="1341"/>
      <c r="K198" s="505"/>
      <c r="L198" s="505"/>
      <c r="M198" s="505"/>
      <c r="N198" s="505"/>
      <c r="O198" s="201"/>
      <c r="P198" s="1051">
        <f>IF(AND(ISNUMBER(J199),'Validn data - hide'!C114&gt;0),IF(J199/'Validn data - hide'!C114-1&gt;'Validn data - hide'!$L114,1,IF(J199/'Validn data - hide'!C114-1&lt;-'Validn data - hide'!$L114,-1,0)),0)</f>
        <v>-1</v>
      </c>
      <c r="Q198" s="36"/>
      <c r="R198" s="36"/>
      <c r="S198" s="36"/>
      <c r="T198" s="36"/>
    </row>
    <row r="199" spans="1:20" s="389" customFormat="1" x14ac:dyDescent="0.2">
      <c r="A199" s="201"/>
      <c r="B199" s="633" t="s">
        <v>548</v>
      </c>
      <c r="C199" s="634" t="s">
        <v>532</v>
      </c>
      <c r="D199" s="504"/>
      <c r="E199" s="505"/>
      <c r="F199" s="889" t="s">
        <v>833</v>
      </c>
      <c r="G199" s="1342"/>
      <c r="H199" s="1344"/>
      <c r="I199" s="1345"/>
      <c r="J199" s="1341">
        <v>678.75000000000011</v>
      </c>
      <c r="K199" s="505"/>
      <c r="L199" s="505"/>
      <c r="M199" s="505"/>
      <c r="N199" s="505"/>
      <c r="O199" s="201"/>
      <c r="P199" s="1051">
        <f>IF(AND(ISNUMBER(J200),'Validn data - hide'!C115&gt;0),IF(J200/'Validn data - hide'!C115-1&gt;'Validn data - hide'!$L115,1,IF(J200/'Validn data - hide'!C115-1&lt;-'Validn data - hide'!$L115,-1,0)),0)</f>
        <v>-1</v>
      </c>
      <c r="Q199" s="36"/>
      <c r="R199" s="36"/>
      <c r="S199" s="36"/>
      <c r="T199" s="36"/>
    </row>
    <row r="200" spans="1:20" s="389" customFormat="1" x14ac:dyDescent="0.2">
      <c r="A200" s="201"/>
      <c r="B200" s="633" t="s">
        <v>549</v>
      </c>
      <c r="C200" s="632" t="s">
        <v>98</v>
      </c>
      <c r="D200" s="504"/>
      <c r="E200" s="505"/>
      <c r="F200" s="889" t="s">
        <v>834</v>
      </c>
      <c r="G200" s="1342"/>
      <c r="H200" s="1346"/>
      <c r="I200" s="1346"/>
      <c r="J200" s="1341">
        <v>246.54</v>
      </c>
      <c r="K200" s="505"/>
      <c r="L200" s="505"/>
      <c r="M200" s="505"/>
      <c r="N200" s="505"/>
      <c r="O200" s="201"/>
      <c r="P200" s="1051">
        <f>IF(AND(ISNUMBER(J201),'Validn data - hide'!C116&gt;0),IF(J201/'Validn data - hide'!C116-1&gt;'Validn data - hide'!$L116,1,IF(J201/'Validn data - hide'!C116-1&lt;-'Validn data - hide'!$L116,-1,0)),0)</f>
        <v>0</v>
      </c>
      <c r="Q200" s="36"/>
      <c r="R200" s="36"/>
      <c r="S200" s="36"/>
      <c r="T200" s="36"/>
    </row>
    <row r="201" spans="1:20" s="389" customFormat="1" x14ac:dyDescent="0.2">
      <c r="A201" s="201"/>
      <c r="B201" s="633" t="s">
        <v>39</v>
      </c>
      <c r="C201" s="634" t="s">
        <v>532</v>
      </c>
      <c r="D201" s="504"/>
      <c r="E201" s="505"/>
      <c r="F201" s="889" t="s">
        <v>835</v>
      </c>
      <c r="G201" s="1342"/>
      <c r="H201" s="1346"/>
      <c r="I201" s="1346"/>
      <c r="J201" s="1341"/>
      <c r="K201" s="505"/>
      <c r="L201" s="505"/>
      <c r="M201" s="505"/>
      <c r="N201" s="505"/>
      <c r="O201" s="201"/>
      <c r="P201" s="1051">
        <f>IF(AND(ISNUMBER(J202),'Validn data - hide'!C117&gt;0),IF(J202/'Validn data - hide'!C117-1&gt;'Validn data - hide'!$L117,1,IF(J202/'Validn data - hide'!C117-1&lt;-'Validn data - hide'!$L117,-1,0)),0)</f>
        <v>0</v>
      </c>
      <c r="Q201" s="36"/>
      <c r="R201" s="36"/>
      <c r="S201" s="36"/>
      <c r="T201" s="36"/>
    </row>
    <row r="202" spans="1:20" s="389" customFormat="1" x14ac:dyDescent="0.2">
      <c r="A202" s="201"/>
      <c r="B202" s="633" t="s">
        <v>550</v>
      </c>
      <c r="C202" s="634" t="s">
        <v>532</v>
      </c>
      <c r="D202" s="504"/>
      <c r="E202" s="505"/>
      <c r="F202" s="889" t="s">
        <v>836</v>
      </c>
      <c r="G202" s="1347"/>
      <c r="H202" s="1348"/>
      <c r="I202" s="1348"/>
      <c r="J202" s="1349"/>
      <c r="K202" s="505"/>
      <c r="L202" s="505"/>
      <c r="M202" s="505"/>
      <c r="N202" s="505"/>
      <c r="O202" s="201"/>
      <c r="P202" s="1051"/>
      <c r="Q202" s="36"/>
      <c r="R202" s="36"/>
      <c r="S202" s="36"/>
      <c r="T202" s="36"/>
    </row>
    <row r="203" spans="1:20" s="389" customFormat="1" x14ac:dyDescent="0.2">
      <c r="A203" s="201"/>
      <c r="B203" s="633" t="s">
        <v>27</v>
      </c>
      <c r="C203" s="634" t="s">
        <v>532</v>
      </c>
      <c r="D203" s="504"/>
      <c r="E203" s="505"/>
      <c r="F203" s="505"/>
      <c r="G203" s="505"/>
      <c r="H203" s="505"/>
      <c r="I203" s="505"/>
      <c r="J203" s="505"/>
      <c r="K203" s="505"/>
      <c r="L203" s="505"/>
      <c r="M203" s="505"/>
      <c r="N203" s="505"/>
      <c r="O203" s="201"/>
      <c r="P203" s="36"/>
      <c r="Q203" s="36"/>
      <c r="R203" s="36"/>
      <c r="S203" s="36"/>
      <c r="T203" s="36"/>
    </row>
    <row r="204" spans="1:20" s="389" customFormat="1" x14ac:dyDescent="0.2">
      <c r="A204" s="201"/>
      <c r="B204" s="633" t="s">
        <v>551</v>
      </c>
      <c r="C204" s="634" t="s">
        <v>532</v>
      </c>
      <c r="D204" s="504"/>
      <c r="E204" s="505"/>
      <c r="F204" s="505"/>
      <c r="G204" s="95" t="s">
        <v>16</v>
      </c>
      <c r="H204" s="95" t="s">
        <v>17</v>
      </c>
      <c r="I204" s="95" t="s">
        <v>18</v>
      </c>
      <c r="J204" s="479" t="s">
        <v>88</v>
      </c>
      <c r="K204" s="505"/>
      <c r="L204" s="505"/>
      <c r="M204" s="505"/>
      <c r="N204" s="505"/>
      <c r="O204" s="201"/>
      <c r="P204" s="36"/>
      <c r="Q204" s="36"/>
      <c r="R204" s="36"/>
      <c r="S204" s="36"/>
      <c r="T204" s="36"/>
    </row>
    <row r="205" spans="1:20" s="389" customFormat="1" x14ac:dyDescent="0.2">
      <c r="A205" s="201"/>
      <c r="B205" s="633" t="s">
        <v>552</v>
      </c>
      <c r="C205" s="634" t="s">
        <v>532</v>
      </c>
      <c r="D205" s="504"/>
      <c r="E205" s="505"/>
      <c r="F205" s="901" t="s">
        <v>42</v>
      </c>
      <c r="G205" s="1304" t="str">
        <f>IF(SUM(G$172:G$202)&gt;0,SUMIF($C$181:$C$211,$F205,G$172:G$202),"")</f>
        <v/>
      </c>
      <c r="H205" s="1305" t="str">
        <f t="shared" ref="H205:I220" si="11">IF(SUM(H$172:H$202)&gt;0,SUMIF($C$181:$C$211,$F205,H$172:H$202),"")</f>
        <v/>
      </c>
      <c r="I205" s="891" t="str">
        <f t="shared" si="11"/>
        <v/>
      </c>
      <c r="J205" s="1301">
        <f>IF(ISNUMBER(G205),SUM(G205:I205),SUMIF($C$181:$C$211,$F205,J$172:J$202))</f>
        <v>24333</v>
      </c>
      <c r="K205" s="505"/>
      <c r="L205" s="505"/>
      <c r="M205" s="505"/>
      <c r="N205" s="505"/>
      <c r="O205" s="201"/>
      <c r="P205" s="36"/>
      <c r="Q205" s="36"/>
      <c r="R205" s="36"/>
      <c r="S205" s="36"/>
      <c r="T205" s="36"/>
    </row>
    <row r="206" spans="1:20" s="389" customFormat="1" x14ac:dyDescent="0.2">
      <c r="A206" s="201"/>
      <c r="B206" s="635" t="s">
        <v>693</v>
      </c>
      <c r="C206" s="634" t="s">
        <v>532</v>
      </c>
      <c r="D206" s="504"/>
      <c r="E206" s="505"/>
      <c r="F206" s="901" t="s">
        <v>44</v>
      </c>
      <c r="G206" s="1306" t="str">
        <f t="shared" ref="G206:G220" si="12">IF(SUM(G$172:G$202)&gt;0,SUMIF($C$181:$C$211,$F206,G$172:G$202),"")</f>
        <v/>
      </c>
      <c r="H206" s="1300" t="str">
        <f t="shared" si="11"/>
        <v/>
      </c>
      <c r="I206" s="892" t="str">
        <f t="shared" si="11"/>
        <v/>
      </c>
      <c r="J206" s="1302">
        <f t="shared" ref="J206:J220" si="13">IF(ISNUMBER(G206),SUM(G206:I206),SUMIF($C$181:$C$211,$F206,J$172:J$202))</f>
        <v>39104.14</v>
      </c>
      <c r="K206" s="505"/>
      <c r="L206" s="505"/>
      <c r="M206" s="505"/>
      <c r="N206" s="505"/>
      <c r="O206" s="201"/>
      <c r="P206" s="36"/>
      <c r="Q206" s="36"/>
      <c r="R206" s="36"/>
      <c r="S206" s="36"/>
      <c r="T206" s="36"/>
    </row>
    <row r="207" spans="1:20" s="389" customFormat="1" x14ac:dyDescent="0.2">
      <c r="A207" s="201"/>
      <c r="B207" s="633" t="s">
        <v>553</v>
      </c>
      <c r="C207" s="634" t="s">
        <v>532</v>
      </c>
      <c r="D207" s="504"/>
      <c r="E207" s="505"/>
      <c r="F207" s="901" t="s">
        <v>46</v>
      </c>
      <c r="G207" s="1306" t="str">
        <f t="shared" si="12"/>
        <v/>
      </c>
      <c r="H207" s="1300" t="str">
        <f t="shared" si="11"/>
        <v/>
      </c>
      <c r="I207" s="892" t="str">
        <f t="shared" si="11"/>
        <v/>
      </c>
      <c r="J207" s="1302">
        <f t="shared" si="13"/>
        <v>142781.70000000001</v>
      </c>
      <c r="K207" s="505"/>
      <c r="L207" s="505"/>
      <c r="M207" s="505"/>
      <c r="N207" s="505"/>
      <c r="O207" s="201"/>
      <c r="P207" s="36"/>
      <c r="Q207" s="36"/>
      <c r="R207" s="36"/>
      <c r="S207" s="36"/>
      <c r="T207" s="36"/>
    </row>
    <row r="208" spans="1:20" s="389" customFormat="1" x14ac:dyDescent="0.2">
      <c r="A208" s="201"/>
      <c r="B208" s="633" t="s">
        <v>554</v>
      </c>
      <c r="C208" s="634" t="s">
        <v>532</v>
      </c>
      <c r="D208" s="505"/>
      <c r="E208" s="505"/>
      <c r="F208" s="901" t="s">
        <v>49</v>
      </c>
      <c r="G208" s="1306" t="str">
        <f t="shared" si="12"/>
        <v/>
      </c>
      <c r="H208" s="1300" t="str">
        <f t="shared" si="11"/>
        <v/>
      </c>
      <c r="I208" s="892" t="str">
        <f t="shared" si="11"/>
        <v/>
      </c>
      <c r="J208" s="1302">
        <f t="shared" si="13"/>
        <v>0</v>
      </c>
      <c r="K208" s="505"/>
      <c r="L208" s="505"/>
      <c r="M208" s="505"/>
      <c r="N208" s="505"/>
      <c r="O208" s="201"/>
      <c r="P208" s="36"/>
      <c r="Q208" s="36"/>
      <c r="R208" s="36"/>
      <c r="S208" s="36"/>
      <c r="T208" s="36"/>
    </row>
    <row r="209" spans="1:20" s="389" customFormat="1" x14ac:dyDescent="0.2">
      <c r="A209" s="201"/>
      <c r="B209" s="633" t="s">
        <v>555</v>
      </c>
      <c r="C209" s="634" t="s">
        <v>532</v>
      </c>
      <c r="D209" s="505"/>
      <c r="E209" s="505"/>
      <c r="F209" s="901" t="s">
        <v>56</v>
      </c>
      <c r="G209" s="1306" t="str">
        <f t="shared" si="12"/>
        <v/>
      </c>
      <c r="H209" s="1300" t="str">
        <f t="shared" si="11"/>
        <v/>
      </c>
      <c r="I209" s="892" t="str">
        <f t="shared" si="11"/>
        <v/>
      </c>
      <c r="J209" s="1302">
        <f t="shared" si="13"/>
        <v>23649.829999999998</v>
      </c>
      <c r="K209" s="505"/>
      <c r="L209" s="505"/>
      <c r="M209" s="505"/>
      <c r="N209" s="505"/>
      <c r="O209" s="201"/>
      <c r="P209" s="36"/>
      <c r="Q209" s="36"/>
      <c r="R209" s="36"/>
      <c r="S209" s="36"/>
      <c r="T209" s="36"/>
    </row>
    <row r="210" spans="1:20" s="389" customFormat="1" x14ac:dyDescent="0.2">
      <c r="A210" s="201"/>
      <c r="B210" s="633" t="s">
        <v>556</v>
      </c>
      <c r="C210" s="634" t="s">
        <v>532</v>
      </c>
      <c r="D210" s="505"/>
      <c r="E210" s="505"/>
      <c r="F210" s="901" t="s">
        <v>52</v>
      </c>
      <c r="G210" s="1306" t="str">
        <f t="shared" si="12"/>
        <v/>
      </c>
      <c r="H210" s="1300" t="str">
        <f t="shared" si="11"/>
        <v/>
      </c>
      <c r="I210" s="892" t="str">
        <f t="shared" si="11"/>
        <v/>
      </c>
      <c r="J210" s="1302">
        <f t="shared" si="13"/>
        <v>3039.82</v>
      </c>
      <c r="K210" s="505"/>
      <c r="L210" s="505"/>
      <c r="M210" s="505"/>
      <c r="N210" s="505"/>
      <c r="O210" s="201"/>
      <c r="P210" s="36"/>
      <c r="Q210" s="36"/>
      <c r="R210" s="36"/>
      <c r="S210" s="36"/>
      <c r="T210" s="36"/>
    </row>
    <row r="211" spans="1:20" s="389" customFormat="1" x14ac:dyDescent="0.2">
      <c r="A211" s="201"/>
      <c r="B211" s="636" t="s">
        <v>557</v>
      </c>
      <c r="C211" s="637" t="s">
        <v>532</v>
      </c>
      <c r="D211" s="505"/>
      <c r="E211" s="505"/>
      <c r="F211" s="901" t="s">
        <v>54</v>
      </c>
      <c r="G211" s="1306" t="str">
        <f t="shared" si="12"/>
        <v/>
      </c>
      <c r="H211" s="1300" t="str">
        <f t="shared" si="11"/>
        <v/>
      </c>
      <c r="I211" s="892" t="str">
        <f t="shared" si="11"/>
        <v/>
      </c>
      <c r="J211" s="1302">
        <f t="shared" si="13"/>
        <v>0</v>
      </c>
      <c r="K211" s="505"/>
      <c r="L211" s="505"/>
      <c r="M211" s="505"/>
      <c r="N211" s="505"/>
      <c r="O211" s="201"/>
      <c r="P211" s="36"/>
      <c r="Q211" s="36"/>
      <c r="R211" s="36"/>
      <c r="S211" s="36"/>
      <c r="T211" s="36"/>
    </row>
    <row r="212" spans="1:20" s="389" customFormat="1" x14ac:dyDescent="0.2">
      <c r="A212" s="201"/>
      <c r="B212" s="505"/>
      <c r="C212" s="505"/>
      <c r="D212" s="505"/>
      <c r="E212" s="505"/>
      <c r="F212" s="901" t="s">
        <v>61</v>
      </c>
      <c r="G212" s="1306" t="str">
        <f t="shared" si="12"/>
        <v/>
      </c>
      <c r="H212" s="1300" t="str">
        <f t="shared" si="11"/>
        <v/>
      </c>
      <c r="I212" s="892" t="str">
        <f t="shared" si="11"/>
        <v/>
      </c>
      <c r="J212" s="1302">
        <f t="shared" si="13"/>
        <v>435</v>
      </c>
      <c r="K212" s="505"/>
      <c r="L212" s="505"/>
      <c r="M212" s="505"/>
      <c r="N212" s="505"/>
      <c r="O212" s="201"/>
      <c r="P212" s="36"/>
      <c r="Q212" s="36"/>
      <c r="R212" s="36"/>
      <c r="S212" s="36"/>
      <c r="T212" s="36"/>
    </row>
    <row r="213" spans="1:20" s="389" customFormat="1" x14ac:dyDescent="0.2">
      <c r="A213" s="201"/>
      <c r="B213" s="505"/>
      <c r="C213" s="505"/>
      <c r="D213" s="505"/>
      <c r="E213" s="505"/>
      <c r="F213" s="901" t="s">
        <v>63</v>
      </c>
      <c r="G213" s="1306" t="str">
        <f t="shared" si="12"/>
        <v/>
      </c>
      <c r="H213" s="1300" t="str">
        <f t="shared" si="11"/>
        <v/>
      </c>
      <c r="I213" s="892" t="str">
        <f t="shared" si="11"/>
        <v/>
      </c>
      <c r="J213" s="1302">
        <f t="shared" si="13"/>
        <v>227397.59</v>
      </c>
      <c r="K213" s="505"/>
      <c r="L213" s="505"/>
      <c r="M213" s="505"/>
      <c r="N213" s="505"/>
      <c r="O213" s="201"/>
      <c r="P213" s="36"/>
      <c r="Q213" s="36"/>
      <c r="R213" s="36"/>
      <c r="S213" s="36"/>
      <c r="T213" s="36"/>
    </row>
    <row r="214" spans="1:20" s="389" customFormat="1" x14ac:dyDescent="0.2">
      <c r="A214" s="201"/>
      <c r="B214" s="505"/>
      <c r="C214" s="505"/>
      <c r="D214" s="505"/>
      <c r="E214" s="505"/>
      <c r="F214" s="901" t="s">
        <v>67</v>
      </c>
      <c r="G214" s="1306" t="str">
        <f t="shared" si="12"/>
        <v/>
      </c>
      <c r="H214" s="1300" t="str">
        <f t="shared" si="11"/>
        <v/>
      </c>
      <c r="I214" s="892" t="str">
        <f t="shared" si="11"/>
        <v/>
      </c>
      <c r="J214" s="1302">
        <f t="shared" si="13"/>
        <v>19267.18</v>
      </c>
      <c r="K214" s="505"/>
      <c r="L214" s="505"/>
      <c r="M214" s="505"/>
      <c r="N214" s="505"/>
      <c r="O214" s="201"/>
      <c r="P214" s="36"/>
      <c r="Q214" s="36"/>
      <c r="R214" s="36"/>
      <c r="S214" s="36"/>
      <c r="T214" s="36"/>
    </row>
    <row r="215" spans="1:20" s="389" customFormat="1" x14ac:dyDescent="0.2">
      <c r="A215" s="201"/>
      <c r="B215" s="505"/>
      <c r="C215" s="505"/>
      <c r="D215" s="505"/>
      <c r="E215" s="505"/>
      <c r="F215" s="901" t="s">
        <v>89</v>
      </c>
      <c r="G215" s="1306" t="str">
        <f t="shared" si="12"/>
        <v/>
      </c>
      <c r="H215" s="1300" t="str">
        <f t="shared" si="11"/>
        <v/>
      </c>
      <c r="I215" s="892" t="str">
        <f t="shared" si="11"/>
        <v/>
      </c>
      <c r="J215" s="1302">
        <f t="shared" si="13"/>
        <v>10755.460000000001</v>
      </c>
      <c r="K215" s="505"/>
      <c r="L215" s="505"/>
      <c r="M215" s="505"/>
      <c r="N215" s="505"/>
      <c r="O215" s="201"/>
      <c r="P215" s="36"/>
      <c r="Q215" s="36"/>
      <c r="R215" s="36"/>
      <c r="S215" s="36"/>
      <c r="T215" s="36"/>
    </row>
    <row r="216" spans="1:20" s="389" customFormat="1" x14ac:dyDescent="0.2">
      <c r="A216" s="201"/>
      <c r="B216" s="505"/>
      <c r="C216" s="505"/>
      <c r="D216" s="505"/>
      <c r="E216" s="505"/>
      <c r="F216" s="901" t="s">
        <v>20</v>
      </c>
      <c r="G216" s="1306" t="str">
        <f t="shared" si="12"/>
        <v/>
      </c>
      <c r="H216" s="1300" t="str">
        <f t="shared" si="11"/>
        <v/>
      </c>
      <c r="I216" s="892" t="str">
        <f t="shared" si="11"/>
        <v/>
      </c>
      <c r="J216" s="1302">
        <f t="shared" si="13"/>
        <v>22944.19</v>
      </c>
      <c r="K216" s="505"/>
      <c r="L216" s="505"/>
      <c r="M216" s="505"/>
      <c r="N216" s="505"/>
      <c r="O216" s="201"/>
      <c r="P216" s="36"/>
      <c r="Q216" s="36"/>
      <c r="R216" s="36"/>
      <c r="S216" s="36"/>
      <c r="T216" s="36"/>
    </row>
    <row r="217" spans="1:20" s="389" customFormat="1" x14ac:dyDescent="0.2">
      <c r="A217" s="201"/>
      <c r="B217" s="505"/>
      <c r="C217" s="505"/>
      <c r="D217" s="505"/>
      <c r="E217" s="505"/>
      <c r="F217" s="902" t="s">
        <v>30</v>
      </c>
      <c r="G217" s="1306" t="str">
        <f t="shared" si="12"/>
        <v/>
      </c>
      <c r="H217" s="1300" t="str">
        <f t="shared" si="11"/>
        <v/>
      </c>
      <c r="I217" s="892" t="str">
        <f t="shared" si="11"/>
        <v/>
      </c>
      <c r="J217" s="1302">
        <f t="shared" si="13"/>
        <v>14344.73</v>
      </c>
      <c r="K217" s="505"/>
      <c r="L217" s="505"/>
      <c r="M217" s="505"/>
      <c r="N217" s="505"/>
      <c r="O217" s="201"/>
      <c r="P217" s="36"/>
      <c r="Q217" s="36"/>
      <c r="R217" s="36"/>
      <c r="S217" s="36"/>
      <c r="T217" s="36"/>
    </row>
    <row r="218" spans="1:20" s="389" customFormat="1" x14ac:dyDescent="0.2">
      <c r="A218" s="201"/>
      <c r="B218" s="505"/>
      <c r="C218" s="505"/>
      <c r="D218" s="505"/>
      <c r="E218" s="505"/>
      <c r="F218" s="901" t="s">
        <v>83</v>
      </c>
      <c r="G218" s="1306" t="str">
        <f t="shared" si="12"/>
        <v/>
      </c>
      <c r="H218" s="1300" t="str">
        <f t="shared" si="11"/>
        <v/>
      </c>
      <c r="I218" s="892" t="str">
        <f t="shared" si="11"/>
        <v/>
      </c>
      <c r="J218" s="1302">
        <f t="shared" si="13"/>
        <v>1404</v>
      </c>
      <c r="K218" s="505"/>
      <c r="L218" s="505"/>
      <c r="M218" s="505"/>
      <c r="N218" s="505"/>
      <c r="O218" s="201"/>
      <c r="P218" s="36"/>
      <c r="Q218" s="36"/>
      <c r="R218" s="36"/>
      <c r="S218" s="36"/>
      <c r="T218" s="36"/>
    </row>
    <row r="219" spans="1:20" s="389" customFormat="1" x14ac:dyDescent="0.2">
      <c r="A219" s="201"/>
      <c r="B219" s="505"/>
      <c r="C219" s="505"/>
      <c r="D219" s="505"/>
      <c r="E219" s="505"/>
      <c r="F219" s="901" t="s">
        <v>568</v>
      </c>
      <c r="G219" s="1306" t="str">
        <f t="shared" si="12"/>
        <v/>
      </c>
      <c r="H219" s="1300" t="str">
        <f t="shared" si="11"/>
        <v/>
      </c>
      <c r="I219" s="892" t="str">
        <f t="shared" si="11"/>
        <v/>
      </c>
      <c r="J219" s="1302">
        <f t="shared" si="13"/>
        <v>0</v>
      </c>
      <c r="K219" s="505"/>
      <c r="L219" s="505"/>
      <c r="M219" s="505"/>
      <c r="N219" s="505"/>
      <c r="O219" s="201"/>
      <c r="P219" s="36"/>
      <c r="Q219" s="36"/>
      <c r="R219" s="36"/>
      <c r="S219" s="36"/>
      <c r="T219" s="36"/>
    </row>
    <row r="220" spans="1:20" s="389" customFormat="1" x14ac:dyDescent="0.2">
      <c r="A220" s="201"/>
      <c r="B220" s="505"/>
      <c r="C220" s="505"/>
      <c r="D220" s="505"/>
      <c r="E220" s="505"/>
      <c r="F220" s="903" t="s">
        <v>98</v>
      </c>
      <c r="G220" s="1307" t="str">
        <f t="shared" si="12"/>
        <v/>
      </c>
      <c r="H220" s="1308" t="str">
        <f t="shared" si="11"/>
        <v/>
      </c>
      <c r="I220" s="1299" t="str">
        <f t="shared" si="11"/>
        <v/>
      </c>
      <c r="J220" s="1303">
        <f t="shared" si="13"/>
        <v>419.57</v>
      </c>
      <c r="K220" s="505"/>
      <c r="L220" s="505"/>
      <c r="M220" s="505"/>
      <c r="N220" s="505"/>
      <c r="O220" s="201"/>
      <c r="P220" s="36"/>
      <c r="Q220" s="36"/>
      <c r="R220" s="36"/>
      <c r="S220" s="36"/>
      <c r="T220" s="36"/>
    </row>
    <row r="221" spans="1:20" s="389" customFormat="1" x14ac:dyDescent="0.25">
      <c r="A221" s="201"/>
      <c r="B221" s="505"/>
      <c r="C221" s="505"/>
      <c r="D221" s="505"/>
      <c r="E221" s="505"/>
      <c r="F221" s="505"/>
      <c r="G221" s="505"/>
      <c r="H221" s="505"/>
      <c r="I221" s="505"/>
      <c r="J221" s="505"/>
      <c r="K221" s="505"/>
      <c r="L221" s="505"/>
      <c r="M221" s="505"/>
      <c r="N221" s="505"/>
      <c r="O221" s="201"/>
      <c r="P221" s="36"/>
      <c r="Q221" s="36"/>
      <c r="R221" s="36"/>
      <c r="S221" s="36"/>
      <c r="T221" s="36"/>
    </row>
    <row r="222" spans="1:20" s="188" customFormat="1" x14ac:dyDescent="0.25">
      <c r="A222" s="201"/>
      <c r="B222" s="99"/>
      <c r="C222" s="197"/>
      <c r="D222" s="197"/>
      <c r="E222" s="197"/>
      <c r="F222" s="197"/>
      <c r="G222" s="197"/>
      <c r="H222" s="197"/>
      <c r="I222" s="197"/>
      <c r="J222" s="197"/>
      <c r="K222" s="197"/>
      <c r="L222" s="197"/>
      <c r="M222" s="197"/>
      <c r="N222" s="197"/>
      <c r="O222" s="201"/>
      <c r="P222" s="36"/>
      <c r="Q222" s="36"/>
      <c r="R222" s="36"/>
      <c r="S222" s="36"/>
      <c r="T222" s="36"/>
    </row>
    <row r="223" spans="1:20" s="188" customFormat="1" x14ac:dyDescent="0.2">
      <c r="A223" s="201"/>
      <c r="B223" s="1573" t="s">
        <v>127</v>
      </c>
      <c r="C223" s="1603" t="s">
        <v>1006</v>
      </c>
      <c r="D223" s="197"/>
      <c r="E223" s="197"/>
      <c r="G223" s="791" t="s">
        <v>16</v>
      </c>
      <c r="H223" s="791" t="s">
        <v>17</v>
      </c>
      <c r="I223" s="791" t="s">
        <v>18</v>
      </c>
      <c r="K223" s="197"/>
      <c r="L223" s="197"/>
      <c r="M223" s="878" t="s">
        <v>393</v>
      </c>
      <c r="N223" s="2586" t="s">
        <v>914</v>
      </c>
      <c r="O223" s="201"/>
      <c r="P223" s="36"/>
      <c r="Q223" s="36"/>
      <c r="R223" s="36"/>
      <c r="S223" s="36"/>
      <c r="T223" s="36"/>
    </row>
    <row r="224" spans="1:20" s="188" customFormat="1" ht="12.75" customHeight="1" x14ac:dyDescent="0.2">
      <c r="A224" s="201"/>
      <c r="B224" s="878" t="s">
        <v>323</v>
      </c>
      <c r="C224" s="2596" t="s">
        <v>838</v>
      </c>
      <c r="D224" s="197"/>
      <c r="E224" s="197"/>
      <c r="F224" s="789" t="s">
        <v>42</v>
      </c>
      <c r="G224" s="1309" t="str">
        <f>IFERROR(G205*(1-'Other national data'!$I$476/'Other national data'!$G$468),"")</f>
        <v/>
      </c>
      <c r="H224" s="1310" t="str">
        <f>IFERROR(H205*(1-'Other national data'!$I$476/'Other national data'!$G$468),"")</f>
        <v/>
      </c>
      <c r="I224" s="1311" t="str">
        <f>IFERROR(I205*(1-'Other national data'!$I$476/'Other national data'!$G$468),"")</f>
        <v/>
      </c>
      <c r="J224" s="897">
        <f>IF(ISNUMBER(G224),SUM(G224:I224),J205*(1-'Other national data'!$I$476/'Other national data'!$G$468))</f>
        <v>21776.052549117714</v>
      </c>
      <c r="K224" s="197"/>
      <c r="L224" s="197"/>
      <c r="M224" s="221"/>
      <c r="N224" s="2588"/>
      <c r="O224" s="201"/>
      <c r="P224" s="36"/>
      <c r="Q224" s="36"/>
      <c r="R224" s="36"/>
      <c r="S224" s="36"/>
      <c r="T224" s="36"/>
    </row>
    <row r="225" spans="1:20" s="191" customFormat="1" x14ac:dyDescent="0.2">
      <c r="A225" s="201"/>
      <c r="B225" s="236"/>
      <c r="C225" s="2630"/>
      <c r="D225" s="880"/>
      <c r="E225" s="880"/>
      <c r="F225" s="789" t="s">
        <v>44</v>
      </c>
      <c r="G225" s="1312" t="str">
        <f>IFERROR(G206*(1-'Other national data'!$I$476/'Other national data'!$G$468),"")</f>
        <v/>
      </c>
      <c r="H225" s="1313" t="str">
        <f>IFERROR(H206*(1-'Other national data'!$I$476/'Other national data'!$G$468),"")</f>
        <v/>
      </c>
      <c r="I225" s="1314" t="str">
        <f>IFERROR(I206*(1-'Other national data'!$I$476/'Other national data'!$G$468),"")</f>
        <v/>
      </c>
      <c r="J225" s="898">
        <f>IF(ISNUMBER(G225),SUM(G225:I225),J206*(1-'Other national data'!$I$476/'Other national data'!$G$468))</f>
        <v>34995.019419227217</v>
      </c>
      <c r="K225" s="197"/>
      <c r="L225" s="197"/>
      <c r="M225" s="113" t="s">
        <v>100</v>
      </c>
      <c r="N225" s="37" t="s">
        <v>102</v>
      </c>
      <c r="O225" s="201"/>
      <c r="P225" s="36"/>
      <c r="Q225" s="36"/>
      <c r="R225" s="36"/>
      <c r="S225" s="36"/>
      <c r="T225" s="36"/>
    </row>
    <row r="226" spans="1:20" s="191" customFormat="1" x14ac:dyDescent="0.2">
      <c r="A226" s="201"/>
      <c r="B226" s="202"/>
      <c r="C226" s="2596" t="s">
        <v>837</v>
      </c>
      <c r="D226" s="880"/>
      <c r="E226" s="880"/>
      <c r="F226" s="789" t="s">
        <v>46</v>
      </c>
      <c r="G226" s="1312" t="str">
        <f>IFERROR(G207*(1-'Other national data'!$I$476/'Other national data'!$G$468),"")</f>
        <v/>
      </c>
      <c r="H226" s="1313" t="str">
        <f>IFERROR(H207*(1-'Other national data'!$I$476/'Other national data'!$G$468),"")</f>
        <v/>
      </c>
      <c r="I226" s="1314" t="str">
        <f>IFERROR(I207*(1-'Other national data'!$I$476/'Other national data'!$G$468),"")</f>
        <v/>
      </c>
      <c r="J226" s="898">
        <f>IF(ISNUMBER(G226),SUM(G226:I226),J207*(1-'Other national data'!$I$476/'Other national data'!$G$468))</f>
        <v>127777.98883213582</v>
      </c>
      <c r="K226" s="197"/>
      <c r="L226" s="197"/>
      <c r="M226" s="197"/>
      <c r="N226" s="197"/>
      <c r="O226" s="201"/>
      <c r="P226" s="36"/>
      <c r="Q226" s="36"/>
      <c r="R226" s="36"/>
      <c r="S226" s="36"/>
      <c r="T226" s="36"/>
    </row>
    <row r="227" spans="1:20" s="191" customFormat="1" x14ac:dyDescent="0.2">
      <c r="A227" s="201"/>
      <c r="B227" s="879"/>
      <c r="C227" s="2597"/>
      <c r="D227" s="880"/>
      <c r="E227" s="880"/>
      <c r="F227" s="789" t="s">
        <v>49</v>
      </c>
      <c r="G227" s="1312" t="str">
        <f>IFERROR(G208*(1-'Other national data'!$I$476/'Other national data'!$G$468),"")</f>
        <v/>
      </c>
      <c r="H227" s="1313" t="str">
        <f>IFERROR(H208*(1-'Other national data'!$I$476/'Other national data'!$G$468),"")</f>
        <v/>
      </c>
      <c r="I227" s="1314" t="str">
        <f>IFERROR(I208*(1-'Other national data'!$I$476/'Other national data'!$G$468),"")</f>
        <v/>
      </c>
      <c r="J227" s="898">
        <f>IF(ISNUMBER(G227),SUM(G227:I227),J208*(1-'Other national data'!$I$476/'Other national data'!$G$468))</f>
        <v>0</v>
      </c>
      <c r="K227" s="197"/>
      <c r="L227" s="197"/>
      <c r="M227" s="197"/>
      <c r="N227" s="197"/>
      <c r="O227" s="201"/>
      <c r="P227" s="36"/>
      <c r="Q227" s="36"/>
      <c r="R227" s="36"/>
      <c r="S227" s="36"/>
      <c r="T227" s="36"/>
    </row>
    <row r="228" spans="1:20" s="191" customFormat="1" x14ac:dyDescent="0.2">
      <c r="A228" s="201"/>
      <c r="B228" s="1453" t="s">
        <v>714</v>
      </c>
      <c r="C228" s="2631" t="s">
        <v>916</v>
      </c>
      <c r="D228" s="880"/>
      <c r="E228" s="880"/>
      <c r="F228" s="789" t="s">
        <v>56</v>
      </c>
      <c r="G228" s="1312" t="str">
        <f>IFERROR(G209*(1-'Other national data'!$I$476/'Other national data'!$G$468),"")</f>
        <v/>
      </c>
      <c r="H228" s="1313" t="str">
        <f>IFERROR(H209*(1-'Other national data'!$I$476/'Other national data'!$G$468),"")</f>
        <v/>
      </c>
      <c r="I228" s="1314" t="str">
        <f>IFERROR(I209*(1-'Other national data'!$I$476/'Other national data'!$G$468),"")</f>
        <v/>
      </c>
      <c r="J228" s="898">
        <f>IF(ISNUMBER(G228),SUM(G228:I228),J209*(1-'Other national data'!$I$476/'Other national data'!$G$468))</f>
        <v>21164.671058139174</v>
      </c>
      <c r="K228" s="197"/>
      <c r="L228" s="197"/>
      <c r="M228" s="197"/>
      <c r="N228" s="197"/>
      <c r="O228" s="201"/>
      <c r="P228" s="36"/>
      <c r="Q228" s="36"/>
      <c r="R228" s="36"/>
      <c r="S228" s="36"/>
      <c r="T228" s="36"/>
    </row>
    <row r="229" spans="1:20" s="188" customFormat="1" x14ac:dyDescent="0.2">
      <c r="A229" s="201"/>
      <c r="B229" s="202"/>
      <c r="C229" s="2632"/>
      <c r="D229" s="197"/>
      <c r="E229" s="197"/>
      <c r="F229" s="789" t="s">
        <v>52</v>
      </c>
      <c r="G229" s="1312" t="str">
        <f>IFERROR(G210*(1-'Other national data'!$I$476/'Other national data'!$G$468),"")</f>
        <v/>
      </c>
      <c r="H229" s="1313" t="str">
        <f>IFERROR(H210*(1-'Other national data'!$I$476/'Other national data'!$G$468),"")</f>
        <v/>
      </c>
      <c r="I229" s="1314" t="str">
        <f>IFERROR(I210*(1-'Other national data'!$I$476/'Other national data'!$G$468),"")</f>
        <v/>
      </c>
      <c r="J229" s="898">
        <f>IF(ISNUMBER(G229),SUM(G229:I229),J210*(1-'Other national data'!$I$476/'Other national data'!$G$468))</f>
        <v>2720.3912406961331</v>
      </c>
      <c r="K229" s="197"/>
      <c r="L229" s="197"/>
      <c r="M229" s="197"/>
      <c r="N229" s="197"/>
      <c r="O229" s="201"/>
      <c r="P229" s="36"/>
      <c r="Q229" s="36"/>
      <c r="R229" s="36"/>
      <c r="S229" s="36"/>
      <c r="T229" s="36"/>
    </row>
    <row r="230" spans="1:20" s="188" customFormat="1" x14ac:dyDescent="0.2">
      <c r="A230" s="201"/>
      <c r="B230" s="203"/>
      <c r="C230" s="2633"/>
      <c r="D230" s="197"/>
      <c r="E230" s="197"/>
      <c r="F230" s="789" t="s">
        <v>54</v>
      </c>
      <c r="G230" s="1312" t="str">
        <f>IFERROR(G211*(1-'Other national data'!$I$476/'Other national data'!$G$468),"")</f>
        <v/>
      </c>
      <c r="H230" s="1313" t="str">
        <f>IFERROR(H211*(1-'Other national data'!$I$476/'Other national data'!$G$468),"")</f>
        <v/>
      </c>
      <c r="I230" s="1314" t="str">
        <f>IFERROR(I211*(1-'Other national data'!$I$476/'Other national data'!$G$468),"")</f>
        <v/>
      </c>
      <c r="J230" s="898">
        <f>IF(ISNUMBER(G230),SUM(G230:I230),J211*(1-'Other national data'!$I$476/'Other national data'!$G$468))</f>
        <v>0</v>
      </c>
      <c r="K230" s="197"/>
      <c r="L230" s="197"/>
      <c r="M230" s="197"/>
      <c r="N230" s="197"/>
      <c r="O230" s="201"/>
      <c r="P230" s="36"/>
      <c r="Q230" s="36"/>
      <c r="R230" s="36"/>
      <c r="S230" s="36"/>
      <c r="T230" s="36"/>
    </row>
    <row r="231" spans="1:20" s="188" customFormat="1" x14ac:dyDescent="0.2">
      <c r="A231" s="201"/>
      <c r="D231" s="197"/>
      <c r="E231" s="197"/>
      <c r="F231" s="789" t="s">
        <v>61</v>
      </c>
      <c r="G231" s="1312" t="str">
        <f>IFERROR(G212*(1-'Other national data'!$I$476/'Other national data'!$G$468),"")</f>
        <v/>
      </c>
      <c r="H231" s="1313" t="str">
        <f>IFERROR(H212*(1-'Other national data'!$I$476/'Other national data'!$G$468),"")</f>
        <v/>
      </c>
      <c r="I231" s="1314" t="str">
        <f>IFERROR(I212*(1-'Other national data'!$I$476/'Other national data'!$G$468),"")</f>
        <v/>
      </c>
      <c r="J231" s="898">
        <f>IF(ISNUMBER(G231),SUM(G231:I231),J212*(1-'Other national data'!$I$476/'Other national data'!$G$468))</f>
        <v>389.28955981038939</v>
      </c>
      <c r="K231" s="197"/>
      <c r="L231" s="197"/>
      <c r="M231" s="197"/>
      <c r="N231" s="197"/>
      <c r="O231" s="201"/>
      <c r="P231" s="36"/>
      <c r="Q231" s="36"/>
      <c r="R231" s="36"/>
      <c r="S231" s="36"/>
      <c r="T231" s="36"/>
    </row>
    <row r="232" spans="1:20" s="188" customFormat="1" x14ac:dyDescent="0.2">
      <c r="A232" s="201"/>
      <c r="D232" s="197"/>
      <c r="E232" s="197"/>
      <c r="F232" s="789" t="s">
        <v>63</v>
      </c>
      <c r="G232" s="1312" t="str">
        <f>IFERROR(G213*(1-'Other national data'!$I$476/'Other national data'!$G$468),"")</f>
        <v/>
      </c>
      <c r="H232" s="1313" t="str">
        <f>IFERROR(H213*(1-'Other national data'!$I$476/'Other national data'!$G$468),"")</f>
        <v/>
      </c>
      <c r="I232" s="1314" t="str">
        <f>IFERROR(I213*(1-'Other national data'!$I$476/'Other national data'!$G$468),"")</f>
        <v/>
      </c>
      <c r="J232" s="898">
        <f>IF(ISNUMBER(G232),SUM(G232:I232),J213*(1-'Other national data'!$I$476/'Other national data'!$G$468))</f>
        <v>203502.31658170896</v>
      </c>
      <c r="K232" s="197"/>
      <c r="L232" s="197"/>
      <c r="M232" s="197"/>
      <c r="N232" s="197"/>
      <c r="O232" s="201"/>
      <c r="P232" s="36"/>
      <c r="Q232" s="36"/>
      <c r="R232" s="36"/>
      <c r="S232" s="36"/>
      <c r="T232" s="36"/>
    </row>
    <row r="233" spans="1:20" s="188" customFormat="1" x14ac:dyDescent="0.2">
      <c r="A233" s="201"/>
      <c r="D233" s="197"/>
      <c r="E233" s="197"/>
      <c r="F233" s="789" t="s">
        <v>67</v>
      </c>
      <c r="G233" s="1312" t="str">
        <f>IFERROR(G214*(1-'Other national data'!$I$476/'Other national data'!$G$468),"")</f>
        <v/>
      </c>
      <c r="H233" s="1313" t="str">
        <f>IFERROR(H214*(1-'Other national data'!$I$476/'Other national data'!$G$468),"")</f>
        <v/>
      </c>
      <c r="I233" s="1314" t="str">
        <f>IFERROR(I214*(1-'Other national data'!$I$476/'Other national data'!$G$468),"")</f>
        <v/>
      </c>
      <c r="J233" s="898">
        <f>IF(ISNUMBER(G233),SUM(G233:I233),J214*(1-'Other national data'!$I$476/'Other national data'!$G$468))</f>
        <v>17242.556370086295</v>
      </c>
      <c r="K233" s="197"/>
      <c r="L233" s="197"/>
      <c r="M233" s="197"/>
      <c r="N233" s="197"/>
      <c r="O233" s="201"/>
      <c r="P233" s="36"/>
      <c r="Q233" s="36"/>
      <c r="R233" s="36"/>
      <c r="S233" s="36"/>
      <c r="T233" s="36"/>
    </row>
    <row r="234" spans="1:20" s="188" customFormat="1" x14ac:dyDescent="0.2">
      <c r="A234" s="201"/>
      <c r="D234" s="197"/>
      <c r="E234" s="197"/>
      <c r="F234" s="789" t="s">
        <v>89</v>
      </c>
      <c r="G234" s="1312" t="str">
        <f>IFERROR(G215*(1-'Other national data'!$I$476/'Other national data'!$G$468),"")</f>
        <v/>
      </c>
      <c r="H234" s="1313" t="str">
        <f>IFERROR(H215*(1-'Other national data'!$I$476/'Other national data'!$G$468),"")</f>
        <v/>
      </c>
      <c r="I234" s="1314" t="str">
        <f>IFERROR(I215*(1-'Other national data'!$I$476/'Other national data'!$G$468),"")</f>
        <v/>
      </c>
      <c r="J234" s="898">
        <f>IF(ISNUMBER(G234),SUM(G234:I234),J215*(1-'Other national data'!$I$476/'Other national data'!$G$468))</f>
        <v>9625.2604343867843</v>
      </c>
      <c r="K234" s="197"/>
      <c r="L234" s="197"/>
      <c r="M234" s="197"/>
      <c r="N234" s="197"/>
      <c r="O234" s="201"/>
      <c r="P234" s="36"/>
      <c r="Q234" s="36"/>
      <c r="R234" s="36"/>
      <c r="S234" s="36"/>
      <c r="T234" s="36"/>
    </row>
    <row r="235" spans="1:20" s="188" customFormat="1" x14ac:dyDescent="0.2">
      <c r="A235" s="201"/>
      <c r="D235" s="197"/>
      <c r="E235" s="197"/>
      <c r="F235" s="789" t="s">
        <v>20</v>
      </c>
      <c r="G235" s="1312" t="str">
        <f>IFERROR(G216*(1-'Other national data'!$I$476/'Other national data'!$G$468),"")</f>
        <v/>
      </c>
      <c r="H235" s="1313" t="str">
        <f>IFERROR(H216*(1-'Other national data'!$I$476/'Other national data'!$G$468),"")</f>
        <v/>
      </c>
      <c r="I235" s="1314" t="str">
        <f>IFERROR(I216*(1-'Other national data'!$I$476/'Other national data'!$G$468),"")</f>
        <v/>
      </c>
      <c r="J235" s="898">
        <f>IF(ISNUMBER(G235),SUM(G235:I235),J216*(1-'Other national data'!$I$476/'Other national data'!$G$468))</f>
        <v>20533.180747829741</v>
      </c>
      <c r="K235" s="197"/>
      <c r="L235" s="197"/>
      <c r="M235" s="197"/>
      <c r="N235" s="197"/>
      <c r="O235" s="201"/>
      <c r="P235" s="36"/>
      <c r="Q235" s="36"/>
      <c r="R235" s="36"/>
      <c r="S235" s="36"/>
      <c r="T235" s="36"/>
    </row>
    <row r="236" spans="1:20" s="188" customFormat="1" x14ac:dyDescent="0.25">
      <c r="A236" s="201"/>
      <c r="D236" s="197"/>
      <c r="E236" s="197"/>
      <c r="F236" s="896" t="s">
        <v>32</v>
      </c>
      <c r="G236" s="1312">
        <f>G164</f>
        <v>2100</v>
      </c>
      <c r="H236" s="1313">
        <f>H164</f>
        <v>600</v>
      </c>
      <c r="I236" s="1314">
        <f>I164</f>
        <v>0</v>
      </c>
      <c r="J236" s="898">
        <f>IF(ISNUMBER(G236),SUM(G236:I236),J217*(1-'Other national data'!$I$476/'Other national data'!$G$468))</f>
        <v>2700</v>
      </c>
      <c r="K236" s="197"/>
      <c r="L236" s="197"/>
      <c r="M236" s="197"/>
      <c r="N236" s="197"/>
      <c r="O236" s="201"/>
      <c r="P236" s="36"/>
      <c r="Q236" s="36"/>
      <c r="R236" s="36"/>
      <c r="S236" s="36"/>
      <c r="T236" s="36"/>
    </row>
    <row r="237" spans="1:20" s="188" customFormat="1" x14ac:dyDescent="0.2">
      <c r="A237" s="201"/>
      <c r="D237" s="197"/>
      <c r="E237" s="197"/>
      <c r="F237" s="893" t="s">
        <v>30</v>
      </c>
      <c r="G237" s="1312" t="str">
        <f>IFERROR(G217*(1-'Other national data'!$I$476/'Other national data'!$G$468),"")</f>
        <v/>
      </c>
      <c r="H237" s="1313" t="str">
        <f>IFERROR(H217*(1-'Other national data'!$I$476/'Other national data'!$G$468),"")</f>
        <v/>
      </c>
      <c r="I237" s="1314" t="str">
        <f>IFERROR(I217*(1-'Other national data'!$I$476/'Other national data'!$G$468),"")</f>
        <v/>
      </c>
      <c r="J237" s="898">
        <f>IF(ISNUMBER(G237),SUM(G237:I237),J217*(1-'Other national data'!$I$476/'Other national data'!$G$468))</f>
        <v>12837.364660457211</v>
      </c>
      <c r="K237" s="197"/>
      <c r="L237" s="197"/>
      <c r="M237" s="197"/>
      <c r="N237" s="197"/>
      <c r="O237" s="201"/>
      <c r="P237" s="36"/>
      <c r="Q237" s="36"/>
      <c r="R237" s="36"/>
      <c r="S237" s="36"/>
      <c r="T237" s="36"/>
    </row>
    <row r="238" spans="1:20" s="188" customFormat="1" x14ac:dyDescent="0.2">
      <c r="A238" s="201"/>
      <c r="D238" s="197"/>
      <c r="E238" s="197"/>
      <c r="F238" s="789" t="s">
        <v>83</v>
      </c>
      <c r="G238" s="1312" t="str">
        <f>IFERROR(G218*(1-'Other national data'!$I$476/'Other national data'!$G$468),"")</f>
        <v/>
      </c>
      <c r="H238" s="1313" t="str">
        <f>IFERROR(H218*(1-'Other national data'!$I$476/'Other national data'!$G$468),"")</f>
        <v/>
      </c>
      <c r="I238" s="1314" t="str">
        <f>IFERROR(I218*(1-'Other national data'!$I$476/'Other national data'!$G$468),"")</f>
        <v/>
      </c>
      <c r="J238" s="898">
        <f>IF(ISNUMBER(G238),SUM(G238:I238),J218*(1-'Other national data'!$I$476/'Other national data'!$G$468))</f>
        <v>1256.4656137328429</v>
      </c>
      <c r="K238" s="197"/>
      <c r="L238" s="197"/>
      <c r="M238" s="197"/>
      <c r="N238" s="197"/>
      <c r="O238" s="201"/>
      <c r="P238" s="36"/>
      <c r="Q238" s="36"/>
      <c r="R238" s="36"/>
      <c r="S238" s="36"/>
      <c r="T238" s="36"/>
    </row>
    <row r="239" spans="1:20" s="188" customFormat="1" x14ac:dyDescent="0.2">
      <c r="A239" s="201"/>
      <c r="D239" s="197"/>
      <c r="E239" s="197"/>
      <c r="F239" s="789" t="s">
        <v>568</v>
      </c>
      <c r="G239" s="1312" t="str">
        <f>IFERROR(G219*(1-'Other national data'!$I$476/'Other national data'!$G$468),"")</f>
        <v/>
      </c>
      <c r="H239" s="1313" t="str">
        <f>IFERROR(H219*(1-'Other national data'!$I$476/'Other national data'!$G$468),"")</f>
        <v/>
      </c>
      <c r="I239" s="1314" t="str">
        <f>IFERROR(I219*(1-'Other national data'!$I$476/'Other national data'!$G$468),"")</f>
        <v/>
      </c>
      <c r="J239" s="898">
        <f>IF(ISNUMBER(G239),SUM(G239:I239),J219*(1-'Other national data'!$I$476/'Other national data'!$G$468))</f>
        <v>0</v>
      </c>
      <c r="K239" s="197"/>
      <c r="L239" s="197"/>
      <c r="M239" s="197"/>
      <c r="N239" s="197"/>
      <c r="O239" s="201"/>
      <c r="P239" s="36"/>
      <c r="Q239" s="36"/>
      <c r="R239" s="36"/>
      <c r="S239" s="36"/>
      <c r="T239" s="36"/>
    </row>
    <row r="240" spans="1:20" s="188" customFormat="1" x14ac:dyDescent="0.2">
      <c r="A240" s="201"/>
      <c r="B240" s="99"/>
      <c r="C240" s="197"/>
      <c r="D240" s="197"/>
      <c r="E240" s="197"/>
      <c r="F240" s="894" t="s">
        <v>98</v>
      </c>
      <c r="G240" s="1315" t="str">
        <f>IFERROR(G220*(1-'Other national data'!$I$476/'Other national data'!$G$468),"")</f>
        <v/>
      </c>
      <c r="H240" s="1316" t="str">
        <f>IFERROR(H220*(1-'Other national data'!$I$476/'Other national data'!$G$468),"")</f>
        <v/>
      </c>
      <c r="I240" s="1317" t="str">
        <f>IFERROR(I220*(1-'Other national data'!$I$476/'Other national data'!$G$468),"")</f>
        <v/>
      </c>
      <c r="J240" s="899">
        <f>IF(ISNUMBER(G240),SUM(G240:I240),J220*(1-'Other national data'!$I$476/'Other national data'!$G$468))</f>
        <v>375.48096691872428</v>
      </c>
      <c r="K240" s="197"/>
      <c r="L240" s="197"/>
      <c r="M240" s="197"/>
      <c r="N240" s="197"/>
      <c r="O240" s="201"/>
      <c r="P240" s="36"/>
      <c r="Q240" s="36"/>
      <c r="R240" s="36"/>
      <c r="S240" s="36"/>
      <c r="T240" s="36"/>
    </row>
    <row r="241" spans="1:20" s="188" customFormat="1" x14ac:dyDescent="0.25">
      <c r="A241" s="201"/>
      <c r="B241" s="99"/>
      <c r="C241" s="197"/>
      <c r="D241" s="197"/>
      <c r="E241" s="197"/>
      <c r="J241" s="197"/>
      <c r="K241" s="197"/>
      <c r="L241" s="197"/>
      <c r="M241" s="197"/>
      <c r="N241" s="197"/>
      <c r="O241" s="201"/>
      <c r="P241" s="36"/>
      <c r="Q241" s="36"/>
      <c r="R241" s="36"/>
      <c r="S241" s="36"/>
      <c r="T241" s="36"/>
    </row>
    <row r="242" spans="1:20" s="471" customFormat="1" x14ac:dyDescent="0.25">
      <c r="A242" s="201"/>
      <c r="B242" s="475"/>
      <c r="C242" s="475"/>
      <c r="D242" s="475"/>
      <c r="E242" s="475"/>
      <c r="F242" s="475"/>
      <c r="G242" s="475"/>
      <c r="H242" s="475"/>
      <c r="I242" s="475"/>
      <c r="J242" s="475"/>
      <c r="K242" s="475"/>
      <c r="L242" s="475"/>
      <c r="M242" s="475"/>
      <c r="N242" s="475"/>
      <c r="O242" s="201"/>
      <c r="P242" s="36"/>
      <c r="Q242" s="36"/>
      <c r="R242" s="36"/>
      <c r="S242" s="36"/>
      <c r="T242" s="36"/>
    </row>
    <row r="243" spans="1:20" s="471" customFormat="1" x14ac:dyDescent="0.2">
      <c r="A243" s="201"/>
      <c r="B243" s="100" t="s">
        <v>127</v>
      </c>
      <c r="C243" s="94" t="s">
        <v>1023</v>
      </c>
      <c r="D243" s="475"/>
      <c r="E243" s="475"/>
      <c r="F243" s="88"/>
      <c r="G243" s="91" t="s">
        <v>16</v>
      </c>
      <c r="H243" s="91" t="s">
        <v>17</v>
      </c>
      <c r="I243" s="91" t="s">
        <v>18</v>
      </c>
      <c r="J243" s="1124"/>
      <c r="K243" s="475"/>
      <c r="L243" s="475"/>
      <c r="M243" s="2626" t="s">
        <v>104</v>
      </c>
      <c r="N243" s="2612" t="s">
        <v>886</v>
      </c>
      <c r="O243" s="201"/>
      <c r="P243" s="36"/>
      <c r="Q243" s="36"/>
      <c r="R243" s="36"/>
      <c r="S243" s="36"/>
      <c r="T243" s="36"/>
    </row>
    <row r="244" spans="1:20" s="471" customFormat="1" x14ac:dyDescent="0.25">
      <c r="A244" s="201"/>
      <c r="B244" s="475"/>
      <c r="C244" s="475"/>
      <c r="D244" s="475"/>
      <c r="E244" s="475"/>
      <c r="F244" s="187"/>
      <c r="G244" s="1619">
        <f>'Other national data'!H94</f>
        <v>0.20351318413759253</v>
      </c>
      <c r="H244" s="1620">
        <f>'Other national data'!I94</f>
        <v>0.35270330317327619</v>
      </c>
      <c r="I244" s="1621">
        <f>'Other national data'!J94</f>
        <v>0.44378351268913124</v>
      </c>
      <c r="J244" s="1125"/>
      <c r="K244" s="475"/>
      <c r="L244" s="475"/>
      <c r="M244" s="2627"/>
      <c r="N244" s="2614"/>
      <c r="O244" s="201"/>
      <c r="P244" s="1051"/>
      <c r="Q244" s="1051"/>
      <c r="R244" s="1051"/>
      <c r="S244" s="36"/>
      <c r="T244" s="36"/>
    </row>
    <row r="245" spans="1:20" s="471" customFormat="1" x14ac:dyDescent="0.25">
      <c r="A245" s="201"/>
      <c r="B245" s="475"/>
      <c r="C245" s="475"/>
      <c r="D245" s="475"/>
      <c r="E245" s="475"/>
      <c r="F245" s="187"/>
      <c r="G245" s="187"/>
      <c r="H245" s="187"/>
      <c r="I245" s="187"/>
      <c r="J245" s="187"/>
      <c r="K245" s="475"/>
      <c r="L245" s="475"/>
      <c r="M245" s="114" t="s">
        <v>100</v>
      </c>
      <c r="N245" s="94" t="s">
        <v>101</v>
      </c>
      <c r="O245" s="201"/>
      <c r="P245" s="36"/>
      <c r="Q245" s="36"/>
      <c r="R245" s="36"/>
      <c r="S245" s="36"/>
      <c r="T245" s="36"/>
    </row>
    <row r="246" spans="1:20" s="471" customFormat="1" x14ac:dyDescent="0.25">
      <c r="A246" s="201"/>
      <c r="B246" s="475"/>
      <c r="C246" s="475"/>
      <c r="D246" s="475"/>
      <c r="E246" s="475"/>
      <c r="F246" s="187"/>
      <c r="G246" s="187"/>
      <c r="H246" s="187"/>
      <c r="I246" s="982"/>
      <c r="J246" s="187"/>
      <c r="K246" s="475"/>
      <c r="L246" s="475"/>
      <c r="M246" s="475"/>
      <c r="N246" s="475"/>
      <c r="O246" s="201"/>
      <c r="P246" s="36"/>
      <c r="Q246" s="36"/>
      <c r="R246" s="36"/>
      <c r="S246" s="36"/>
      <c r="T246" s="36"/>
    </row>
    <row r="247" spans="1:20" ht="15.75" x14ac:dyDescent="0.25">
      <c r="A247" s="131"/>
      <c r="B247" s="131"/>
      <c r="C247" s="131"/>
      <c r="D247" s="131"/>
      <c r="E247" s="131"/>
      <c r="F247" s="131"/>
      <c r="G247" s="131"/>
      <c r="H247" s="131"/>
      <c r="I247" s="131"/>
      <c r="J247" s="131"/>
      <c r="K247" s="131"/>
      <c r="L247" s="131"/>
      <c r="M247" s="131"/>
      <c r="N247" s="131"/>
      <c r="O247" s="131"/>
    </row>
    <row r="248" spans="1:20" ht="15.75" x14ac:dyDescent="0.25">
      <c r="A248" s="133"/>
      <c r="B248" s="134" t="s">
        <v>462</v>
      </c>
      <c r="C248" s="364" t="s">
        <v>574</v>
      </c>
      <c r="D248" s="133"/>
      <c r="E248" s="133"/>
      <c r="F248" s="133"/>
      <c r="G248" s="133"/>
      <c r="H248" s="133"/>
      <c r="I248" s="133"/>
      <c r="J248" s="133"/>
      <c r="K248" s="133"/>
      <c r="L248" s="133"/>
      <c r="M248" s="135"/>
      <c r="N248" s="133"/>
      <c r="O248" s="133"/>
    </row>
    <row r="249" spans="1:20" s="188" customFormat="1" x14ac:dyDescent="0.25">
      <c r="A249" s="204"/>
      <c r="B249" s="192"/>
      <c r="C249" s="11"/>
      <c r="D249" s="11"/>
      <c r="E249" s="11"/>
      <c r="F249" s="11"/>
      <c r="G249" s="11"/>
      <c r="H249" s="11"/>
      <c r="I249" s="11"/>
      <c r="J249" s="11"/>
      <c r="K249" s="11"/>
      <c r="L249" s="11"/>
      <c r="M249" s="11"/>
      <c r="N249" s="11"/>
      <c r="O249" s="205"/>
      <c r="P249" s="36"/>
      <c r="Q249" s="36"/>
      <c r="R249" s="36"/>
      <c r="S249" s="36"/>
      <c r="T249" s="36"/>
    </row>
    <row r="250" spans="1:20" s="188" customFormat="1" x14ac:dyDescent="0.25">
      <c r="A250" s="204"/>
      <c r="B250" s="97"/>
      <c r="C250" s="37" t="s">
        <v>576</v>
      </c>
      <c r="D250" s="11"/>
      <c r="E250" s="11"/>
      <c r="F250" s="11"/>
      <c r="G250" s="11"/>
      <c r="H250" s="11"/>
      <c r="I250" s="11"/>
      <c r="J250" s="11"/>
      <c r="K250" s="11"/>
      <c r="L250" s="11"/>
      <c r="M250" s="11"/>
      <c r="N250" s="11"/>
      <c r="O250" s="205"/>
      <c r="P250" s="36"/>
      <c r="Q250" s="36"/>
      <c r="R250" s="36"/>
      <c r="S250" s="36"/>
      <c r="T250" s="36"/>
    </row>
    <row r="251" spans="1:20" s="188" customFormat="1" x14ac:dyDescent="0.25">
      <c r="A251" s="204"/>
      <c r="B251" s="191"/>
      <c r="C251" s="199"/>
      <c r="D251" s="197"/>
      <c r="E251" s="197"/>
      <c r="F251" s="197"/>
      <c r="G251" s="197"/>
      <c r="H251" s="197"/>
      <c r="I251" s="197"/>
      <c r="J251" s="197"/>
      <c r="K251" s="197"/>
      <c r="L251" s="197"/>
      <c r="M251" s="197"/>
      <c r="N251" s="197"/>
      <c r="O251" s="205"/>
      <c r="P251" s="36"/>
      <c r="Q251" s="36"/>
      <c r="R251" s="36"/>
      <c r="S251" s="36"/>
      <c r="T251" s="36"/>
    </row>
    <row r="252" spans="1:20" s="15" customFormat="1" ht="15.75" x14ac:dyDescent="0.25">
      <c r="A252" s="133"/>
      <c r="B252" s="133"/>
      <c r="C252" s="133"/>
      <c r="D252" s="133"/>
      <c r="E252" s="133"/>
      <c r="F252" s="133"/>
      <c r="G252" s="133"/>
      <c r="H252" s="133"/>
      <c r="I252" s="133"/>
      <c r="J252" s="133"/>
      <c r="K252" s="133"/>
      <c r="L252" s="133"/>
      <c r="M252" s="133"/>
      <c r="N252" s="133"/>
      <c r="O252" s="133"/>
      <c r="P252" s="36"/>
      <c r="Q252" s="36"/>
      <c r="R252" s="36"/>
      <c r="S252" s="36"/>
      <c r="T252" s="36"/>
    </row>
    <row r="253" spans="1:20" ht="15.75" x14ac:dyDescent="0.25">
      <c r="B253" s="143" t="s">
        <v>579</v>
      </c>
      <c r="M253" s="19"/>
    </row>
    <row r="254" spans="1:20" x14ac:dyDescent="0.25">
      <c r="B254" s="472" t="s">
        <v>361</v>
      </c>
      <c r="E254" s="16"/>
      <c r="F254" s="122"/>
      <c r="G254" s="434" t="s">
        <v>113</v>
      </c>
      <c r="H254" s="435" t="s">
        <v>114</v>
      </c>
      <c r="I254" s="436" t="s">
        <v>38</v>
      </c>
      <c r="J254" s="6" t="s">
        <v>88</v>
      </c>
      <c r="L254" s="6" t="s">
        <v>368</v>
      </c>
    </row>
    <row r="255" spans="1:20" x14ac:dyDescent="0.2">
      <c r="B255" s="7"/>
      <c r="C255" s="7"/>
      <c r="D255" s="7"/>
      <c r="E255" s="7"/>
      <c r="F255" s="138" t="s">
        <v>143</v>
      </c>
      <c r="G255" s="417">
        <f>$J255*'Other national data'!L423</f>
        <v>38.269424194233153</v>
      </c>
      <c r="H255" s="418">
        <f>J255-G255</f>
        <v>6.230575805766847</v>
      </c>
      <c r="I255" s="419">
        <f>$J255*'Other national data'!N423</f>
        <v>4.4500000000000002E-13</v>
      </c>
      <c r="J255" s="1495">
        <f>SUMIFS('Basel data'!E:E,'Basel data'!A:A,L255,'Basel data'!G:G,$B$1)+SUMIFS('Basel data'!F:F,'Basel data'!A:A,L255,'Basel data'!G:G,$B$1)+SUMIFS('Basel data'!E:E,'Basel data'!C:C,L255,'Basel data'!G:G,$B$1)+SUMIFS('Basel data'!F:F,'Basel data'!C:C,L255,'Basel data'!G:G,$B$1)</f>
        <v>44.5</v>
      </c>
      <c r="L255" s="121" t="s">
        <v>142</v>
      </c>
      <c r="O255" s="36" t="str">
        <f>IF(ROUND(SUM(G255:I255),0)=ROUND(J255,0),"OK","Error")</f>
        <v>OK</v>
      </c>
    </row>
    <row r="256" spans="1:20" x14ac:dyDescent="0.2">
      <c r="B256" s="7"/>
      <c r="C256" s="7"/>
      <c r="D256" s="7"/>
      <c r="E256" s="7"/>
      <c r="F256" s="138" t="s">
        <v>152</v>
      </c>
      <c r="G256" s="123">
        <f>$J256*'Other national data'!L424</f>
        <v>0</v>
      </c>
      <c r="H256" s="420">
        <f t="shared" ref="H256:H271" si="14">J256-G256</f>
        <v>0</v>
      </c>
      <c r="I256" s="421">
        <f>$J256*'Other national data'!N424</f>
        <v>0</v>
      </c>
      <c r="J256" s="1495">
        <f>SUMIFS('Basel data'!E:E,'Basel data'!A:A,L256,'Basel data'!G:G,$B$1)+SUMIFS('Basel data'!F:F,'Basel data'!A:A,L256,'Basel data'!G:G,$B$1)+SUMIFS('Basel data'!E:E,'Basel data'!C:C,L256,'Basel data'!G:G,$B$1)+SUMIFS('Basel data'!F:F,'Basel data'!C:C,L256,'Basel data'!G:G,$B$1)</f>
        <v>0</v>
      </c>
      <c r="L256" s="121" t="s">
        <v>151</v>
      </c>
      <c r="O256" s="36" t="str">
        <f t="shared" ref="O256:O271" si="15">IF(ROUND(SUM(G256:I256),0)=ROUND(J256,0),"OK","Error")</f>
        <v>OK</v>
      </c>
    </row>
    <row r="257" spans="2:15" x14ac:dyDescent="0.2">
      <c r="B257" s="7"/>
      <c r="C257" s="7"/>
      <c r="D257" s="7"/>
      <c r="E257" s="7"/>
      <c r="F257" s="138" t="s">
        <v>156</v>
      </c>
      <c r="G257" s="123">
        <f>$J257*'Other national data'!L425</f>
        <v>55.401858379326939</v>
      </c>
      <c r="H257" s="420">
        <f t="shared" si="14"/>
        <v>175.49814162067307</v>
      </c>
      <c r="I257" s="421">
        <f>$J257*'Other national data'!N425</f>
        <v>2.309E-12</v>
      </c>
      <c r="J257" s="1495">
        <f>SUMIFS('Basel data'!E:E,'Basel data'!A:A,L257,'Basel data'!G:G,$B$1)+SUMIFS('Basel data'!F:F,'Basel data'!A:A,L257,'Basel data'!G:G,$B$1)+SUMIFS('Basel data'!E:E,'Basel data'!C:C,L257,'Basel data'!G:G,$B$1)+SUMIFS('Basel data'!F:F,'Basel data'!C:C,L257,'Basel data'!G:G,$B$1)</f>
        <v>230.9</v>
      </c>
      <c r="L257" s="121" t="s">
        <v>155</v>
      </c>
      <c r="O257" s="36" t="str">
        <f t="shared" si="15"/>
        <v>OK</v>
      </c>
    </row>
    <row r="258" spans="2:15" x14ac:dyDescent="0.2">
      <c r="B258" s="7"/>
      <c r="C258" s="7"/>
      <c r="D258" s="7"/>
      <c r="E258" s="7"/>
      <c r="F258" s="138" t="s">
        <v>160</v>
      </c>
      <c r="G258" s="123">
        <f>$J258*'Other national data'!L426</f>
        <v>272.45651937218071</v>
      </c>
      <c r="H258" s="420">
        <f t="shared" si="14"/>
        <v>704.59248062781921</v>
      </c>
      <c r="I258" s="421">
        <f>$J258*'Other national data'!N426</f>
        <v>9.7704899999999991E-12</v>
      </c>
      <c r="J258" s="1495">
        <f>SUMIFS('Basel data'!E:E,'Basel data'!A:A,L258,'Basel data'!G:G,$B$1)+SUMIFS('Basel data'!F:F,'Basel data'!A:A,L258,'Basel data'!G:G,$B$1)+SUMIFS('Basel data'!E:E,'Basel data'!C:C,L258,'Basel data'!G:G,$B$1)+SUMIFS('Basel data'!F:F,'Basel data'!C:C,L258,'Basel data'!G:G,$B$1)</f>
        <v>977.04899999999998</v>
      </c>
      <c r="L258" s="121" t="s">
        <v>159</v>
      </c>
      <c r="O258" s="36" t="str">
        <f t="shared" si="15"/>
        <v>OK</v>
      </c>
    </row>
    <row r="259" spans="2:15" x14ac:dyDescent="0.2">
      <c r="B259" s="7"/>
      <c r="C259" s="7"/>
      <c r="D259" s="7"/>
      <c r="E259" s="7"/>
      <c r="F259" s="138" t="s">
        <v>210</v>
      </c>
      <c r="G259" s="123">
        <f>$J259*'Other national data'!L427</f>
        <v>0</v>
      </c>
      <c r="H259" s="420">
        <f t="shared" si="14"/>
        <v>0</v>
      </c>
      <c r="I259" s="421">
        <f>$J259*'Other national data'!N427</f>
        <v>0</v>
      </c>
      <c r="J259" s="1495">
        <f>SUMIFS('Basel data'!E:E,'Basel data'!A:A,L259,'Basel data'!G:G,$B$1)+SUMIFS('Basel data'!F:F,'Basel data'!A:A,L259,'Basel data'!G:G,$B$1)+SUMIFS('Basel data'!E:E,'Basel data'!C:C,L259,'Basel data'!G:G,$B$1)+SUMIFS('Basel data'!F:F,'Basel data'!C:C,L259,'Basel data'!G:G,$B$1)</f>
        <v>0</v>
      </c>
      <c r="L259" s="121" t="s">
        <v>209</v>
      </c>
      <c r="O259" s="36" t="str">
        <f t="shared" si="15"/>
        <v>OK</v>
      </c>
    </row>
    <row r="260" spans="2:15" x14ac:dyDescent="0.2">
      <c r="B260" s="7"/>
      <c r="C260" s="7"/>
      <c r="D260" s="7"/>
      <c r="E260" s="7"/>
      <c r="F260" s="138" t="s">
        <v>214</v>
      </c>
      <c r="G260" s="123">
        <f>$J260*'Other national data'!L428</f>
        <v>66.836713788186174</v>
      </c>
      <c r="H260" s="420">
        <f t="shared" si="14"/>
        <v>141.72928621181381</v>
      </c>
      <c r="I260" s="421">
        <f>$J260*'Other national data'!N428</f>
        <v>2.0856599999999998E-12</v>
      </c>
      <c r="J260" s="1495">
        <f>SUMIFS('Basel data'!E:E,'Basel data'!A:A,L260,'Basel data'!G:G,$B$1)+SUMIFS('Basel data'!F:F,'Basel data'!A:A,L260,'Basel data'!G:G,$B$1)+SUMIFS('Basel data'!E:E,'Basel data'!C:C,L260,'Basel data'!G:G,$B$1)+SUMIFS('Basel data'!F:F,'Basel data'!C:C,L260,'Basel data'!G:G,$B$1)</f>
        <v>208.56599999999997</v>
      </c>
      <c r="L260" s="121" t="s">
        <v>213</v>
      </c>
      <c r="O260" s="36" t="str">
        <f t="shared" si="15"/>
        <v>OK</v>
      </c>
    </row>
    <row r="261" spans="2:15" x14ac:dyDescent="0.2">
      <c r="B261" s="7"/>
      <c r="C261" s="7"/>
      <c r="D261" s="7"/>
      <c r="E261" s="7"/>
      <c r="F261" s="138" t="s">
        <v>220</v>
      </c>
      <c r="G261" s="123">
        <f>$J261*'Other national data'!L429</f>
        <v>2.1972292623232468</v>
      </c>
      <c r="H261" s="420">
        <f t="shared" si="14"/>
        <v>23.657770737676753</v>
      </c>
      <c r="I261" s="421">
        <f>$J261*'Other national data'!N429</f>
        <v>2.5854999999999999E-13</v>
      </c>
      <c r="J261" s="1495">
        <f>SUMIFS('Basel data'!E:E,'Basel data'!A:A,L261,'Basel data'!G:G,$B$1)+SUMIFS('Basel data'!F:F,'Basel data'!A:A,L261,'Basel data'!G:G,$B$1)+SUMIFS('Basel data'!E:E,'Basel data'!C:C,L261,'Basel data'!G:G,$B$1)+SUMIFS('Basel data'!F:F,'Basel data'!C:C,L261,'Basel data'!G:G,$B$1)</f>
        <v>25.855</v>
      </c>
      <c r="L261" s="121" t="s">
        <v>219</v>
      </c>
      <c r="O261" s="36" t="str">
        <f t="shared" si="15"/>
        <v>OK</v>
      </c>
    </row>
    <row r="262" spans="2:15" x14ac:dyDescent="0.2">
      <c r="B262" s="7"/>
      <c r="C262" s="7"/>
      <c r="D262" s="7"/>
      <c r="E262" s="7"/>
      <c r="F262" s="138" t="s">
        <v>230</v>
      </c>
      <c r="G262" s="123">
        <f>$J262*'Other national data'!L430</f>
        <v>0</v>
      </c>
      <c r="H262" s="420">
        <f t="shared" si="14"/>
        <v>0</v>
      </c>
      <c r="I262" s="421">
        <f>$J262*'Other national data'!N430</f>
        <v>0</v>
      </c>
      <c r="J262" s="1495">
        <f>SUMIFS('Basel data'!E:E,'Basel data'!A:A,L262,'Basel data'!G:G,$B$1)+SUMIFS('Basel data'!F:F,'Basel data'!A:A,L262,'Basel data'!G:G,$B$1)+SUMIFS('Basel data'!E:E,'Basel data'!C:C,L262,'Basel data'!G:G,$B$1)+SUMIFS('Basel data'!F:F,'Basel data'!C:C,L262,'Basel data'!G:G,$B$1)</f>
        <v>0</v>
      </c>
      <c r="L262" s="121" t="s">
        <v>229</v>
      </c>
      <c r="O262" s="36" t="str">
        <f t="shared" si="15"/>
        <v>OK</v>
      </c>
    </row>
    <row r="263" spans="2:15" x14ac:dyDescent="0.2">
      <c r="B263" s="7"/>
      <c r="C263" s="7"/>
      <c r="D263" s="7"/>
      <c r="E263" s="7"/>
      <c r="F263" s="138" t="s">
        <v>238</v>
      </c>
      <c r="G263" s="123">
        <f>$J263*'Other national data'!L431</f>
        <v>136.12224800100995</v>
      </c>
      <c r="H263" s="420">
        <f t="shared" si="14"/>
        <v>1131.8227519989903</v>
      </c>
      <c r="I263" s="421">
        <f>$J263*'Other national data'!N431</f>
        <v>1.2679450000000001E-11</v>
      </c>
      <c r="J263" s="1495">
        <f>SUMIFS('Basel data'!E:E,'Basel data'!A:A,L263,'Basel data'!G:G,$B$1)+SUMIFS('Basel data'!F:F,'Basel data'!A:A,L263,'Basel data'!G:G,$B$1)+SUMIFS('Basel data'!E:E,'Basel data'!C:C,L263,'Basel data'!G:G,$B$1)+SUMIFS('Basel data'!F:F,'Basel data'!C:C,L263,'Basel data'!G:G,$B$1)</f>
        <v>1267.9450000000002</v>
      </c>
      <c r="L263" s="121" t="s">
        <v>237</v>
      </c>
      <c r="O263" s="36" t="str">
        <f t="shared" si="15"/>
        <v>OK</v>
      </c>
    </row>
    <row r="264" spans="2:15" x14ac:dyDescent="0.2">
      <c r="B264" s="7"/>
      <c r="C264" s="7"/>
      <c r="D264" s="7"/>
      <c r="E264" s="7"/>
      <c r="F264" s="138" t="s">
        <v>246</v>
      </c>
      <c r="G264" s="123">
        <f>$J264*'Other national data'!L432</f>
        <v>292.37380656525477</v>
      </c>
      <c r="H264" s="420">
        <f t="shared" si="14"/>
        <v>5495.3961934347453</v>
      </c>
      <c r="I264" s="421">
        <f>$J264*'Other national data'!N432</f>
        <v>5.7877700000000002E-11</v>
      </c>
      <c r="J264" s="1495">
        <f>SUMIFS('Basel data'!E:E,'Basel data'!A:A,L264,'Basel data'!G:G,$B$1)+SUMIFS('Basel data'!F:F,'Basel data'!A:A,L264,'Basel data'!G:G,$B$1)+SUMIFS('Basel data'!E:E,'Basel data'!C:C,L264,'Basel data'!G:G,$B$1)+SUMIFS('Basel data'!F:F,'Basel data'!C:C,L264,'Basel data'!G:G,$B$1)</f>
        <v>5787.77</v>
      </c>
      <c r="L264" s="121" t="s">
        <v>245</v>
      </c>
      <c r="O264" s="36" t="str">
        <f t="shared" si="15"/>
        <v>OK</v>
      </c>
    </row>
    <row r="265" spans="2:15" x14ac:dyDescent="0.2">
      <c r="B265" s="7"/>
      <c r="C265" s="7"/>
      <c r="D265" s="7"/>
      <c r="E265" s="7"/>
      <c r="F265" s="138" t="s">
        <v>256</v>
      </c>
      <c r="G265" s="123">
        <f>$J265*'Other national data'!L433</f>
        <v>19.492954114980019</v>
      </c>
      <c r="H265" s="420">
        <f t="shared" si="14"/>
        <v>7.3600458850199786</v>
      </c>
      <c r="I265" s="421">
        <f>$J265*'Other national data'!N433</f>
        <v>2.6852999999999997E-13</v>
      </c>
      <c r="J265" s="1495">
        <f>SUMIFS('Basel data'!E:E,'Basel data'!A:A,L265,'Basel data'!G:G,$B$1)+SUMIFS('Basel data'!F:F,'Basel data'!A:A,L265,'Basel data'!G:G,$B$1)+SUMIFS('Basel data'!E:E,'Basel data'!C:C,L265,'Basel data'!G:G,$B$1)+SUMIFS('Basel data'!F:F,'Basel data'!C:C,L265,'Basel data'!G:G,$B$1)</f>
        <v>26.852999999999998</v>
      </c>
      <c r="L265" s="121" t="s">
        <v>255</v>
      </c>
      <c r="O265" s="36" t="str">
        <f t="shared" si="15"/>
        <v>OK</v>
      </c>
    </row>
    <row r="266" spans="2:15" x14ac:dyDescent="0.2">
      <c r="B266" s="7"/>
      <c r="C266" s="7"/>
      <c r="D266" s="7"/>
      <c r="E266" s="7"/>
      <c r="F266" s="139" t="s">
        <v>343</v>
      </c>
      <c r="G266" s="123">
        <f>$J266*'Other national data'!L434</f>
        <v>589.79717218342455</v>
      </c>
      <c r="H266" s="420">
        <f t="shared" si="14"/>
        <v>9.1228278165754091</v>
      </c>
      <c r="I266" s="421">
        <f>$J266*'Other national data'!N434</f>
        <v>5.9891999999999996E-12</v>
      </c>
      <c r="J266" s="1495">
        <f>SUMIFS('Basel data'!E:E,'Basel data'!A:A,L266,'Basel data'!G:G,$B$1)+SUMIFS('Basel data'!F:F,'Basel data'!A:A,L266,'Basel data'!G:G,$B$1)+SUMIFS('Basel data'!E:E,'Basel data'!C:C,L266,'Basel data'!G:G,$B$1)+SUMIFS('Basel data'!F:F,'Basel data'!C:C,L266,'Basel data'!G:G,$B$1)</f>
        <v>598.91999999999996</v>
      </c>
      <c r="L266" s="121" t="s">
        <v>281</v>
      </c>
      <c r="O266" s="36" t="str">
        <f t="shared" si="15"/>
        <v>OK</v>
      </c>
    </row>
    <row r="267" spans="2:15" x14ac:dyDescent="0.2">
      <c r="B267" s="7"/>
      <c r="C267" s="7"/>
      <c r="D267" s="7"/>
      <c r="E267" s="7"/>
      <c r="F267" s="139" t="s">
        <v>97</v>
      </c>
      <c r="G267" s="123">
        <f>$J267*'Other national data'!L435</f>
        <v>2928</v>
      </c>
      <c r="H267" s="420">
        <f t="shared" si="14"/>
        <v>0</v>
      </c>
      <c r="I267" s="421">
        <f>$J267*'Other national data'!N435</f>
        <v>2.9280000000000001E-11</v>
      </c>
      <c r="J267" s="1495">
        <f>SUMIFS('Basel data'!E:E,'Basel data'!A:A,L267,'Basel data'!G:G,$B$1)+SUMIFS('Basel data'!F:F,'Basel data'!A:A,L267,'Basel data'!G:G,$B$1)+SUMIFS('Basel data'!E:E,'Basel data'!C:C,L267,'Basel data'!G:G,$B$1)+SUMIFS('Basel data'!F:F,'Basel data'!C:C,L267,'Basel data'!G:G,$B$1)</f>
        <v>2928</v>
      </c>
      <c r="L267" s="121" t="s">
        <v>293</v>
      </c>
      <c r="O267" s="36" t="str">
        <f t="shared" si="15"/>
        <v>OK</v>
      </c>
    </row>
    <row r="268" spans="2:15" x14ac:dyDescent="0.2">
      <c r="B268" s="7"/>
      <c r="C268" s="7"/>
      <c r="D268" s="7"/>
      <c r="E268" s="7"/>
      <c r="F268" s="139" t="s">
        <v>345</v>
      </c>
      <c r="G268" s="2541">
        <f>$J268*'Other national data'!H443</f>
        <v>3220.627847618005</v>
      </c>
      <c r="H268" s="2542">
        <f t="shared" si="14"/>
        <v>59903.677965694893</v>
      </c>
      <c r="I268" s="421">
        <f>$J268*'Other national data'!N436</f>
        <v>0</v>
      </c>
      <c r="J268" s="1495">
        <f>SUMIFS('Basel data'!E:E,'Basel data'!A:A,L268,'Basel data'!G:G,$B$1)+SUMIFS('Basel data'!F:F,'Basel data'!A:A,L268,'Basel data'!G:G,$B$1)+SUMIFS('Basel data'!E:E,'Basel data'!C:C,L268,'Basel data'!G:G,$B$1)+SUMIFS('Basel data'!F:F,'Basel data'!C:C,L268,'Basel data'!G:G,$B$1)-SUM(J266:J267)</f>
        <v>63124.305813312894</v>
      </c>
      <c r="K268" s="142"/>
      <c r="L268" s="121" t="s">
        <v>277</v>
      </c>
      <c r="O268" s="36" t="str">
        <f t="shared" si="15"/>
        <v>OK</v>
      </c>
    </row>
    <row r="269" spans="2:15" x14ac:dyDescent="0.2">
      <c r="B269" s="7"/>
      <c r="C269" s="7"/>
      <c r="D269" s="7"/>
      <c r="E269" s="7"/>
      <c r="F269" s="138" t="s">
        <v>297</v>
      </c>
      <c r="G269" s="123">
        <f>$J269*'Other national data'!L437</f>
        <v>342.25581517787714</v>
      </c>
      <c r="H269" s="420">
        <f t="shared" si="14"/>
        <v>101.2041848221229</v>
      </c>
      <c r="I269" s="421">
        <f>$J269*'Other national data'!N437</f>
        <v>4.4346000000000005E-12</v>
      </c>
      <c r="J269" s="1495">
        <f>SUMIFS('Basel data'!E:E,'Basel data'!A:A,L269,'Basel data'!G:G,$B$1)+SUMIFS('Basel data'!F:F,'Basel data'!A:A,L269,'Basel data'!G:G,$B$1)+SUMIFS('Basel data'!E:E,'Basel data'!C:C,L269,'Basel data'!G:G,$B$1)+SUMIFS('Basel data'!F:F,'Basel data'!C:C,L269,'Basel data'!G:G,$B$1)</f>
        <v>443.46000000000004</v>
      </c>
      <c r="L269" s="121" t="s">
        <v>296</v>
      </c>
      <c r="O269" s="36" t="str">
        <f t="shared" si="15"/>
        <v>OK</v>
      </c>
    </row>
    <row r="270" spans="2:15" x14ac:dyDescent="0.2">
      <c r="B270" s="7"/>
      <c r="C270" s="7"/>
      <c r="D270" s="7"/>
      <c r="E270" s="7"/>
      <c r="F270" s="1283" t="s">
        <v>39</v>
      </c>
      <c r="G270" s="123">
        <f>$J270*'Other national data'!L438</f>
        <v>1362.7450378805811</v>
      </c>
      <c r="H270" s="420">
        <f t="shared" si="14"/>
        <v>2433.3315089111334</v>
      </c>
      <c r="I270" s="421">
        <f>$J270*'Other national data'!N438</f>
        <v>3.7960765467917144E-11</v>
      </c>
      <c r="J270" s="1495">
        <f>SUMIFS('Basel data'!E:E,'Basel data'!A:A,L270,'Basel data'!G:G,$B$1)+SUMIFS('Basel data'!F:F,'Basel data'!A:A,L270,'Basel data'!G:G,$B$1)+SUMIFS('Basel data'!E:E,'Basel data'!C:C,L270,'Basel data'!G:G,$B$1)+SUMIFS('Basel data'!F:F,'Basel data'!C:C,L270,'Basel data'!G:G,$B$1)</f>
        <v>3796.0765467917145</v>
      </c>
      <c r="L270" s="1275" t="s">
        <v>309</v>
      </c>
      <c r="O270" s="36" t="str">
        <f t="shared" si="15"/>
        <v>OK</v>
      </c>
    </row>
    <row r="271" spans="2:15" x14ac:dyDescent="0.2">
      <c r="C271" s="7"/>
      <c r="D271" s="7"/>
      <c r="E271" s="7"/>
      <c r="F271" s="1283" t="s">
        <v>904</v>
      </c>
      <c r="G271" s="422">
        <f>$J271*'Other national data'!L439</f>
        <v>24.008619843927729</v>
      </c>
      <c r="H271" s="423">
        <f t="shared" si="14"/>
        <v>100.93038015607212</v>
      </c>
      <c r="I271" s="424">
        <f>$J271*'Other national data'!N439</f>
        <v>1.2493899999999986E-12</v>
      </c>
      <c r="J271" s="1495">
        <f>SUMIFS('Basel data'!E:E,'Basel data'!A:A,L271,'Basel data'!G:G,$B$1)+SUMIFS('Basel data'!F:F,'Basel data'!A:A,L271,'Basel data'!G:G,$B$1)+SUMIFS('Basel data'!E:E,'Basel data'!C:C,L271,'Basel data'!G:G,$B$1)+SUMIFS('Basel data'!F:F,'Basel data'!C:C,L271,'Basel data'!G:G,$B$1)-J270</f>
        <v>124.93899999999985</v>
      </c>
      <c r="L271" s="121" t="s">
        <v>303</v>
      </c>
      <c r="O271" s="36" t="str">
        <f t="shared" si="15"/>
        <v>OK</v>
      </c>
    </row>
    <row r="272" spans="2:15" x14ac:dyDescent="0.25">
      <c r="J272" s="1318">
        <f>SUM(J255:J271)</f>
        <v>79585.1393601046</v>
      </c>
      <c r="N272" s="19"/>
      <c r="O272" s="35" t="str">
        <f>IF(SUM(SUMIF('Basel data'!G:G,B1,'Basel data'!E:E),SUMIF('Basel data'!G:G,B1,'Basel data'!F:F))=J272,"OK","Error")</f>
        <v>OK</v>
      </c>
    </row>
    <row r="273" spans="2:14" x14ac:dyDescent="0.25">
      <c r="M273" s="19"/>
    </row>
    <row r="274" spans="2:14" x14ac:dyDescent="0.25">
      <c r="K274" s="126"/>
      <c r="M274" s="19"/>
    </row>
    <row r="275" spans="2:14" ht="15.75" x14ac:dyDescent="0.25">
      <c r="B275" s="143" t="s">
        <v>585</v>
      </c>
      <c r="F275" s="143" t="s">
        <v>586</v>
      </c>
      <c r="K275" s="126"/>
      <c r="M275" s="19"/>
    </row>
    <row r="276" spans="2:14" x14ac:dyDescent="0.25">
      <c r="B276" s="2618"/>
      <c r="C276" s="2619"/>
      <c r="D276" s="2620"/>
      <c r="E276" s="473"/>
      <c r="F276" s="2618"/>
      <c r="G276" s="2619"/>
      <c r="H276" s="2619"/>
      <c r="I276" s="2619"/>
      <c r="J276" s="2619"/>
      <c r="K276" s="2619"/>
      <c r="L276" s="2619"/>
      <c r="M276" s="2619"/>
      <c r="N276" s="2620"/>
    </row>
    <row r="277" spans="2:14" x14ac:dyDescent="0.25">
      <c r="B277" s="2615"/>
      <c r="C277" s="2616"/>
      <c r="D277" s="2617"/>
      <c r="E277" s="473"/>
      <c r="F277" s="2615"/>
      <c r="G277" s="2616"/>
      <c r="H277" s="2616"/>
      <c r="I277" s="2616"/>
      <c r="J277" s="2616"/>
      <c r="K277" s="2616"/>
      <c r="L277" s="2616"/>
      <c r="M277" s="2616"/>
      <c r="N277" s="2617"/>
    </row>
    <row r="278" spans="2:14" x14ac:dyDescent="0.25">
      <c r="B278" s="2615"/>
      <c r="C278" s="2616"/>
      <c r="D278" s="2617"/>
      <c r="E278" s="473"/>
      <c r="F278" s="2615"/>
      <c r="G278" s="2616"/>
      <c r="H278" s="2616"/>
      <c r="I278" s="2616"/>
      <c r="J278" s="2616"/>
      <c r="K278" s="2616"/>
      <c r="L278" s="2616"/>
      <c r="M278" s="2616"/>
      <c r="N278" s="2617"/>
    </row>
    <row r="279" spans="2:14" x14ac:dyDescent="0.25">
      <c r="B279" s="2615"/>
      <c r="C279" s="2616"/>
      <c r="D279" s="2617"/>
      <c r="E279" s="473"/>
      <c r="F279" s="2615"/>
      <c r="G279" s="2616"/>
      <c r="H279" s="2616"/>
      <c r="I279" s="2616"/>
      <c r="J279" s="2616"/>
      <c r="K279" s="2616"/>
      <c r="L279" s="2616"/>
      <c r="M279" s="2616"/>
      <c r="N279" s="2617"/>
    </row>
    <row r="280" spans="2:14" x14ac:dyDescent="0.25">
      <c r="B280" s="2615"/>
      <c r="C280" s="2616"/>
      <c r="D280" s="2617"/>
      <c r="E280" s="473"/>
      <c r="F280" s="2615"/>
      <c r="G280" s="2616"/>
      <c r="H280" s="2616"/>
      <c r="I280" s="2616"/>
      <c r="J280" s="2616"/>
      <c r="K280" s="2616"/>
      <c r="L280" s="2616"/>
      <c r="M280" s="2616"/>
      <c r="N280" s="2617"/>
    </row>
    <row r="281" spans="2:14" x14ac:dyDescent="0.25">
      <c r="B281" s="2615"/>
      <c r="C281" s="2616"/>
      <c r="D281" s="2617"/>
      <c r="E281" s="473"/>
      <c r="F281" s="2615"/>
      <c r="G281" s="2616"/>
      <c r="H281" s="2616"/>
      <c r="I281" s="2616"/>
      <c r="J281" s="2616"/>
      <c r="K281" s="2616"/>
      <c r="L281" s="2616"/>
      <c r="M281" s="2616"/>
      <c r="N281" s="2617"/>
    </row>
    <row r="282" spans="2:14" x14ac:dyDescent="0.25">
      <c r="B282" s="2615"/>
      <c r="C282" s="2616"/>
      <c r="D282" s="2617"/>
      <c r="E282" s="473"/>
      <c r="F282" s="2615"/>
      <c r="G282" s="2616"/>
      <c r="H282" s="2616"/>
      <c r="I282" s="2616"/>
      <c r="J282" s="2616"/>
      <c r="K282" s="2616"/>
      <c r="L282" s="2616"/>
      <c r="M282" s="2616"/>
      <c r="N282" s="2617"/>
    </row>
    <row r="283" spans="2:14" x14ac:dyDescent="0.25">
      <c r="B283" s="2615"/>
      <c r="C283" s="2616"/>
      <c r="D283" s="2617"/>
      <c r="E283" s="473"/>
      <c r="F283" s="2615"/>
      <c r="G283" s="2616"/>
      <c r="H283" s="2616"/>
      <c r="I283" s="2616"/>
      <c r="J283" s="2616"/>
      <c r="K283" s="2616"/>
      <c r="L283" s="2616"/>
      <c r="M283" s="2616"/>
      <c r="N283" s="2617"/>
    </row>
    <row r="284" spans="2:14" x14ac:dyDescent="0.25">
      <c r="B284" s="2615"/>
      <c r="C284" s="2616"/>
      <c r="D284" s="2617"/>
      <c r="E284" s="473"/>
      <c r="F284" s="2615"/>
      <c r="G284" s="2616"/>
      <c r="H284" s="2616"/>
      <c r="I284" s="2616"/>
      <c r="J284" s="2616"/>
      <c r="K284" s="2616"/>
      <c r="L284" s="2616"/>
      <c r="M284" s="2616"/>
      <c r="N284" s="2617"/>
    </row>
    <row r="285" spans="2:14" x14ac:dyDescent="0.25">
      <c r="B285" s="2615"/>
      <c r="C285" s="2616"/>
      <c r="D285" s="2617"/>
      <c r="E285" s="473"/>
      <c r="F285" s="2615"/>
      <c r="G285" s="2616"/>
      <c r="H285" s="2616"/>
      <c r="I285" s="2616"/>
      <c r="J285" s="2616"/>
      <c r="K285" s="2616"/>
      <c r="L285" s="2616"/>
      <c r="M285" s="2616"/>
      <c r="N285" s="2617"/>
    </row>
    <row r="286" spans="2:14" x14ac:dyDescent="0.25">
      <c r="B286" s="2615"/>
      <c r="C286" s="2616"/>
      <c r="D286" s="2617"/>
      <c r="E286" s="473"/>
      <c r="F286" s="2615"/>
      <c r="G286" s="2616"/>
      <c r="H286" s="2616"/>
      <c r="I286" s="2616"/>
      <c r="J286" s="2616"/>
      <c r="K286" s="2616"/>
      <c r="L286" s="2616"/>
      <c r="M286" s="2616"/>
      <c r="N286" s="2617"/>
    </row>
    <row r="287" spans="2:14" x14ac:dyDescent="0.25">
      <c r="B287" s="2615"/>
      <c r="C287" s="2616"/>
      <c r="D287" s="2617"/>
      <c r="E287" s="473"/>
      <c r="F287" s="2615"/>
      <c r="G287" s="2616"/>
      <c r="H287" s="2616"/>
      <c r="I287" s="2616"/>
      <c r="J287" s="2616"/>
      <c r="K287" s="2616"/>
      <c r="L287" s="2616"/>
      <c r="M287" s="2616"/>
      <c r="N287" s="2617"/>
    </row>
    <row r="288" spans="2:14" x14ac:dyDescent="0.25">
      <c r="B288" s="2615"/>
      <c r="C288" s="2616"/>
      <c r="D288" s="2617"/>
      <c r="E288" s="473"/>
      <c r="F288" s="2615"/>
      <c r="G288" s="2616"/>
      <c r="H288" s="2616"/>
      <c r="I288" s="2616"/>
      <c r="J288" s="2616"/>
      <c r="K288" s="2616"/>
      <c r="L288" s="2616"/>
      <c r="M288" s="2616"/>
      <c r="N288" s="2617"/>
    </row>
    <row r="289" spans="2:14" x14ac:dyDescent="0.25">
      <c r="B289" s="2615"/>
      <c r="C289" s="2616"/>
      <c r="D289" s="2617"/>
      <c r="E289" s="473"/>
      <c r="F289" s="2615"/>
      <c r="G289" s="2616"/>
      <c r="H289" s="2616"/>
      <c r="I289" s="2616"/>
      <c r="J289" s="2616"/>
      <c r="K289" s="2616"/>
      <c r="L289" s="2616"/>
      <c r="M289" s="2616"/>
      <c r="N289" s="2617"/>
    </row>
    <row r="290" spans="2:14" x14ac:dyDescent="0.25">
      <c r="B290" s="2615"/>
      <c r="C290" s="2616"/>
      <c r="D290" s="2617"/>
      <c r="E290" s="473"/>
      <c r="F290" s="2615"/>
      <c r="G290" s="2616"/>
      <c r="H290" s="2616"/>
      <c r="I290" s="2616"/>
      <c r="J290" s="2616"/>
      <c r="K290" s="2616"/>
      <c r="L290" s="2616"/>
      <c r="M290" s="2616"/>
      <c r="N290" s="2617"/>
    </row>
    <row r="291" spans="2:14" x14ac:dyDescent="0.25">
      <c r="B291" s="2615"/>
      <c r="C291" s="2616"/>
      <c r="D291" s="2617"/>
      <c r="E291" s="473"/>
      <c r="F291" s="2615"/>
      <c r="G291" s="2616"/>
      <c r="H291" s="2616"/>
      <c r="I291" s="2616"/>
      <c r="J291" s="2616"/>
      <c r="K291" s="2616"/>
      <c r="L291" s="2616"/>
      <c r="M291" s="2616"/>
      <c r="N291" s="2617"/>
    </row>
    <row r="292" spans="2:14" x14ac:dyDescent="0.25">
      <c r="B292" s="2615"/>
      <c r="C292" s="2616"/>
      <c r="D292" s="2617"/>
      <c r="E292" s="473"/>
      <c r="F292" s="2615"/>
      <c r="G292" s="2616"/>
      <c r="H292" s="2616"/>
      <c r="I292" s="2616"/>
      <c r="J292" s="2616"/>
      <c r="K292" s="2616"/>
      <c r="L292" s="2616"/>
      <c r="M292" s="2616"/>
      <c r="N292" s="2617"/>
    </row>
    <row r="293" spans="2:14" x14ac:dyDescent="0.25">
      <c r="B293" s="2615"/>
      <c r="C293" s="2616"/>
      <c r="D293" s="2617"/>
      <c r="E293" s="473"/>
      <c r="F293" s="2615"/>
      <c r="G293" s="2616"/>
      <c r="H293" s="2616"/>
      <c r="I293" s="2616"/>
      <c r="J293" s="2616"/>
      <c r="K293" s="2616"/>
      <c r="L293" s="2616"/>
      <c r="M293" s="2616"/>
      <c r="N293" s="2617"/>
    </row>
    <row r="294" spans="2:14" x14ac:dyDescent="0.25">
      <c r="B294" s="2615"/>
      <c r="C294" s="2616"/>
      <c r="D294" s="2617"/>
      <c r="E294" s="473"/>
      <c r="F294" s="2615"/>
      <c r="G294" s="2616"/>
      <c r="H294" s="2616"/>
      <c r="I294" s="2616"/>
      <c r="J294" s="2616"/>
      <c r="K294" s="2616"/>
      <c r="L294" s="2616"/>
      <c r="M294" s="2616"/>
      <c r="N294" s="2617"/>
    </row>
    <row r="295" spans="2:14" x14ac:dyDescent="0.25">
      <c r="B295" s="2615"/>
      <c r="C295" s="2616"/>
      <c r="D295" s="2617"/>
      <c r="E295" s="473"/>
      <c r="F295" s="2615"/>
      <c r="G295" s="2616"/>
      <c r="H295" s="2616"/>
      <c r="I295" s="2616"/>
      <c r="J295" s="2616"/>
      <c r="K295" s="2616"/>
      <c r="L295" s="2616"/>
      <c r="M295" s="2616"/>
      <c r="N295" s="2617"/>
    </row>
    <row r="296" spans="2:14" x14ac:dyDescent="0.25">
      <c r="B296" s="2615"/>
      <c r="C296" s="2616"/>
      <c r="D296" s="2617"/>
      <c r="E296" s="473"/>
      <c r="F296" s="2615"/>
      <c r="G296" s="2616"/>
      <c r="H296" s="2616"/>
      <c r="I296" s="2616"/>
      <c r="J296" s="2616"/>
      <c r="K296" s="2616"/>
      <c r="L296" s="2616"/>
      <c r="M296" s="2616"/>
      <c r="N296" s="2617"/>
    </row>
    <row r="297" spans="2:14" x14ac:dyDescent="0.25">
      <c r="B297" s="2615"/>
      <c r="C297" s="2616"/>
      <c r="D297" s="2617"/>
      <c r="E297" s="473"/>
      <c r="F297" s="2615"/>
      <c r="G297" s="2616"/>
      <c r="H297" s="2616"/>
      <c r="I297" s="2616"/>
      <c r="J297" s="2616"/>
      <c r="K297" s="2616"/>
      <c r="L297" s="2616"/>
      <c r="M297" s="2616"/>
      <c r="N297" s="2617"/>
    </row>
    <row r="298" spans="2:14" x14ac:dyDescent="0.25">
      <c r="B298" s="2615"/>
      <c r="C298" s="2616"/>
      <c r="D298" s="2617"/>
      <c r="E298" s="473"/>
      <c r="F298" s="2615"/>
      <c r="G298" s="2616"/>
      <c r="H298" s="2616"/>
      <c r="I298" s="2616"/>
      <c r="J298" s="2616"/>
      <c r="K298" s="2616"/>
      <c r="L298" s="2616"/>
      <c r="M298" s="2616"/>
      <c r="N298" s="2617"/>
    </row>
    <row r="299" spans="2:14" x14ac:dyDescent="0.25">
      <c r="B299" s="2634"/>
      <c r="C299" s="2635"/>
      <c r="D299" s="2636"/>
      <c r="E299" s="473"/>
      <c r="F299" s="2634"/>
      <c r="G299" s="2635"/>
      <c r="H299" s="2635"/>
      <c r="I299" s="2635"/>
      <c r="J299" s="2635"/>
      <c r="K299" s="2635"/>
      <c r="L299" s="2635"/>
      <c r="M299" s="2635"/>
      <c r="N299" s="2636"/>
    </row>
    <row r="300" spans="2:14" x14ac:dyDescent="0.25">
      <c r="C300" s="14"/>
      <c r="D300" s="14"/>
      <c r="E300" s="14"/>
      <c r="F300" s="18"/>
      <c r="L300" s="14"/>
      <c r="N300" s="14"/>
    </row>
    <row r="301" spans="2:14" ht="15.75" x14ac:dyDescent="0.25">
      <c r="B301" s="143"/>
      <c r="C301" s="14"/>
      <c r="D301" s="14"/>
      <c r="E301" s="14"/>
      <c r="F301" s="18"/>
      <c r="L301" s="14"/>
      <c r="N301" s="14"/>
    </row>
    <row r="302" spans="2:14" x14ac:dyDescent="0.25">
      <c r="C302" s="14"/>
      <c r="D302" s="14"/>
      <c r="E302" s="14"/>
      <c r="F302" s="18"/>
      <c r="L302" s="14"/>
      <c r="N302" s="14"/>
    </row>
    <row r="303" spans="2:14" x14ac:dyDescent="0.25">
      <c r="C303" s="14"/>
      <c r="D303" s="14"/>
      <c r="E303" s="14"/>
      <c r="F303" s="18"/>
      <c r="L303" s="14"/>
      <c r="N303" s="14"/>
    </row>
    <row r="304" spans="2:14" x14ac:dyDescent="0.25">
      <c r="C304" s="14"/>
      <c r="D304" s="14"/>
      <c r="E304" s="14"/>
      <c r="F304" s="17"/>
      <c r="L304" s="14"/>
      <c r="N304" s="14"/>
    </row>
    <row r="306" spans="2:14" x14ac:dyDescent="0.25">
      <c r="B306" s="7"/>
    </row>
    <row r="307" spans="2:14" x14ac:dyDescent="0.25">
      <c r="B307" s="7"/>
    </row>
    <row r="308" spans="2:14" x14ac:dyDescent="0.25">
      <c r="B308" s="7"/>
    </row>
    <row r="309" spans="2:14" x14ac:dyDescent="0.25">
      <c r="B309" s="7"/>
    </row>
    <row r="310" spans="2:14" x14ac:dyDescent="0.25">
      <c r="B310" s="7"/>
    </row>
    <row r="311" spans="2:14" x14ac:dyDescent="0.25">
      <c r="B311" s="7"/>
    </row>
    <row r="312" spans="2:14" x14ac:dyDescent="0.25">
      <c r="B312" s="7"/>
    </row>
    <row r="313" spans="2:14" x14ac:dyDescent="0.25">
      <c r="B313" s="7"/>
    </row>
    <row r="314" spans="2:14" x14ac:dyDescent="0.25">
      <c r="B314" s="7"/>
    </row>
    <row r="315" spans="2:14" x14ac:dyDescent="0.25">
      <c r="B315" s="7"/>
    </row>
    <row r="316" spans="2:14" ht="12.75" customHeight="1" x14ac:dyDescent="0.25">
      <c r="B316" s="7"/>
    </row>
    <row r="317" spans="2:14" x14ac:dyDescent="0.25">
      <c r="B317" s="7"/>
    </row>
    <row r="318" spans="2:14" x14ac:dyDescent="0.25">
      <c r="B318" s="7"/>
    </row>
    <row r="319" spans="2:14" x14ac:dyDescent="0.25">
      <c r="B319" s="7"/>
      <c r="C319" s="7"/>
      <c r="D319" s="7"/>
      <c r="E319" s="7"/>
      <c r="L319" s="7"/>
      <c r="M319" s="7"/>
      <c r="N319" s="7"/>
    </row>
    <row r="320" spans="2:14" x14ac:dyDescent="0.25">
      <c r="B320" s="7"/>
      <c r="C320" s="7"/>
      <c r="D320" s="7"/>
      <c r="E320" s="7"/>
      <c r="L320" s="7"/>
      <c r="M320" s="7"/>
      <c r="N320" s="7"/>
    </row>
    <row r="321" spans="2:14" x14ac:dyDescent="0.25">
      <c r="B321" s="7"/>
      <c r="C321" s="7"/>
      <c r="D321" s="7"/>
      <c r="E321" s="7"/>
      <c r="L321" s="7"/>
      <c r="M321" s="7"/>
      <c r="N321" s="7"/>
    </row>
    <row r="322" spans="2:14" x14ac:dyDescent="0.25">
      <c r="B322" s="7"/>
      <c r="C322" s="7"/>
      <c r="D322" s="7"/>
      <c r="E322" s="7"/>
      <c r="L322" s="7"/>
      <c r="M322" s="7"/>
      <c r="N322" s="7"/>
    </row>
    <row r="323" spans="2:14" x14ac:dyDescent="0.25">
      <c r="B323" s="7"/>
      <c r="C323" s="7"/>
      <c r="D323" s="7"/>
      <c r="E323" s="7"/>
      <c r="L323" s="7"/>
      <c r="M323" s="7"/>
      <c r="N323" s="7"/>
    </row>
    <row r="324" spans="2:14" x14ac:dyDescent="0.25">
      <c r="B324" s="7"/>
      <c r="C324" s="7"/>
      <c r="D324" s="7"/>
      <c r="E324" s="7"/>
      <c r="L324" s="7"/>
      <c r="M324" s="7"/>
      <c r="N324" s="7"/>
    </row>
    <row r="325" spans="2:14" x14ac:dyDescent="0.25">
      <c r="B325" s="7"/>
      <c r="C325" s="7"/>
      <c r="D325" s="7"/>
      <c r="E325" s="7"/>
      <c r="L325" s="7"/>
      <c r="M325" s="7"/>
      <c r="N325" s="7"/>
    </row>
    <row r="326" spans="2:14" x14ac:dyDescent="0.25">
      <c r="B326" s="7"/>
      <c r="C326" s="7"/>
      <c r="D326" s="7"/>
      <c r="E326" s="7"/>
      <c r="L326" s="7"/>
      <c r="M326" s="7"/>
      <c r="N326" s="7"/>
    </row>
    <row r="327" spans="2:14" x14ac:dyDescent="0.25">
      <c r="B327" s="7"/>
      <c r="C327" s="7"/>
      <c r="D327" s="7"/>
      <c r="E327" s="7"/>
      <c r="L327" s="7"/>
      <c r="M327" s="7"/>
      <c r="N327" s="7"/>
    </row>
    <row r="328" spans="2:14" x14ac:dyDescent="0.25">
      <c r="B328" s="7"/>
      <c r="C328" s="7"/>
      <c r="D328" s="7"/>
      <c r="E328" s="7"/>
      <c r="L328" s="7"/>
      <c r="M328" s="7"/>
      <c r="N328" s="7"/>
    </row>
    <row r="329" spans="2:14" x14ac:dyDescent="0.25">
      <c r="B329" s="7"/>
      <c r="C329" s="7"/>
      <c r="D329" s="7"/>
      <c r="E329" s="7"/>
      <c r="L329" s="7"/>
      <c r="M329" s="7"/>
      <c r="N329" s="7"/>
    </row>
    <row r="330" spans="2:14" x14ac:dyDescent="0.25">
      <c r="B330" s="7"/>
      <c r="C330" s="7"/>
      <c r="D330" s="7"/>
      <c r="E330" s="7"/>
      <c r="L330" s="7"/>
      <c r="M330" s="7"/>
      <c r="N330" s="7"/>
    </row>
    <row r="331" spans="2:14" x14ac:dyDescent="0.25">
      <c r="B331" s="7"/>
      <c r="C331" s="7"/>
      <c r="D331" s="7"/>
      <c r="E331" s="7"/>
      <c r="L331" s="7"/>
      <c r="M331" s="7"/>
      <c r="N331" s="7"/>
    </row>
    <row r="332" spans="2:14" x14ac:dyDescent="0.25">
      <c r="B332" s="7"/>
      <c r="C332" s="7"/>
      <c r="D332" s="7"/>
      <c r="E332" s="7"/>
      <c r="L332" s="7"/>
      <c r="M332" s="7"/>
      <c r="N332" s="7"/>
    </row>
    <row r="333" spans="2:14" x14ac:dyDescent="0.25">
      <c r="B333" s="7"/>
      <c r="C333" s="7"/>
      <c r="D333" s="7"/>
      <c r="E333" s="7"/>
      <c r="L333" s="7"/>
      <c r="M333" s="7"/>
      <c r="N333" s="7"/>
    </row>
    <row r="334" spans="2:14" x14ac:dyDescent="0.25">
      <c r="B334" s="7"/>
      <c r="C334" s="7"/>
      <c r="D334" s="7"/>
      <c r="E334" s="7"/>
      <c r="L334" s="7"/>
      <c r="M334" s="7"/>
      <c r="N334" s="7"/>
    </row>
    <row r="335" spans="2:14" x14ac:dyDescent="0.25">
      <c r="B335" s="7"/>
      <c r="C335" s="7"/>
      <c r="D335" s="7"/>
      <c r="E335" s="7"/>
      <c r="L335" s="7"/>
      <c r="M335" s="7"/>
      <c r="N335" s="7"/>
    </row>
    <row r="336" spans="2:14" x14ac:dyDescent="0.25">
      <c r="B336" s="7"/>
      <c r="C336" s="7"/>
      <c r="D336" s="7"/>
      <c r="E336" s="7"/>
      <c r="L336" s="7"/>
      <c r="M336" s="7"/>
      <c r="N336" s="7"/>
    </row>
    <row r="337" spans="2:14" x14ac:dyDescent="0.25">
      <c r="B337" s="7"/>
      <c r="C337" s="7"/>
      <c r="D337" s="7"/>
      <c r="E337" s="7"/>
      <c r="L337" s="7"/>
      <c r="M337" s="7"/>
      <c r="N337" s="7"/>
    </row>
    <row r="338" spans="2:14" x14ac:dyDescent="0.25">
      <c r="B338" s="7"/>
      <c r="C338" s="7"/>
      <c r="D338" s="7"/>
      <c r="E338" s="7"/>
      <c r="L338" s="7"/>
      <c r="M338" s="7"/>
      <c r="N338" s="7"/>
    </row>
    <row r="339" spans="2:14" x14ac:dyDescent="0.25">
      <c r="B339" s="7"/>
      <c r="C339" s="7"/>
      <c r="D339" s="7"/>
      <c r="E339" s="7"/>
      <c r="L339" s="7"/>
      <c r="M339" s="7"/>
      <c r="N339" s="7"/>
    </row>
    <row r="340" spans="2:14" x14ac:dyDescent="0.25">
      <c r="B340" s="7"/>
      <c r="C340" s="7"/>
      <c r="D340" s="7"/>
      <c r="E340" s="7"/>
      <c r="L340" s="7"/>
      <c r="M340" s="7"/>
      <c r="N340" s="7"/>
    </row>
    <row r="341" spans="2:14" x14ac:dyDescent="0.25">
      <c r="B341" s="7"/>
      <c r="C341" s="7"/>
      <c r="D341" s="7"/>
      <c r="E341" s="7"/>
      <c r="L341" s="7"/>
      <c r="M341" s="7"/>
      <c r="N341" s="7"/>
    </row>
    <row r="342" spans="2:14" x14ac:dyDescent="0.25">
      <c r="B342" s="7"/>
      <c r="C342" s="7"/>
      <c r="D342" s="7"/>
      <c r="E342" s="7"/>
      <c r="L342" s="7"/>
      <c r="M342" s="7"/>
      <c r="N342" s="7"/>
    </row>
    <row r="343" spans="2:14" x14ac:dyDescent="0.25">
      <c r="B343" s="7"/>
      <c r="C343" s="7"/>
      <c r="D343" s="7"/>
      <c r="E343" s="7"/>
      <c r="L343" s="7"/>
      <c r="M343" s="7"/>
      <c r="N343" s="7"/>
    </row>
    <row r="344" spans="2:14" x14ac:dyDescent="0.25">
      <c r="B344" s="7"/>
      <c r="C344" s="7"/>
      <c r="D344" s="7"/>
      <c r="E344" s="7"/>
      <c r="L344" s="7"/>
      <c r="M344" s="7"/>
      <c r="N344" s="7"/>
    </row>
    <row r="345" spans="2:14" x14ac:dyDescent="0.25">
      <c r="B345" s="7"/>
      <c r="C345" s="7"/>
      <c r="D345" s="7"/>
      <c r="E345" s="7"/>
      <c r="L345" s="7"/>
      <c r="M345" s="7"/>
      <c r="N345" s="7"/>
    </row>
    <row r="346" spans="2:14" x14ac:dyDescent="0.25">
      <c r="B346" s="7"/>
      <c r="C346" s="7"/>
      <c r="D346" s="7"/>
      <c r="E346" s="7"/>
      <c r="L346" s="7"/>
      <c r="M346" s="7"/>
      <c r="N346" s="7"/>
    </row>
    <row r="347" spans="2:14" x14ac:dyDescent="0.25">
      <c r="B347" s="7"/>
      <c r="C347" s="7"/>
      <c r="D347" s="7"/>
      <c r="E347" s="7"/>
      <c r="L347" s="7"/>
      <c r="M347" s="7"/>
      <c r="N347" s="7"/>
    </row>
    <row r="348" spans="2:14" x14ac:dyDescent="0.25">
      <c r="B348" s="7"/>
      <c r="C348" s="7"/>
      <c r="D348" s="7"/>
      <c r="E348" s="7"/>
      <c r="L348" s="7"/>
      <c r="M348" s="7"/>
      <c r="N348" s="7"/>
    </row>
    <row r="349" spans="2:14" x14ac:dyDescent="0.25">
      <c r="B349" s="7"/>
      <c r="C349" s="7"/>
      <c r="D349" s="7"/>
      <c r="E349" s="7"/>
      <c r="L349" s="7"/>
      <c r="M349" s="7"/>
      <c r="N349" s="7"/>
    </row>
    <row r="350" spans="2:14" x14ac:dyDescent="0.25">
      <c r="B350" s="7"/>
      <c r="C350" s="7"/>
      <c r="D350" s="7"/>
      <c r="E350" s="7"/>
      <c r="L350" s="7"/>
      <c r="M350" s="7"/>
      <c r="N350" s="7"/>
    </row>
    <row r="351" spans="2:14" x14ac:dyDescent="0.25">
      <c r="B351" s="7"/>
      <c r="C351" s="7"/>
      <c r="D351" s="7"/>
      <c r="E351" s="7"/>
      <c r="L351" s="7"/>
      <c r="M351" s="7"/>
      <c r="N351" s="7"/>
    </row>
    <row r="352" spans="2:14" x14ac:dyDescent="0.25">
      <c r="B352" s="7"/>
      <c r="C352" s="7"/>
      <c r="D352" s="7"/>
      <c r="E352" s="7"/>
      <c r="L352" s="7"/>
      <c r="M352" s="7"/>
      <c r="N352" s="7"/>
    </row>
    <row r="353" spans="2:14" x14ac:dyDescent="0.25">
      <c r="B353" s="7"/>
      <c r="C353" s="7"/>
      <c r="D353" s="7"/>
      <c r="E353" s="7"/>
      <c r="L353" s="7"/>
      <c r="M353" s="7"/>
      <c r="N353" s="7"/>
    </row>
    <row r="354" spans="2:14" x14ac:dyDescent="0.25">
      <c r="B354" s="7"/>
      <c r="C354" s="7"/>
      <c r="D354" s="7"/>
      <c r="E354" s="7"/>
      <c r="L354" s="7"/>
      <c r="M354" s="7"/>
      <c r="N354" s="7"/>
    </row>
    <row r="355" spans="2:14" x14ac:dyDescent="0.25">
      <c r="B355" s="7"/>
      <c r="C355" s="7"/>
      <c r="D355" s="7"/>
      <c r="E355" s="7"/>
      <c r="L355" s="7"/>
      <c r="M355" s="7"/>
      <c r="N355" s="7"/>
    </row>
    <row r="356" spans="2:14" x14ac:dyDescent="0.25">
      <c r="B356" s="7"/>
      <c r="C356" s="7"/>
      <c r="D356" s="7"/>
      <c r="E356" s="7"/>
      <c r="L356" s="7"/>
      <c r="M356" s="7"/>
      <c r="N356" s="7"/>
    </row>
    <row r="357" spans="2:14" x14ac:dyDescent="0.25">
      <c r="B357" s="7"/>
      <c r="C357" s="7"/>
      <c r="D357" s="7"/>
      <c r="E357" s="7"/>
      <c r="L357" s="7"/>
      <c r="M357" s="7"/>
      <c r="N357" s="7"/>
    </row>
    <row r="358" spans="2:14" x14ac:dyDescent="0.25">
      <c r="B358" s="7"/>
      <c r="C358" s="7"/>
      <c r="D358" s="7"/>
      <c r="E358" s="7"/>
      <c r="L358" s="7"/>
      <c r="M358" s="7"/>
      <c r="N358" s="7"/>
    </row>
    <row r="359" spans="2:14" x14ac:dyDescent="0.25">
      <c r="B359" s="7"/>
      <c r="C359" s="7"/>
      <c r="D359" s="7"/>
      <c r="E359" s="7"/>
      <c r="L359" s="7"/>
      <c r="M359" s="7"/>
      <c r="N359" s="7"/>
    </row>
    <row r="360" spans="2:14" x14ac:dyDescent="0.25">
      <c r="B360" s="7"/>
      <c r="C360" s="7"/>
      <c r="D360" s="7"/>
      <c r="E360" s="7"/>
      <c r="L360" s="7"/>
      <c r="M360" s="7"/>
      <c r="N360" s="7"/>
    </row>
    <row r="361" spans="2:14" x14ac:dyDescent="0.25">
      <c r="B361" s="7"/>
      <c r="C361" s="7"/>
      <c r="D361" s="7"/>
      <c r="E361" s="7"/>
      <c r="L361" s="7"/>
      <c r="M361" s="7"/>
      <c r="N361" s="7"/>
    </row>
    <row r="362" spans="2:14" x14ac:dyDescent="0.25">
      <c r="B362" s="7"/>
      <c r="C362" s="7"/>
      <c r="D362" s="7"/>
      <c r="E362" s="7"/>
      <c r="L362" s="7"/>
      <c r="M362" s="7"/>
      <c r="N362" s="7"/>
    </row>
    <row r="363" spans="2:14" x14ac:dyDescent="0.25">
      <c r="B363" s="7"/>
      <c r="C363" s="7"/>
      <c r="D363" s="7"/>
      <c r="E363" s="7"/>
      <c r="L363" s="7"/>
      <c r="M363" s="7"/>
      <c r="N363" s="7"/>
    </row>
    <row r="364" spans="2:14" x14ac:dyDescent="0.25">
      <c r="B364" s="7"/>
      <c r="C364" s="7"/>
      <c r="D364" s="7"/>
      <c r="E364" s="7"/>
      <c r="L364" s="7"/>
      <c r="M364" s="7"/>
      <c r="N364" s="7"/>
    </row>
    <row r="365" spans="2:14" x14ac:dyDescent="0.25">
      <c r="B365" s="7"/>
      <c r="C365" s="7"/>
      <c r="D365" s="7"/>
      <c r="E365" s="7"/>
      <c r="L365" s="7"/>
      <c r="M365" s="7"/>
      <c r="N365" s="7"/>
    </row>
    <row r="366" spans="2:14" x14ac:dyDescent="0.25">
      <c r="B366" s="7"/>
      <c r="C366" s="7"/>
      <c r="D366" s="7"/>
      <c r="E366" s="7"/>
      <c r="L366" s="7"/>
      <c r="M366" s="7"/>
      <c r="N366" s="7"/>
    </row>
    <row r="367" spans="2:14" x14ac:dyDescent="0.25">
      <c r="B367" s="7"/>
      <c r="C367" s="7"/>
      <c r="D367" s="7"/>
      <c r="E367" s="7"/>
      <c r="L367" s="7"/>
      <c r="M367" s="7"/>
      <c r="N367" s="7"/>
    </row>
    <row r="368" spans="2:14" x14ac:dyDescent="0.25">
      <c r="B368" s="7"/>
      <c r="C368" s="7"/>
      <c r="D368" s="7"/>
      <c r="E368" s="7"/>
      <c r="L368" s="7"/>
      <c r="M368" s="7"/>
      <c r="N368" s="7"/>
    </row>
    <row r="369" spans="2:14" x14ac:dyDescent="0.25">
      <c r="B369" s="7"/>
      <c r="C369" s="7"/>
      <c r="D369" s="7"/>
      <c r="E369" s="7"/>
      <c r="L369" s="7"/>
      <c r="M369" s="7"/>
      <c r="N369" s="7"/>
    </row>
    <row r="370" spans="2:14" x14ac:dyDescent="0.25">
      <c r="B370" s="7"/>
      <c r="C370" s="7"/>
      <c r="D370" s="7"/>
      <c r="E370" s="7"/>
      <c r="L370" s="7"/>
      <c r="M370" s="7"/>
      <c r="N370" s="7"/>
    </row>
    <row r="371" spans="2:14" x14ac:dyDescent="0.25">
      <c r="B371" s="7"/>
      <c r="C371" s="7"/>
      <c r="D371" s="7"/>
      <c r="E371" s="7"/>
      <c r="L371" s="7"/>
      <c r="M371" s="7"/>
      <c r="N371" s="7"/>
    </row>
    <row r="372" spans="2:14" x14ac:dyDescent="0.25">
      <c r="B372" s="7"/>
      <c r="C372" s="7"/>
      <c r="D372" s="7"/>
      <c r="E372" s="7"/>
      <c r="L372" s="7"/>
      <c r="M372" s="7"/>
      <c r="N372" s="7"/>
    </row>
    <row r="373" spans="2:14" x14ac:dyDescent="0.25">
      <c r="B373" s="7"/>
      <c r="C373" s="7"/>
      <c r="D373" s="7"/>
      <c r="E373" s="7"/>
      <c r="L373" s="7"/>
      <c r="M373" s="7"/>
      <c r="N373" s="7"/>
    </row>
    <row r="374" spans="2:14" x14ac:dyDescent="0.25">
      <c r="B374" s="7"/>
      <c r="C374" s="7"/>
      <c r="D374" s="7"/>
      <c r="E374" s="7"/>
      <c r="L374" s="7"/>
      <c r="M374" s="7"/>
      <c r="N374" s="7"/>
    </row>
    <row r="375" spans="2:14" x14ac:dyDescent="0.25">
      <c r="B375" s="7"/>
      <c r="C375" s="7"/>
      <c r="D375" s="7"/>
      <c r="E375" s="7"/>
      <c r="L375" s="7"/>
      <c r="M375" s="7"/>
      <c r="N375" s="7"/>
    </row>
    <row r="376" spans="2:14" x14ac:dyDescent="0.25">
      <c r="B376" s="7"/>
      <c r="C376" s="7"/>
      <c r="D376" s="7"/>
      <c r="E376" s="7"/>
      <c r="L376" s="7"/>
      <c r="M376" s="7"/>
      <c r="N376" s="7"/>
    </row>
    <row r="377" spans="2:14" x14ac:dyDescent="0.25">
      <c r="B377" s="7"/>
      <c r="C377" s="7"/>
      <c r="D377" s="7"/>
      <c r="E377" s="7"/>
      <c r="L377" s="7"/>
      <c r="M377" s="7"/>
      <c r="N377" s="7"/>
    </row>
    <row r="378" spans="2:14" x14ac:dyDescent="0.25">
      <c r="B378" s="7"/>
      <c r="C378" s="7"/>
      <c r="D378" s="7"/>
      <c r="E378" s="7"/>
      <c r="L378" s="7"/>
      <c r="M378" s="7"/>
      <c r="N378" s="7"/>
    </row>
    <row r="379" spans="2:14" x14ac:dyDescent="0.25">
      <c r="B379" s="7"/>
      <c r="C379" s="7"/>
      <c r="D379" s="7"/>
      <c r="E379" s="7"/>
      <c r="L379" s="7"/>
      <c r="M379" s="7"/>
      <c r="N379" s="7"/>
    </row>
    <row r="380" spans="2:14" x14ac:dyDescent="0.25">
      <c r="B380" s="7"/>
      <c r="C380" s="7"/>
      <c r="D380" s="7"/>
      <c r="E380" s="7"/>
      <c r="L380" s="7"/>
      <c r="M380" s="7"/>
      <c r="N380" s="7"/>
    </row>
    <row r="381" spans="2:14" x14ac:dyDescent="0.25">
      <c r="B381" s="7"/>
      <c r="C381" s="7"/>
      <c r="D381" s="7"/>
      <c r="E381" s="7"/>
      <c r="L381" s="7"/>
      <c r="M381" s="7"/>
      <c r="N381" s="7"/>
    </row>
    <row r="382" spans="2:14" x14ac:dyDescent="0.25">
      <c r="B382" s="7"/>
      <c r="C382" s="7"/>
      <c r="D382" s="7"/>
      <c r="E382" s="7"/>
      <c r="L382" s="7"/>
      <c r="M382" s="7"/>
      <c r="N382" s="7"/>
    </row>
    <row r="383" spans="2:14" x14ac:dyDescent="0.25">
      <c r="B383" s="7"/>
      <c r="C383" s="7"/>
      <c r="D383" s="7"/>
      <c r="E383" s="7"/>
      <c r="L383" s="7"/>
      <c r="M383" s="7"/>
      <c r="N383" s="7"/>
    </row>
    <row r="384" spans="2:14" x14ac:dyDescent="0.25">
      <c r="B384" s="7"/>
      <c r="C384" s="7"/>
      <c r="D384" s="7"/>
      <c r="E384" s="7"/>
      <c r="L384" s="7"/>
      <c r="M384" s="7"/>
      <c r="N384" s="7"/>
    </row>
    <row r="385" spans="2:14" x14ac:dyDescent="0.25">
      <c r="B385" s="7"/>
      <c r="C385" s="7"/>
      <c r="D385" s="7"/>
      <c r="E385" s="7"/>
      <c r="L385" s="7"/>
      <c r="M385" s="7"/>
      <c r="N385" s="7"/>
    </row>
    <row r="386" spans="2:14" x14ac:dyDescent="0.25">
      <c r="B386" s="7"/>
      <c r="C386" s="7"/>
      <c r="D386" s="7"/>
      <c r="E386" s="7"/>
      <c r="L386" s="7"/>
      <c r="M386" s="7"/>
      <c r="N386" s="7"/>
    </row>
    <row r="387" spans="2:14" x14ac:dyDescent="0.25">
      <c r="B387" s="7"/>
      <c r="C387" s="7"/>
      <c r="D387" s="7"/>
      <c r="E387" s="7"/>
      <c r="L387" s="7"/>
      <c r="M387" s="7"/>
      <c r="N387" s="7"/>
    </row>
    <row r="388" spans="2:14" x14ac:dyDescent="0.25">
      <c r="B388" s="7"/>
      <c r="C388" s="7"/>
      <c r="D388" s="7"/>
      <c r="E388" s="7"/>
      <c r="L388" s="7"/>
      <c r="M388" s="7"/>
      <c r="N388" s="7"/>
    </row>
    <row r="389" spans="2:14" x14ac:dyDescent="0.25">
      <c r="B389" s="7"/>
      <c r="C389" s="7"/>
      <c r="D389" s="7"/>
      <c r="E389" s="7"/>
      <c r="L389" s="7"/>
      <c r="M389" s="7"/>
      <c r="N389" s="7"/>
    </row>
    <row r="390" spans="2:14" x14ac:dyDescent="0.25">
      <c r="B390" s="7"/>
      <c r="C390" s="7"/>
      <c r="D390" s="7"/>
      <c r="E390" s="7"/>
      <c r="L390" s="7"/>
      <c r="M390" s="7"/>
      <c r="N390" s="7"/>
    </row>
    <row r="391" spans="2:14" x14ac:dyDescent="0.25">
      <c r="B391" s="7"/>
      <c r="C391" s="7"/>
      <c r="D391" s="7"/>
      <c r="E391" s="7"/>
      <c r="L391" s="7"/>
      <c r="M391" s="7"/>
      <c r="N391" s="7"/>
    </row>
    <row r="392" spans="2:14" x14ac:dyDescent="0.25">
      <c r="B392" s="7"/>
      <c r="C392" s="7"/>
      <c r="D392" s="7"/>
      <c r="E392" s="7"/>
      <c r="L392" s="7"/>
      <c r="M392" s="7"/>
      <c r="N392" s="7"/>
    </row>
    <row r="393" spans="2:14" x14ac:dyDescent="0.25">
      <c r="B393" s="7"/>
      <c r="C393" s="7"/>
      <c r="D393" s="7"/>
      <c r="E393" s="7"/>
      <c r="L393" s="7"/>
      <c r="M393" s="7"/>
      <c r="N393" s="7"/>
    </row>
    <row r="394" spans="2:14" x14ac:dyDescent="0.25">
      <c r="B394" s="7"/>
      <c r="C394" s="7"/>
      <c r="D394" s="7"/>
      <c r="E394" s="7"/>
      <c r="L394" s="7"/>
      <c r="M394" s="7"/>
      <c r="N394" s="7"/>
    </row>
    <row r="395" spans="2:14" x14ac:dyDescent="0.25">
      <c r="B395" s="7"/>
      <c r="C395" s="7"/>
      <c r="D395" s="7"/>
      <c r="E395" s="7"/>
      <c r="L395" s="7"/>
      <c r="M395" s="7"/>
      <c r="N395" s="7"/>
    </row>
    <row r="396" spans="2:14" x14ac:dyDescent="0.25">
      <c r="B396" s="7"/>
      <c r="C396" s="7"/>
      <c r="D396" s="7"/>
      <c r="E396" s="7"/>
      <c r="L396" s="7"/>
      <c r="M396" s="7"/>
      <c r="N396" s="7"/>
    </row>
    <row r="397" spans="2:14" x14ac:dyDescent="0.25">
      <c r="B397" s="7"/>
      <c r="C397" s="7"/>
      <c r="D397" s="7"/>
      <c r="E397" s="7"/>
      <c r="L397" s="7"/>
      <c r="M397" s="7"/>
      <c r="N397" s="7"/>
    </row>
    <row r="398" spans="2:14" x14ac:dyDescent="0.25">
      <c r="B398" s="7"/>
      <c r="C398" s="7"/>
      <c r="D398" s="7"/>
      <c r="E398" s="7"/>
      <c r="L398" s="7"/>
      <c r="M398" s="7"/>
      <c r="N398" s="7"/>
    </row>
    <row r="399" spans="2:14" x14ac:dyDescent="0.25">
      <c r="B399" s="7"/>
      <c r="C399" s="7"/>
      <c r="D399" s="7"/>
      <c r="E399" s="7"/>
      <c r="L399" s="7"/>
      <c r="M399" s="7"/>
      <c r="N399" s="7"/>
    </row>
    <row r="400" spans="2:14" x14ac:dyDescent="0.25">
      <c r="B400" s="7"/>
      <c r="C400" s="7"/>
      <c r="D400" s="7"/>
      <c r="E400" s="7"/>
      <c r="L400" s="7"/>
      <c r="M400" s="7"/>
      <c r="N400" s="7"/>
    </row>
    <row r="401" spans="2:14" x14ac:dyDescent="0.25">
      <c r="B401" s="7"/>
      <c r="C401" s="7"/>
      <c r="D401" s="7"/>
      <c r="E401" s="7"/>
      <c r="L401" s="7"/>
      <c r="M401" s="7"/>
      <c r="N401" s="7"/>
    </row>
    <row r="402" spans="2:14" x14ac:dyDescent="0.25">
      <c r="B402" s="7"/>
      <c r="C402" s="7"/>
      <c r="D402" s="7"/>
      <c r="E402" s="7"/>
      <c r="L402" s="7"/>
      <c r="M402" s="7"/>
      <c r="N402" s="7"/>
    </row>
    <row r="403" spans="2:14" x14ac:dyDescent="0.25">
      <c r="B403" s="7"/>
      <c r="C403" s="7"/>
      <c r="D403" s="7"/>
      <c r="E403" s="7"/>
      <c r="L403" s="7"/>
      <c r="M403" s="7"/>
      <c r="N403" s="7"/>
    </row>
    <row r="404" spans="2:14" x14ac:dyDescent="0.25">
      <c r="B404" s="7"/>
      <c r="C404" s="7"/>
      <c r="D404" s="7"/>
      <c r="E404" s="7"/>
      <c r="L404" s="7"/>
      <c r="M404" s="7"/>
      <c r="N404" s="7"/>
    </row>
    <row r="405" spans="2:14" x14ac:dyDescent="0.25">
      <c r="B405" s="7"/>
      <c r="C405" s="7"/>
      <c r="D405" s="7"/>
      <c r="E405" s="7"/>
      <c r="L405" s="7"/>
      <c r="M405" s="7"/>
      <c r="N405" s="7"/>
    </row>
  </sheetData>
  <sheetProtection sheet="1" objects="1" scenarios="1"/>
  <mergeCells count="82">
    <mergeCell ref="B289:D289"/>
    <mergeCell ref="B290:D290"/>
    <mergeCell ref="B291:D291"/>
    <mergeCell ref="B292:D292"/>
    <mergeCell ref="B293:D293"/>
    <mergeCell ref="F291:N291"/>
    <mergeCell ref="F292:N292"/>
    <mergeCell ref="F298:N298"/>
    <mergeCell ref="B294:D294"/>
    <mergeCell ref="B295:D295"/>
    <mergeCell ref="B296:D296"/>
    <mergeCell ref="B297:D297"/>
    <mergeCell ref="B298:D298"/>
    <mergeCell ref="F299:N299"/>
    <mergeCell ref="F293:N293"/>
    <mergeCell ref="F294:N294"/>
    <mergeCell ref="F295:N295"/>
    <mergeCell ref="F296:N296"/>
    <mergeCell ref="F297:N297"/>
    <mergeCell ref="B299:D299"/>
    <mergeCell ref="F276:N276"/>
    <mergeCell ref="F277:N277"/>
    <mergeCell ref="F278:N278"/>
    <mergeCell ref="F279:N279"/>
    <mergeCell ref="F280:N280"/>
    <mergeCell ref="F281:N281"/>
    <mergeCell ref="F282:N282"/>
    <mergeCell ref="F283:N283"/>
    <mergeCell ref="F284:N284"/>
    <mergeCell ref="F285:N285"/>
    <mergeCell ref="F286:N286"/>
    <mergeCell ref="F287:N287"/>
    <mergeCell ref="F288:N288"/>
    <mergeCell ref="F289:N289"/>
    <mergeCell ref="F290:N290"/>
    <mergeCell ref="B285:D285"/>
    <mergeCell ref="B286:D286"/>
    <mergeCell ref="B287:D287"/>
    <mergeCell ref="B288:D288"/>
    <mergeCell ref="C171:C172"/>
    <mergeCell ref="C175:C176"/>
    <mergeCell ref="B282:D282"/>
    <mergeCell ref="B283:D283"/>
    <mergeCell ref="C226:C227"/>
    <mergeCell ref="C224:C225"/>
    <mergeCell ref="C177:C178"/>
    <mergeCell ref="C228:C230"/>
    <mergeCell ref="B284:D284"/>
    <mergeCell ref="B281:D281"/>
    <mergeCell ref="M148:M150"/>
    <mergeCell ref="N148:N150"/>
    <mergeCell ref="B278:D278"/>
    <mergeCell ref="B279:D279"/>
    <mergeCell ref="B280:D280"/>
    <mergeCell ref="B276:D276"/>
    <mergeCell ref="B277:D277"/>
    <mergeCell ref="C165:C166"/>
    <mergeCell ref="C167:C168"/>
    <mergeCell ref="C163:C164"/>
    <mergeCell ref="N223:N224"/>
    <mergeCell ref="C149:C151"/>
    <mergeCell ref="M243:M244"/>
    <mergeCell ref="N243:N244"/>
    <mergeCell ref="N8:N10"/>
    <mergeCell ref="D10:I10"/>
    <mergeCell ref="D11:I11"/>
    <mergeCell ref="J11:M11"/>
    <mergeCell ref="D12:I12"/>
    <mergeCell ref="J12:M12"/>
    <mergeCell ref="D13:I13"/>
    <mergeCell ref="J13:M13"/>
    <mergeCell ref="C29:C30"/>
    <mergeCell ref="C88:C89"/>
    <mergeCell ref="D4:E4"/>
    <mergeCell ref="J4:K4"/>
    <mergeCell ref="C38:C39"/>
    <mergeCell ref="N135:N137"/>
    <mergeCell ref="N89:N92"/>
    <mergeCell ref="M135:M137"/>
    <mergeCell ref="C92:C93"/>
    <mergeCell ref="C34:C35"/>
    <mergeCell ref="N35:N38"/>
  </mergeCells>
  <conditionalFormatting sqref="O255:O271">
    <cfRule type="cellIs" dxfId="354" priority="95" operator="equal">
      <formula>"Error"</formula>
    </cfRule>
  </conditionalFormatting>
  <conditionalFormatting sqref="N8:N9">
    <cfRule type="expression" dxfId="353" priority="50">
      <formula>AND(ISNUMBER($D$9),$O$14&gt;0)</formula>
    </cfRule>
  </conditionalFormatting>
  <conditionalFormatting sqref="N11">
    <cfRule type="expression" dxfId="352" priority="49">
      <formula>AND(ISNUMBER($D$9),O11&gt;0)</formula>
    </cfRule>
  </conditionalFormatting>
  <conditionalFormatting sqref="J8:M10">
    <cfRule type="expression" dxfId="351" priority="48">
      <formula>$P$14&lt;0</formula>
    </cfRule>
  </conditionalFormatting>
  <conditionalFormatting sqref="J11:M13">
    <cfRule type="expression" dxfId="350" priority="47">
      <formula>P11&lt;0</formula>
    </cfRule>
  </conditionalFormatting>
  <conditionalFormatting sqref="B10:I10">
    <cfRule type="expression" dxfId="349" priority="46">
      <formula>$D$9&gt;0</formula>
    </cfRule>
  </conditionalFormatting>
  <conditionalFormatting sqref="B11:I13">
    <cfRule type="expression" dxfId="348" priority="45">
      <formula>$D$9=3</formula>
    </cfRule>
  </conditionalFormatting>
  <conditionalFormatting sqref="B11:I12">
    <cfRule type="expression" dxfId="347" priority="44">
      <formula>$D$9=2</formula>
    </cfRule>
  </conditionalFormatting>
  <conditionalFormatting sqref="B11:I11">
    <cfRule type="expression" dxfId="346" priority="43">
      <formula>$D$9=1</formula>
    </cfRule>
  </conditionalFormatting>
  <conditionalFormatting sqref="D11:I11">
    <cfRule type="expression" dxfId="345" priority="41">
      <formula>ISBLANK($D$9)</formula>
    </cfRule>
  </conditionalFormatting>
  <conditionalFormatting sqref="D12:I12">
    <cfRule type="expression" dxfId="344" priority="40">
      <formula>$D$9&lt;2</formula>
    </cfRule>
  </conditionalFormatting>
  <conditionalFormatting sqref="D13:I13">
    <cfRule type="expression" dxfId="343" priority="39">
      <formula>$D$9&lt;3</formula>
    </cfRule>
  </conditionalFormatting>
  <conditionalFormatting sqref="N12">
    <cfRule type="expression" dxfId="342" priority="38">
      <formula>AND($D$9&gt;1,O12&gt;0)</formula>
    </cfRule>
  </conditionalFormatting>
  <conditionalFormatting sqref="N13">
    <cfRule type="expression" dxfId="341" priority="37">
      <formula>AND($D$9&gt;2,O13&gt;0)</formula>
    </cfRule>
  </conditionalFormatting>
  <conditionalFormatting sqref="N20:N22 N35:N38 G88:H117 N173:N175 G172:J202 N89:N94 N40">
    <cfRule type="expression" dxfId="340" priority="36">
      <formula>$B$14=$R$15</formula>
    </cfRule>
  </conditionalFormatting>
  <conditionalFormatting sqref="D13:I13">
    <cfRule type="expression" dxfId="339" priority="31">
      <formula>ISBLANK($D$9)</formula>
    </cfRule>
  </conditionalFormatting>
  <conditionalFormatting sqref="N23">
    <cfRule type="expression" dxfId="338" priority="30">
      <formula>$B$14=$R$15</formula>
    </cfRule>
  </conditionalFormatting>
  <conditionalFormatting sqref="N41">
    <cfRule type="expression" dxfId="337" priority="29">
      <formula>$B$14=$R$15</formula>
    </cfRule>
  </conditionalFormatting>
  <conditionalFormatting sqref="N95">
    <cfRule type="expression" dxfId="336" priority="28">
      <formula>$B$14=$R$15</formula>
    </cfRule>
  </conditionalFormatting>
  <conditionalFormatting sqref="N176">
    <cfRule type="expression" dxfId="335" priority="27">
      <formula>$B$14=$R$15</formula>
    </cfRule>
  </conditionalFormatting>
  <conditionalFormatting sqref="D4:E4">
    <cfRule type="expression" dxfId="334" priority="14">
      <formula>COUNTIF(P16:T502,1)&gt;0</formula>
    </cfRule>
  </conditionalFormatting>
  <conditionalFormatting sqref="J4:K4">
    <cfRule type="expression" dxfId="333" priority="13">
      <formula>COUNTIF(P16:T502,-1)&gt;0</formula>
    </cfRule>
  </conditionalFormatting>
  <conditionalFormatting sqref="O272">
    <cfRule type="cellIs" dxfId="332" priority="10" operator="equal">
      <formula>"Error"</formula>
    </cfRule>
  </conditionalFormatting>
  <conditionalFormatting sqref="J172:J202">
    <cfRule type="expression" dxfId="331" priority="122">
      <formula>P171=-1</formula>
    </cfRule>
  </conditionalFormatting>
  <conditionalFormatting sqref="I34:I71 G88:H117">
    <cfRule type="expression" dxfId="330" priority="15">
      <formula>P34=-1</formula>
    </cfRule>
  </conditionalFormatting>
  <conditionalFormatting sqref="I34:I71 G88:H117 J172:J202">
    <cfRule type="expression" dxfId="329" priority="16">
      <formula>P34=1</formula>
    </cfRule>
  </conditionalFormatting>
  <conditionalFormatting sqref="N39">
    <cfRule type="expression" dxfId="328" priority="9">
      <formula>$B$14=$R$15</formula>
    </cfRule>
  </conditionalFormatting>
  <conditionalFormatting sqref="G19:I19">
    <cfRule type="expression" dxfId="327" priority="8">
      <formula>$B$14=$R$15</formula>
    </cfRule>
  </conditionalFormatting>
  <conditionalFormatting sqref="G19:I19">
    <cfRule type="expression" dxfId="326" priority="6">
      <formula>P19=-1</formula>
    </cfRule>
  </conditionalFormatting>
  <conditionalFormatting sqref="G19:I19">
    <cfRule type="expression" dxfId="325" priority="7">
      <formula>P19=1</formula>
    </cfRule>
  </conditionalFormatting>
  <conditionalFormatting sqref="G34:H71">
    <cfRule type="expression" dxfId="324" priority="5">
      <formula>$B$14=$R$15</formula>
    </cfRule>
  </conditionalFormatting>
  <conditionalFormatting sqref="G27:I27">
    <cfRule type="expression" dxfId="323" priority="4">
      <formula>AND($P$14=0,$Q$14&gt;0)</formula>
    </cfRule>
  </conditionalFormatting>
  <conditionalFormatting sqref="I27">
    <cfRule type="expression" dxfId="322" priority="3">
      <formula>AND($P$14=0,$Q$14&gt;0)</formula>
    </cfRule>
  </conditionalFormatting>
  <conditionalFormatting sqref="G27:I27">
    <cfRule type="expression" dxfId="321" priority="2">
      <formula>P27=-1</formula>
    </cfRule>
  </conditionalFormatting>
  <conditionalFormatting sqref="G27:I27">
    <cfRule type="expression" dxfId="320" priority="1">
      <formula>P27=1</formula>
    </cfRule>
  </conditionalFormatting>
  <dataValidations count="3">
    <dataValidation type="list" allowBlank="1" showInputMessage="1" showErrorMessage="1" sqref="D9">
      <formula1>"1,2,3"</formula1>
    </dataValidation>
    <dataValidation type="list" allowBlank="1" showInputMessage="1" showErrorMessage="1" error="Please select from the two possible options by clicking on the small triangle to the right of this cell" sqref="D11:I13">
      <formula1>$R$11:$R$12</formula1>
    </dataValidation>
    <dataValidation type="list" allowBlank="1" showInputMessage="1" showErrorMessage="1" error="Please either leave this cell blank or, if you have updated the relevant data, confirm this by clicking on the small arrow to the right of this cell and selecting the available text " sqref="N11:N13">
      <formula1>$R$13</formula1>
    </dataValidation>
  </dataValidations>
  <hyperlinks>
    <hyperlink ref="B3" location="Comments_ACT" display="Link to the areas for providing general comments or footnotes"/>
    <hyperlink ref="F5" location="ACT!B300" display="ACT!B300"/>
    <hyperlink ref="M5" location="Data_validn_explan" display="Data_validn_explan"/>
  </hyperlink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105" operator="equal" id="{9AA90D7D-9632-4E9F-8FEA-541948C54F2D}">
            <xm:f>Intro!$B$37</xm:f>
            <x14:dxf>
              <font>
                <color rgb="FFFF0000"/>
              </font>
            </x14:dxf>
          </x14:cfRule>
          <xm:sqref>D11:I13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U380"/>
  <sheetViews>
    <sheetView zoomScale="85" zoomScaleNormal="85" workbookViewId="0">
      <pane ySplit="3" topLeftCell="A4" activePane="bottomLeft" state="frozen"/>
      <selection pane="bottomLeft" activeCell="A4" sqref="A4"/>
    </sheetView>
  </sheetViews>
  <sheetFormatPr defaultColWidth="9.140625" defaultRowHeight="12.75" x14ac:dyDescent="0.2"/>
  <cols>
    <col min="1" max="1" width="4.28515625" style="74" customWidth="1"/>
    <col min="2" max="2" width="19.28515625" style="74" customWidth="1"/>
    <col min="3" max="3" width="35.5703125" style="74" customWidth="1"/>
    <col min="4" max="6" width="9.7109375" style="74" customWidth="1"/>
    <col min="7" max="7" width="10.85546875" style="74" customWidth="1"/>
    <col min="8" max="8" width="9.85546875" style="74" customWidth="1"/>
    <col min="9" max="9" width="11.140625" style="74" customWidth="1"/>
    <col min="10" max="12" width="9.7109375" style="74" customWidth="1"/>
    <col min="13" max="13" width="11.5703125" style="74" customWidth="1"/>
    <col min="14" max="14" width="9.7109375" style="74" customWidth="1"/>
    <col min="15" max="15" width="10.85546875" style="74" customWidth="1"/>
    <col min="16" max="16" width="11.28515625" style="74" bestFit="1" customWidth="1"/>
    <col min="17" max="17" width="11.28515625" style="74" customWidth="1"/>
    <col min="18" max="20" width="11.28515625" style="74" bestFit="1" customWidth="1"/>
    <col min="21" max="21" width="12" style="74" bestFit="1" customWidth="1"/>
    <col min="22" max="22" width="12.5703125" style="75" customWidth="1"/>
    <col min="23" max="24" width="10.5703125" style="74" bestFit="1" customWidth="1"/>
    <col min="25" max="25" width="11" style="74" customWidth="1"/>
    <col min="26" max="27" width="14.5703125" style="74" customWidth="1"/>
    <col min="28" max="28" width="9.140625" style="74"/>
    <col min="29" max="29" width="20.42578125" style="74" bestFit="1" customWidth="1"/>
    <col min="30" max="32" width="9.140625" style="74"/>
    <col min="33" max="33" width="6.5703125" style="74" customWidth="1"/>
    <col min="34" max="34" width="15.42578125" style="74" customWidth="1"/>
    <col min="35" max="36" width="6.42578125" style="74" customWidth="1"/>
    <col min="37" max="40" width="6.28515625" style="74" customWidth="1"/>
    <col min="41" max="41" width="6.42578125" style="74" customWidth="1"/>
    <col min="42" max="42" width="6.28515625" style="74" customWidth="1"/>
    <col min="43" max="43" width="6.140625" style="74" customWidth="1"/>
    <col min="44" max="16384" width="9.140625" style="74"/>
  </cols>
  <sheetData>
    <row r="1" spans="1:82" s="25" customFormat="1" ht="21" x14ac:dyDescent="0.35">
      <c r="A1" s="25" t="s">
        <v>1081</v>
      </c>
      <c r="D1" s="22" t="s">
        <v>958</v>
      </c>
      <c r="F1" s="22"/>
      <c r="V1" s="26"/>
    </row>
    <row r="2" spans="1:82" x14ac:dyDescent="0.2">
      <c r="C2" s="1287" t="s">
        <v>12</v>
      </c>
      <c r="D2" s="124" t="s">
        <v>13</v>
      </c>
      <c r="E2" s="1511" t="s">
        <v>1137</v>
      </c>
      <c r="J2" s="253"/>
      <c r="M2" s="253"/>
      <c r="V2" s="74"/>
    </row>
    <row r="3" spans="1:82" x14ac:dyDescent="0.2">
      <c r="V3" s="74"/>
    </row>
    <row r="4" spans="1:82" x14ac:dyDescent="0.2">
      <c r="V4" s="74"/>
      <c r="CD4" s="2075" t="s">
        <v>1431</v>
      </c>
    </row>
    <row r="5" spans="1:82" ht="15.75" x14ac:dyDescent="0.25">
      <c r="B5" s="2434" t="s">
        <v>1076</v>
      </c>
      <c r="C5" s="1636"/>
      <c r="D5" s="1672" t="s">
        <v>410</v>
      </c>
      <c r="E5" s="1672"/>
      <c r="F5" s="1672"/>
      <c r="G5" s="1672"/>
      <c r="H5" s="1672"/>
      <c r="I5" s="1672"/>
      <c r="J5" s="1673"/>
      <c r="K5" s="1627" t="s">
        <v>1080</v>
      </c>
      <c r="L5" s="1675" t="s">
        <v>1301</v>
      </c>
      <c r="M5" s="1672"/>
      <c r="N5" s="1672"/>
      <c r="O5" s="1672"/>
      <c r="P5" s="2438" t="s">
        <v>1375</v>
      </c>
      <c r="Q5" s="2438" t="s">
        <v>1368</v>
      </c>
      <c r="R5" s="2545" t="s">
        <v>1369</v>
      </c>
      <c r="V5" s="2075" t="s">
        <v>1347</v>
      </c>
      <c r="Y5" s="77"/>
      <c r="Z5" s="77"/>
      <c r="AA5" s="77"/>
      <c r="AD5" s="2075" t="s">
        <v>1328</v>
      </c>
      <c r="AF5" s="77"/>
      <c r="AP5" s="2075" t="s">
        <v>1329</v>
      </c>
      <c r="BE5" s="2075"/>
    </row>
    <row r="6" spans="1:82" s="76" customFormat="1" ht="38.25" x14ac:dyDescent="0.2">
      <c r="A6" s="74"/>
      <c r="B6" s="1661" t="s">
        <v>1330</v>
      </c>
      <c r="C6" s="979"/>
      <c r="D6" s="930"/>
      <c r="E6" s="2280"/>
      <c r="F6" s="2280"/>
      <c r="G6" s="979"/>
      <c r="H6" s="2279" t="s">
        <v>88</v>
      </c>
      <c r="I6" s="2280" t="s">
        <v>454</v>
      </c>
      <c r="J6" s="2341" t="s">
        <v>1348</v>
      </c>
      <c r="K6" s="1676" t="s">
        <v>455</v>
      </c>
      <c r="L6" s="1644"/>
      <c r="M6" s="979"/>
      <c r="N6" s="979"/>
      <c r="O6" s="979"/>
      <c r="P6" s="2279" t="s">
        <v>455</v>
      </c>
      <c r="Q6" s="2280" t="s">
        <v>454</v>
      </c>
      <c r="R6" s="2341" t="s">
        <v>1348</v>
      </c>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Y6" s="2136" t="s">
        <v>1138</v>
      </c>
      <c r="AZ6" s="2137"/>
      <c r="BA6" s="2135"/>
      <c r="BB6" s="2135"/>
      <c r="BC6" s="74"/>
      <c r="BE6" s="74"/>
      <c r="BG6" s="74"/>
    </row>
    <row r="7" spans="1:82" x14ac:dyDescent="0.2">
      <c r="B7" s="1638"/>
      <c r="C7" s="1637"/>
      <c r="D7" s="944" t="s">
        <v>16</v>
      </c>
      <c r="E7" s="945" t="s">
        <v>17</v>
      </c>
      <c r="F7" s="2425" t="s">
        <v>1354</v>
      </c>
      <c r="G7" s="945" t="s">
        <v>18</v>
      </c>
      <c r="H7" s="944" t="s">
        <v>112</v>
      </c>
      <c r="I7" s="945" t="s">
        <v>112</v>
      </c>
      <c r="J7" s="946" t="s">
        <v>112</v>
      </c>
      <c r="K7" s="2410"/>
      <c r="L7" s="944" t="s">
        <v>16</v>
      </c>
      <c r="M7" s="945" t="s">
        <v>17</v>
      </c>
      <c r="N7" s="2425" t="s">
        <v>1354</v>
      </c>
      <c r="O7" s="945" t="s">
        <v>18</v>
      </c>
      <c r="P7" s="944" t="s">
        <v>112</v>
      </c>
      <c r="Q7" s="945" t="s">
        <v>112</v>
      </c>
      <c r="R7" s="946" t="s">
        <v>112</v>
      </c>
      <c r="S7" s="955" t="s">
        <v>439</v>
      </c>
      <c r="T7" s="1654"/>
      <c r="V7" s="74"/>
      <c r="AF7" s="2076" t="s">
        <v>1367</v>
      </c>
      <c r="AY7" s="2135" t="s">
        <v>3</v>
      </c>
      <c r="AZ7" s="2135"/>
      <c r="BA7" s="2135"/>
      <c r="BB7" s="2135"/>
    </row>
    <row r="8" spans="1:82" x14ac:dyDescent="0.2">
      <c r="B8" s="1983" t="s">
        <v>3</v>
      </c>
      <c r="C8" s="1988" t="s">
        <v>113</v>
      </c>
      <c r="D8" s="1630">
        <f>ACT.!D70</f>
        <v>67.001302711298308</v>
      </c>
      <c r="E8" s="1630">
        <f>ACT.!E70</f>
        <v>103.69036058581079</v>
      </c>
      <c r="F8" s="1630">
        <f>ACT.!F70</f>
        <v>103.69036058581079</v>
      </c>
      <c r="G8" s="1630">
        <f>ACT.!G70</f>
        <v>19.83107724066554</v>
      </c>
      <c r="H8" s="2416">
        <f>ACT.!H70</f>
        <v>190.52274053777467</v>
      </c>
      <c r="I8" s="2417">
        <f>ACT.!I70</f>
        <v>190.52274053777467</v>
      </c>
      <c r="J8" s="2420">
        <f>ACT.!J70</f>
        <v>181.17215529139335</v>
      </c>
      <c r="K8" s="2131">
        <f>H8/1000</f>
        <v>0.19052274053777465</v>
      </c>
      <c r="L8" s="2416">
        <f t="shared" ref="L8:O10" si="0">D8*1000000/Pop_ACT</f>
        <v>172.79867208426816</v>
      </c>
      <c r="M8" s="1630">
        <f t="shared" si="0"/>
        <v>267.42101857887667</v>
      </c>
      <c r="N8" s="1630">
        <f t="shared" si="0"/>
        <v>267.42101857887667</v>
      </c>
      <c r="O8" s="1630">
        <f t="shared" si="0"/>
        <v>51.145032626503038</v>
      </c>
      <c r="P8" s="2416">
        <f>ACT.!K70</f>
        <v>491.36472328964794</v>
      </c>
      <c r="Q8" s="2417">
        <f>ACT.!L70</f>
        <v>491.36472328964794</v>
      </c>
      <c r="R8" s="2420">
        <f>ACT.!M70</f>
        <v>467.24924122584946</v>
      </c>
      <c r="S8" s="1655" t="str">
        <f>IF(ROUND(SUM(D8:E8,G8),0)=ROUND(H8,0),"Ok","Error")</f>
        <v>Ok</v>
      </c>
      <c r="T8" s="1655" t="str">
        <f>IF(ROUND(SUM(L8:M8,O8),0)=ROUND(P8,0),"Ok","Error")</f>
        <v>Ok</v>
      </c>
      <c r="U8" s="253"/>
      <c r="V8" s="74"/>
      <c r="W8" s="2076"/>
      <c r="AF8" s="2076" t="s">
        <v>1309</v>
      </c>
      <c r="AY8" s="2135" t="s">
        <v>4</v>
      </c>
      <c r="AZ8" s="2135"/>
      <c r="BA8" s="2135"/>
      <c r="BB8" s="2135"/>
    </row>
    <row r="9" spans="1:82" x14ac:dyDescent="0.2">
      <c r="B9" s="1985"/>
      <c r="C9" s="1989" t="s">
        <v>114</v>
      </c>
      <c r="D9" s="1630">
        <f>ACT.!D71</f>
        <v>98.60514560578055</v>
      </c>
      <c r="E9" s="1630">
        <f>ACT.!E71</f>
        <v>238.07849464405479</v>
      </c>
      <c r="F9" s="1630">
        <f>ACT.!F71</f>
        <v>238.07849464405479</v>
      </c>
      <c r="G9" s="1630">
        <f>ACT.!G71</f>
        <v>210.44695189813496</v>
      </c>
      <c r="H9" s="2416">
        <f>ACT.!H71</f>
        <v>547.13059214797033</v>
      </c>
      <c r="I9" s="1630">
        <f>ACT.!I71</f>
        <v>547.13059214797033</v>
      </c>
      <c r="J9" s="2418">
        <f>ACT.!J71</f>
        <v>476.89603803424706</v>
      </c>
      <c r="K9" s="2131">
        <f>H9/1000</f>
        <v>0.54713059214797033</v>
      </c>
      <c r="L9" s="2416">
        <f t="shared" si="0"/>
        <v>254.30607364118552</v>
      </c>
      <c r="M9" s="1630">
        <f t="shared" si="0"/>
        <v>614.01265440435861</v>
      </c>
      <c r="N9" s="1630">
        <f t="shared" si="0"/>
        <v>614.01265440435861</v>
      </c>
      <c r="O9" s="1630">
        <f t="shared" si="0"/>
        <v>542.74995202514799</v>
      </c>
      <c r="P9" s="2416">
        <f>ACT.!K71</f>
        <v>1411.0686800706922</v>
      </c>
      <c r="Q9" s="1630">
        <f>ACT.!L71</f>
        <v>1411.0686800706922</v>
      </c>
      <c r="R9" s="2418">
        <f>ACT.!M71</f>
        <v>1229.931341031529</v>
      </c>
      <c r="S9" s="1655" t="str">
        <f>IF(ROUND(SUM(D9:E9,G9),0)=ROUND(H9,0),"Ok","Error")</f>
        <v>Ok</v>
      </c>
      <c r="T9" s="1655" t="str">
        <f t="shared" ref="T9:T10" si="1">IF(ROUND(SUM(L9:M9,O9),0)=ROUND(P9,0),"Ok","Error")</f>
        <v>Ok</v>
      </c>
      <c r="V9" s="74"/>
      <c r="W9" s="2076" t="s">
        <v>1367</v>
      </c>
      <c r="X9" s="2076" t="s">
        <v>1309</v>
      </c>
      <c r="Y9" s="2076" t="s">
        <v>1367</v>
      </c>
      <c r="Z9" s="2076" t="s">
        <v>1309</v>
      </c>
      <c r="AA9" s="2076" t="s">
        <v>1367</v>
      </c>
      <c r="AB9" s="2076" t="s">
        <v>1309</v>
      </c>
      <c r="AF9" s="2076" t="s">
        <v>1367</v>
      </c>
      <c r="AY9" s="2135" t="s">
        <v>5</v>
      </c>
      <c r="AZ9" s="2135"/>
      <c r="BA9" s="2135"/>
      <c r="BB9" s="2135"/>
    </row>
    <row r="10" spans="1:82" s="76" customFormat="1" x14ac:dyDescent="0.2">
      <c r="A10" s="74"/>
      <c r="B10" s="1985"/>
      <c r="C10" s="1989" t="s">
        <v>38</v>
      </c>
      <c r="D10" s="1630">
        <f>ACT.!D72</f>
        <v>18.458074077713455</v>
      </c>
      <c r="E10" s="1630">
        <f>ACT.!E72</f>
        <v>17.63611597009228</v>
      </c>
      <c r="F10" s="1630">
        <f>ACT.!F72</f>
        <v>17.63611597009228</v>
      </c>
      <c r="G10" s="1630">
        <f>ACT.!G72</f>
        <v>0.90879590613944439</v>
      </c>
      <c r="H10" s="2416">
        <f>ACT.!H72</f>
        <v>37.002985953945178</v>
      </c>
      <c r="I10" s="1630">
        <f>ACT.!I72</f>
        <v>37.002985953945178</v>
      </c>
      <c r="J10" s="2418">
        <f>ACT.!J72</f>
        <v>37.002985953945057</v>
      </c>
      <c r="K10" s="2131">
        <f>H10/1000</f>
        <v>3.7002985953945175E-2</v>
      </c>
      <c r="L10" s="2416">
        <f t="shared" si="0"/>
        <v>47.604010083285935</v>
      </c>
      <c r="M10" s="1630">
        <f t="shared" si="0"/>
        <v>45.48415175578679</v>
      </c>
      <c r="N10" s="1630">
        <f t="shared" si="0"/>
        <v>45.48415175578679</v>
      </c>
      <c r="O10" s="1630">
        <f t="shared" si="0"/>
        <v>2.3438160068794311</v>
      </c>
      <c r="P10" s="2416">
        <f>ACT.!K72</f>
        <v>95.431977845952161</v>
      </c>
      <c r="Q10" s="1630">
        <f>ACT.!L72</f>
        <v>95.43197784595219</v>
      </c>
      <c r="R10" s="2418">
        <f>ACT.!M72</f>
        <v>95.431977845951835</v>
      </c>
      <c r="S10" s="1655" t="str">
        <f>IF(ROUND(SUM(D10:E10,G10),0)=ROUND(H10,0),"Ok","Error")</f>
        <v>Ok</v>
      </c>
      <c r="T10" s="1655" t="str">
        <f t="shared" si="1"/>
        <v>Ok</v>
      </c>
      <c r="U10" s="74"/>
      <c r="V10" s="74"/>
      <c r="W10" s="2150">
        <f>H44*1000</f>
        <v>580.56963787448194</v>
      </c>
      <c r="Y10" s="2150">
        <f>I44*1000</f>
        <v>606.71174442320648</v>
      </c>
      <c r="Z10" s="77"/>
      <c r="AA10" s="2150">
        <f>J44*1000</f>
        <v>613.83712370977992</v>
      </c>
      <c r="AB10" s="77"/>
      <c r="AC10" s="77"/>
      <c r="AD10" s="77"/>
      <c r="AE10" s="77"/>
      <c r="AF10" s="2076" t="s">
        <v>1309</v>
      </c>
      <c r="AG10" s="74"/>
      <c r="AH10" s="74"/>
      <c r="AI10" s="74"/>
      <c r="AJ10" s="74"/>
      <c r="AK10" s="74"/>
      <c r="AL10" s="74"/>
      <c r="AM10" s="74"/>
      <c r="AN10" s="74"/>
      <c r="AO10" s="74"/>
      <c r="AP10" s="74"/>
      <c r="AQ10" s="74"/>
      <c r="AR10" s="74"/>
      <c r="AS10" s="74"/>
      <c r="AT10" s="74"/>
      <c r="AU10" s="74"/>
      <c r="AV10" s="74"/>
      <c r="AW10" s="74"/>
      <c r="AY10" s="2135" t="s">
        <v>6</v>
      </c>
      <c r="AZ10" s="2135"/>
      <c r="BA10" s="2135"/>
      <c r="BB10" s="2135"/>
      <c r="BC10" s="74"/>
      <c r="BE10" s="74"/>
      <c r="BG10" s="74"/>
    </row>
    <row r="11" spans="1:82" s="76" customFormat="1" ht="13.5" customHeight="1" x14ac:dyDescent="0.2">
      <c r="A11" s="74"/>
      <c r="B11" s="1987"/>
      <c r="C11" s="1990" t="s">
        <v>116</v>
      </c>
      <c r="D11" s="1653">
        <f t="shared" ref="D11:J11" si="2">SUM(D9:D10)/SUM(D8:D10)</f>
        <v>0.63599013085427725</v>
      </c>
      <c r="E11" s="1653">
        <f t="shared" si="2"/>
        <v>0.71149436180691594</v>
      </c>
      <c r="F11" s="1653">
        <f t="shared" si="2"/>
        <v>0.71149436180691594</v>
      </c>
      <c r="G11" s="1653">
        <f t="shared" si="2"/>
        <v>0.91422055631063481</v>
      </c>
      <c r="H11" s="1666">
        <f t="shared" si="2"/>
        <v>0.75405513909402322</v>
      </c>
      <c r="I11" s="1653">
        <f t="shared" si="2"/>
        <v>0.75405513909402322</v>
      </c>
      <c r="J11" s="2421">
        <f t="shared" si="2"/>
        <v>0.73934733493169524</v>
      </c>
      <c r="K11" s="2550" t="s">
        <v>117</v>
      </c>
      <c r="L11" s="1677">
        <f>SUM(L8:L10)</f>
        <v>474.70875580873957</v>
      </c>
      <c r="M11" s="261">
        <f>SUM(M8:M10)</f>
        <v>926.91782473902208</v>
      </c>
      <c r="N11" s="261">
        <f t="shared" ref="N11:O11" si="3">SUM(N8:N10)</f>
        <v>926.91782473902208</v>
      </c>
      <c r="O11" s="266">
        <f t="shared" si="3"/>
        <v>596.23880065853052</v>
      </c>
      <c r="P11" s="2523"/>
      <c r="Q11" s="2524"/>
      <c r="R11" s="2525"/>
      <c r="S11" s="1655"/>
      <c r="T11" s="1655"/>
      <c r="U11" s="74"/>
      <c r="Y11" s="77"/>
      <c r="Z11" s="77"/>
      <c r="AA11" s="77"/>
      <c r="AB11" s="77"/>
      <c r="AC11" s="77"/>
      <c r="AD11" s="77"/>
      <c r="AE11" s="77"/>
      <c r="AF11" s="2076" t="s">
        <v>1367</v>
      </c>
      <c r="AG11" s="74"/>
      <c r="AH11" s="74"/>
      <c r="AI11" s="74"/>
      <c r="AJ11" s="74"/>
      <c r="AK11" s="74"/>
      <c r="AL11" s="74"/>
      <c r="AM11" s="74"/>
      <c r="AN11" s="74"/>
      <c r="AO11" s="74"/>
      <c r="AP11" s="74"/>
      <c r="AQ11" s="74"/>
      <c r="AR11" s="74"/>
      <c r="AS11" s="74"/>
      <c r="AT11" s="74"/>
      <c r="AU11" s="74"/>
      <c r="AV11" s="74"/>
      <c r="AW11" s="74"/>
      <c r="AY11" s="2135" t="s">
        <v>7</v>
      </c>
      <c r="AZ11" s="2135"/>
      <c r="BA11" s="2135"/>
      <c r="BB11" s="2135"/>
      <c r="BC11" s="74"/>
      <c r="BE11" s="74"/>
      <c r="BG11" s="74"/>
    </row>
    <row r="12" spans="1:82" x14ac:dyDescent="0.2">
      <c r="B12" s="1997" t="s">
        <v>4</v>
      </c>
      <c r="C12" s="1998" t="s">
        <v>113</v>
      </c>
      <c r="D12" s="1630">
        <f>NSW.!D70</f>
        <v>1881.2041634498671</v>
      </c>
      <c r="E12" s="1630">
        <f>NSW.!E70</f>
        <v>3206.5670981666985</v>
      </c>
      <c r="F12" s="1630">
        <f>NSW.!F70</f>
        <v>2405.1550044172172</v>
      </c>
      <c r="G12" s="1630">
        <f>NSW.!G70</f>
        <v>1593.7213484963322</v>
      </c>
      <c r="H12" s="2419">
        <f>NSW.!H70</f>
        <v>6681.4926101128976</v>
      </c>
      <c r="I12" s="2417">
        <f>NSW.!I70</f>
        <v>5880.0805163634168</v>
      </c>
      <c r="J12" s="2420">
        <f>NSW.!J70</f>
        <v>4859.9563244671426</v>
      </c>
      <c r="K12" s="2411">
        <f>H12/1000</f>
        <v>6.6814926101128975</v>
      </c>
      <c r="L12" s="2416">
        <f t="shared" ref="L12:O14" si="4">D12*1000000/Pop_NSW</f>
        <v>248.68435841373611</v>
      </c>
      <c r="M12" s="1630">
        <f t="shared" si="4"/>
        <v>423.8897069288949</v>
      </c>
      <c r="N12" s="1630">
        <f t="shared" si="4"/>
        <v>317.94764267489461</v>
      </c>
      <c r="O12" s="1630">
        <f t="shared" si="4"/>
        <v>210.6807856061003</v>
      </c>
      <c r="P12" s="2419">
        <f>NSW.!K70</f>
        <v>883.25485094873136</v>
      </c>
      <c r="Q12" s="2417">
        <f>NSW.!L70</f>
        <v>777.31278669473102</v>
      </c>
      <c r="R12" s="2420">
        <f>NSW.!M70</f>
        <v>642.45824241239995</v>
      </c>
      <c r="S12" s="1655" t="str">
        <f>IF(ROUND(SUM(D12:E12,G12),0)=ROUND(H12,0),"Ok","Error")</f>
        <v>Ok</v>
      </c>
      <c r="T12" s="1655" t="str">
        <f>IF(ROUND(SUM(L12:M12,O12),0)=ROUND(P12,0),"Ok","Error")</f>
        <v>Ok</v>
      </c>
      <c r="V12" s="74"/>
      <c r="Y12" s="76"/>
      <c r="Z12" s="76"/>
      <c r="AA12" s="76"/>
      <c r="AB12" s="76"/>
      <c r="AC12" s="76"/>
      <c r="AD12" s="76"/>
      <c r="AE12" s="76"/>
      <c r="AF12" s="2076" t="s">
        <v>1309</v>
      </c>
      <c r="AY12" s="2135" t="s">
        <v>8</v>
      </c>
      <c r="AZ12" s="2135"/>
      <c r="BA12" s="2135"/>
      <c r="BB12" s="2135"/>
    </row>
    <row r="13" spans="1:82" x14ac:dyDescent="0.2">
      <c r="B13" s="1993"/>
      <c r="C13" s="1998" t="s">
        <v>114</v>
      </c>
      <c r="D13" s="1630">
        <f>NSW.!D71</f>
        <v>2357.8855050624052</v>
      </c>
      <c r="E13" s="1630">
        <f>NSW.!E71</f>
        <v>4695.8276986769934</v>
      </c>
      <c r="F13" s="1630">
        <f>NSW.!F71</f>
        <v>2757.2152033691332</v>
      </c>
      <c r="G13" s="1630">
        <f>NSW.!G71</f>
        <v>4405.2150944943369</v>
      </c>
      <c r="H13" s="2416">
        <f>NSW.!H71</f>
        <v>11458.928298233735</v>
      </c>
      <c r="I13" s="1630">
        <f>NSW.!I71</f>
        <v>9520.3158029258775</v>
      </c>
      <c r="J13" s="2418">
        <f>NSW.!J71</f>
        <v>8738.5183622114546</v>
      </c>
      <c r="K13" s="2131">
        <f>H13/1000</f>
        <v>11.458928298233735</v>
      </c>
      <c r="L13" s="2416">
        <f t="shared" si="4"/>
        <v>311.69888703848744</v>
      </c>
      <c r="M13" s="1630">
        <f t="shared" si="4"/>
        <v>620.7613831373809</v>
      </c>
      <c r="N13" s="1630">
        <f t="shared" si="4"/>
        <v>364.48797380982654</v>
      </c>
      <c r="O13" s="1630">
        <f t="shared" si="4"/>
        <v>582.34407021501625</v>
      </c>
      <c r="P13" s="2416">
        <f>NSW.!K71</f>
        <v>1514.8043403908846</v>
      </c>
      <c r="Q13" s="1630">
        <f>NSW.!L71</f>
        <v>1258.5309310633304</v>
      </c>
      <c r="R13" s="2418">
        <f>NSW.!M71</f>
        <v>1155.1818109991764</v>
      </c>
      <c r="S13" s="1655" t="str">
        <f>IF(ROUND(SUM(D13:E13,G13),0)=ROUND(H13,0),"Ok","Error")</f>
        <v>Ok</v>
      </c>
      <c r="T13" s="1655" t="str">
        <f t="shared" ref="T13:T14" si="5">IF(ROUND(SUM(L13:M13,O13),0)=ROUND(P13,0),"Ok","Error")</f>
        <v>Ok</v>
      </c>
      <c r="V13" s="74"/>
      <c r="Y13" s="76"/>
      <c r="Z13" s="76"/>
      <c r="AA13" s="76"/>
      <c r="AB13" s="76"/>
      <c r="AC13" s="76"/>
      <c r="AD13" s="76"/>
      <c r="AE13" s="76"/>
      <c r="AF13" s="2076" t="s">
        <v>1367</v>
      </c>
      <c r="AY13" s="2135" t="s">
        <v>9</v>
      </c>
      <c r="AZ13" s="2135"/>
      <c r="BA13" s="2135"/>
      <c r="BB13" s="2135"/>
    </row>
    <row r="14" spans="1:82" x14ac:dyDescent="0.2">
      <c r="B14" s="1993"/>
      <c r="C14" s="1998" t="s">
        <v>38</v>
      </c>
      <c r="D14" s="1630">
        <f>NSW.!D72</f>
        <v>366.25244976112077</v>
      </c>
      <c r="E14" s="1630">
        <f>NSW.!E72</f>
        <v>347.49047809673982</v>
      </c>
      <c r="F14" s="1630">
        <f>NSW.!F72</f>
        <v>347.49047809673982</v>
      </c>
      <c r="G14" s="1630">
        <f>NSW.!G72</f>
        <v>107.01773443608572</v>
      </c>
      <c r="H14" s="2416">
        <f>NSW.!H72</f>
        <v>820.76066229394621</v>
      </c>
      <c r="I14" s="1630">
        <f>NSW.!I72</f>
        <v>820.76066229394621</v>
      </c>
      <c r="J14" s="2418">
        <f>NSW.!J72</f>
        <v>820.76066229393723</v>
      </c>
      <c r="K14" s="2131">
        <f>H14/1000</f>
        <v>0.82076066229394617</v>
      </c>
      <c r="L14" s="2416">
        <f t="shared" si="4"/>
        <v>48.416464972772054</v>
      </c>
      <c r="M14" s="1630">
        <f t="shared" si="4"/>
        <v>45.936240350380814</v>
      </c>
      <c r="N14" s="1630">
        <f t="shared" si="4"/>
        <v>45.936240350380814</v>
      </c>
      <c r="O14" s="1630">
        <f t="shared" si="4"/>
        <v>14.147128283154476</v>
      </c>
      <c r="P14" s="2416">
        <f>NSW.!K72</f>
        <v>108.49983360630735</v>
      </c>
      <c r="Q14" s="1630">
        <f>NSW.!L72</f>
        <v>108.49983360630745</v>
      </c>
      <c r="R14" s="2418">
        <f>NSW.!M72</f>
        <v>108.49983360630614</v>
      </c>
      <c r="S14" s="1655" t="str">
        <f>IF(ROUND(SUM(D14:E14,G14),0)=ROUND(H14,0),"Ok","Error")</f>
        <v>Ok</v>
      </c>
      <c r="T14" s="1655" t="str">
        <f t="shared" si="5"/>
        <v>Ok</v>
      </c>
      <c r="V14" s="74"/>
      <c r="AF14" s="2076" t="s">
        <v>1309</v>
      </c>
      <c r="AY14" s="2135" t="s">
        <v>374</v>
      </c>
      <c r="AZ14" s="2135"/>
      <c r="BA14" s="2135"/>
      <c r="BB14" s="2135"/>
    </row>
    <row r="15" spans="1:82" ht="12.75" customHeight="1" x14ac:dyDescent="0.2">
      <c r="B15" s="1995"/>
      <c r="C15" s="1999" t="s">
        <v>116</v>
      </c>
      <c r="D15" s="1653">
        <f t="shared" ref="D15:J15" si="6">SUM(D13:D14)/SUM(D12:D14)</f>
        <v>0.59151695679990934</v>
      </c>
      <c r="E15" s="1653">
        <f t="shared" si="6"/>
        <v>0.61131979520892787</v>
      </c>
      <c r="F15" s="1653">
        <f t="shared" si="6"/>
        <v>0.56348170279885534</v>
      </c>
      <c r="G15" s="1653">
        <f t="shared" si="6"/>
        <v>0.73898897663067997</v>
      </c>
      <c r="H15" s="1666">
        <f t="shared" si="6"/>
        <v>0.64762256058670442</v>
      </c>
      <c r="I15" s="1653">
        <f t="shared" si="6"/>
        <v>0.63750547984712858</v>
      </c>
      <c r="J15" s="2421">
        <f t="shared" si="6"/>
        <v>0.66295325606059641</v>
      </c>
      <c r="K15" s="2550" t="s">
        <v>117</v>
      </c>
      <c r="L15" s="1677">
        <f>SUM(L12:L14)</f>
        <v>608.79971042499551</v>
      </c>
      <c r="M15" s="261">
        <f>SUM(M12:M14)</f>
        <v>1090.5873304166566</v>
      </c>
      <c r="N15" s="261">
        <f t="shared" ref="N15" si="7">SUM(N12:N14)</f>
        <v>728.37185683510188</v>
      </c>
      <c r="O15" s="266">
        <f t="shared" ref="O15" si="8">SUM(O12:O14)</f>
        <v>807.17198410427102</v>
      </c>
      <c r="P15" s="2523"/>
      <c r="Q15" s="2524"/>
      <c r="R15" s="2525"/>
      <c r="S15" s="1655"/>
      <c r="T15" s="1655"/>
      <c r="V15" s="74"/>
    </row>
    <row r="16" spans="1:82" x14ac:dyDescent="0.2">
      <c r="B16" s="2000" t="s">
        <v>5</v>
      </c>
      <c r="C16" s="2004" t="s">
        <v>113</v>
      </c>
      <c r="D16" s="1630">
        <f>NT.!D70</f>
        <v>146.67289128951614</v>
      </c>
      <c r="E16" s="1630">
        <f>NT.!E70</f>
        <v>55.935833152869016</v>
      </c>
      <c r="F16" s="1630">
        <f>NT.!F70</f>
        <v>55.935833152869016</v>
      </c>
      <c r="G16" s="1630">
        <f>NT.!G70</f>
        <v>164.98921083185047</v>
      </c>
      <c r="H16" s="2416">
        <f>NT.!H70</f>
        <v>367.59793527423562</v>
      </c>
      <c r="I16" s="1630">
        <f>NT.!I70</f>
        <v>367.59793527423562</v>
      </c>
      <c r="J16" s="2418">
        <f>NT.!J70</f>
        <v>350.96992328426666</v>
      </c>
      <c r="K16" s="2131">
        <f>H16/1000</f>
        <v>0.36759793527423562</v>
      </c>
      <c r="L16" s="2416">
        <f t="shared" ref="L16:O18" si="9">D16*1000000/Pop_NT</f>
        <v>603.11808944210986</v>
      </c>
      <c r="M16" s="1630">
        <f t="shared" si="9"/>
        <v>230.00782575370394</v>
      </c>
      <c r="N16" s="1630">
        <f t="shared" si="9"/>
        <v>230.00782575370394</v>
      </c>
      <c r="O16" s="1630">
        <f t="shared" si="9"/>
        <v>678.43469055947992</v>
      </c>
      <c r="P16" s="2416">
        <f>NT.!K70</f>
        <v>1511.5606057552936</v>
      </c>
      <c r="Q16" s="1630">
        <f>NT.!L70</f>
        <v>1511.5606057552936</v>
      </c>
      <c r="R16" s="2418">
        <f>NT.!M70</f>
        <v>1443.1863156295533</v>
      </c>
      <c r="S16" s="1655" t="str">
        <f>IF(ROUND(SUM(D16:E16,G16),0)=ROUND(H16,0),"Ok","Error")</f>
        <v>Ok</v>
      </c>
      <c r="T16" s="1655" t="str">
        <f>IF(ROUND(SUM(L16:M16,O16),0)=ROUND(P16,0),"Ok","Error")</f>
        <v>Ok</v>
      </c>
      <c r="V16" s="74"/>
      <c r="AY16" s="1654"/>
    </row>
    <row r="17" spans="1:61" x14ac:dyDescent="0.2">
      <c r="B17" s="2002"/>
      <c r="C17" s="2004" t="s">
        <v>114</v>
      </c>
      <c r="D17" s="1630">
        <f>NT.!D71</f>
        <v>103.709641</v>
      </c>
      <c r="E17" s="1630">
        <f>NT.!E71</f>
        <v>25.036550783008703</v>
      </c>
      <c r="F17" s="1630">
        <f>NT.!F71</f>
        <v>25.036550783008703</v>
      </c>
      <c r="G17" s="1630">
        <f>NT.!G71</f>
        <v>0.13019182660398781</v>
      </c>
      <c r="H17" s="2416">
        <f>NT.!H71</f>
        <v>128.8763836096127</v>
      </c>
      <c r="I17" s="1630">
        <f>NT.!I71</f>
        <v>128.8763836096127</v>
      </c>
      <c r="J17" s="2418">
        <f>NT.!J71</f>
        <v>104.039771</v>
      </c>
      <c r="K17" s="2131">
        <f>H17/1000</f>
        <v>0.1288763836096127</v>
      </c>
      <c r="L17" s="2416">
        <f t="shared" si="9"/>
        <v>426.45345016879736</v>
      </c>
      <c r="M17" s="1630">
        <f t="shared" si="9"/>
        <v>102.9501535131181</v>
      </c>
      <c r="N17" s="1630">
        <f t="shared" si="9"/>
        <v>102.9501535131181</v>
      </c>
      <c r="O17" s="1630">
        <f t="shared" si="9"/>
        <v>0.53534804579111817</v>
      </c>
      <c r="P17" s="2416">
        <f>NT.!K71</f>
        <v>529.93895172770658</v>
      </c>
      <c r="Q17" s="1630">
        <f>NT.!L71</f>
        <v>529.93895172770658</v>
      </c>
      <c r="R17" s="2418">
        <f>NT.!M71</f>
        <v>427.81094283916758</v>
      </c>
      <c r="S17" s="1655" t="str">
        <f>IF(ROUND(SUM(D17:E17,G17),0)=ROUND(H17,0),"Ok","Error")</f>
        <v>Ok</v>
      </c>
      <c r="T17" s="1655" t="str">
        <f t="shared" ref="T17:T18" si="10">IF(ROUND(SUM(L17:M17,O17),0)=ROUND(P17,0),"Ok","Error")</f>
        <v>Ok</v>
      </c>
      <c r="V17" s="74"/>
      <c r="Y17" s="76"/>
      <c r="Z17" s="76"/>
      <c r="AA17" s="76"/>
      <c r="AB17" s="76"/>
      <c r="AC17" s="76"/>
      <c r="AD17" s="76"/>
      <c r="AE17" s="76"/>
      <c r="AF17" s="76"/>
      <c r="AY17" s="1654"/>
    </row>
    <row r="18" spans="1:61" s="76" customFormat="1" x14ac:dyDescent="0.2">
      <c r="A18" s="74"/>
      <c r="B18" s="2002"/>
      <c r="C18" s="2004" t="s">
        <v>38</v>
      </c>
      <c r="D18" s="1630">
        <f>NT.!D72</f>
        <v>10.283032737428012</v>
      </c>
      <c r="E18" s="1630">
        <f>NT.!E72</f>
        <v>2.8371315244626101</v>
      </c>
      <c r="F18" s="1630">
        <f>NT.!F72</f>
        <v>2.8371315244626101</v>
      </c>
      <c r="G18" s="1630">
        <f>NT.!G72</f>
        <v>0.92368926068987334</v>
      </c>
      <c r="H18" s="2416">
        <f>NT.!H72</f>
        <v>14.043853522580497</v>
      </c>
      <c r="I18" s="1630">
        <f>NT.!I72</f>
        <v>14.043853522580497</v>
      </c>
      <c r="J18" s="2418">
        <f>NT.!J72</f>
        <v>14.043853522580196</v>
      </c>
      <c r="K18" s="2131">
        <f>H18/1000</f>
        <v>1.4043853522580496E-2</v>
      </c>
      <c r="L18" s="2416">
        <f t="shared" si="9"/>
        <v>42.283771757293707</v>
      </c>
      <c r="M18" s="1630">
        <f t="shared" si="9"/>
        <v>11.666268589144376</v>
      </c>
      <c r="N18" s="1630">
        <f t="shared" si="9"/>
        <v>11.666268589144376</v>
      </c>
      <c r="O18" s="1630">
        <f t="shared" si="9"/>
        <v>3.7982049528554649</v>
      </c>
      <c r="P18" s="2416">
        <f>NT.!K72</f>
        <v>57.748245299293544</v>
      </c>
      <c r="Q18" s="1630">
        <f>NT.!L72</f>
        <v>57.748245299293728</v>
      </c>
      <c r="R18" s="2418">
        <f>NT.!M72</f>
        <v>57.748245299292314</v>
      </c>
      <c r="S18" s="1655" t="str">
        <f>IF(ROUND(SUM(D18:E18,G18),0)=ROUND(H18,0),"Ok","Error")</f>
        <v>Ok</v>
      </c>
      <c r="T18" s="1655" t="str">
        <f t="shared" si="10"/>
        <v>Ok</v>
      </c>
      <c r="U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1654"/>
      <c r="AZ18" s="74"/>
      <c r="BA18" s="74"/>
      <c r="BB18" s="74"/>
      <c r="BC18" s="74"/>
      <c r="BE18" s="74"/>
      <c r="BG18" s="74"/>
    </row>
    <row r="19" spans="1:61" s="76" customFormat="1" ht="14.25" customHeight="1" x14ac:dyDescent="0.2">
      <c r="A19" s="74"/>
      <c r="B19" s="2005"/>
      <c r="C19" s="2006" t="s">
        <v>116</v>
      </c>
      <c r="D19" s="1653">
        <f t="shared" ref="D19:J19" si="11">SUM(D17:D18)/SUM(D16:D18)</f>
        <v>0.43731389577923335</v>
      </c>
      <c r="E19" s="1653">
        <f t="shared" si="11"/>
        <v>0.3325837424828148</v>
      </c>
      <c r="F19" s="1653">
        <f t="shared" si="11"/>
        <v>0.3325837424828148</v>
      </c>
      <c r="G19" s="1653">
        <f t="shared" si="11"/>
        <v>6.3470336230973994E-3</v>
      </c>
      <c r="H19" s="1666">
        <f t="shared" si="11"/>
        <v>0.27995132172966586</v>
      </c>
      <c r="I19" s="1653">
        <f t="shared" si="11"/>
        <v>0.27995132172966586</v>
      </c>
      <c r="J19" s="2421">
        <f t="shared" si="11"/>
        <v>0.25174870774286573</v>
      </c>
      <c r="K19" s="2550" t="s">
        <v>117</v>
      </c>
      <c r="L19" s="1677">
        <f>SUM(L16:L18)</f>
        <v>1071.8553113682008</v>
      </c>
      <c r="M19" s="261">
        <f>SUM(M16:M18)</f>
        <v>344.62424785596636</v>
      </c>
      <c r="N19" s="261">
        <f t="shared" ref="N19" si="12">SUM(N16:N18)</f>
        <v>344.62424785596636</v>
      </c>
      <c r="O19" s="266">
        <f t="shared" ref="O19" si="13">SUM(O16:O18)</f>
        <v>682.76824355812653</v>
      </c>
      <c r="P19" s="2523"/>
      <c r="Q19" s="2524"/>
      <c r="R19" s="2525"/>
      <c r="S19" s="1655"/>
      <c r="T19" s="1655"/>
      <c r="U19" s="74"/>
      <c r="Y19" s="74"/>
      <c r="Z19" s="74"/>
      <c r="AA19" s="74"/>
      <c r="AB19" s="74"/>
      <c r="AC19" s="74"/>
      <c r="AD19" s="74"/>
      <c r="AF19" s="74"/>
      <c r="AG19" s="74"/>
      <c r="AH19" s="74"/>
      <c r="AI19" s="74"/>
      <c r="AJ19" s="74"/>
      <c r="AK19" s="74"/>
      <c r="AL19" s="74"/>
      <c r="AM19" s="74"/>
      <c r="AN19" s="74"/>
      <c r="AO19" s="74"/>
      <c r="AP19" s="74"/>
      <c r="AQ19" s="74"/>
      <c r="AR19" s="74"/>
      <c r="AS19" s="74"/>
      <c r="AT19" s="74"/>
      <c r="AU19" s="74"/>
      <c r="AV19" s="74"/>
      <c r="AW19" s="74"/>
      <c r="AX19" s="74"/>
      <c r="AZ19" s="74"/>
      <c r="BA19" s="74"/>
      <c r="BB19" s="74"/>
      <c r="BC19" s="74"/>
      <c r="BG19" s="74"/>
    </row>
    <row r="20" spans="1:61" x14ac:dyDescent="0.2">
      <c r="B20" s="2428" t="s">
        <v>6</v>
      </c>
      <c r="C20" s="2429" t="s">
        <v>113</v>
      </c>
      <c r="D20" s="1630">
        <f>Qld.!D70</f>
        <v>1622.3648134456564</v>
      </c>
      <c r="E20" s="1630">
        <f>Qld.!E70</f>
        <v>6309.6868665585007</v>
      </c>
      <c r="F20" s="1630">
        <f>Qld.!F70</f>
        <v>1977.6678665585005</v>
      </c>
      <c r="G20" s="1630">
        <f>Qld.!G70</f>
        <v>1865.8197123721604</v>
      </c>
      <c r="H20" s="2416">
        <f>Qld.!H70</f>
        <v>9797.8713923763189</v>
      </c>
      <c r="I20" s="1630">
        <f>Qld.!I70</f>
        <v>5465.8523923763187</v>
      </c>
      <c r="J20" s="2418">
        <f>Qld.!J70</f>
        <v>4527.499175249357</v>
      </c>
      <c r="K20" s="2411">
        <f>H20/1000</f>
        <v>9.7978713923763188</v>
      </c>
      <c r="L20" s="2416">
        <f t="shared" ref="L20:O22" si="14">D20*1000000/Pop_Qld</f>
        <v>341.61830726513841</v>
      </c>
      <c r="M20" s="1630">
        <f t="shared" si="14"/>
        <v>1328.6188956162246</v>
      </c>
      <c r="N20" s="1630">
        <f t="shared" si="14"/>
        <v>416.43380287044363</v>
      </c>
      <c r="O20" s="1630">
        <f t="shared" si="14"/>
        <v>392.88214741835282</v>
      </c>
      <c r="P20" s="2416">
        <f>Qld.!K70</f>
        <v>2063.1193502997157</v>
      </c>
      <c r="Q20" s="1630">
        <f>Qld.!L70</f>
        <v>1150.9342575539351</v>
      </c>
      <c r="R20" s="2418">
        <f>Qld.!M70</f>
        <v>953.34698556984188</v>
      </c>
      <c r="S20" s="1655" t="str">
        <f>IF(ROUND(SUM(D20:E20,G20),0)=ROUND(H20,0),"Ok","Error")</f>
        <v>Ok</v>
      </c>
      <c r="T20" s="1655" t="str">
        <f>IF(ROUND(SUM(L20:M20,O20),0)=ROUND(P20,0),"Ok","Error")</f>
        <v>Ok</v>
      </c>
      <c r="V20" s="74"/>
      <c r="AY20" s="1654"/>
    </row>
    <row r="21" spans="1:61" x14ac:dyDescent="0.2">
      <c r="B21" s="2426"/>
      <c r="C21" s="2429" t="s">
        <v>114</v>
      </c>
      <c r="D21" s="1630">
        <f>Qld.!D71</f>
        <v>749.60978106284165</v>
      </c>
      <c r="E21" s="1630">
        <f>Qld.!E71</f>
        <v>3169.2781339922763</v>
      </c>
      <c r="F21" s="1630">
        <f>Qld.!F71</f>
        <v>2285.656133992276</v>
      </c>
      <c r="G21" s="1630">
        <f>Qld.!G71</f>
        <v>1606.132426156151</v>
      </c>
      <c r="H21" s="2416">
        <f>Qld.!H71</f>
        <v>5525.0203412112687</v>
      </c>
      <c r="I21" s="1630">
        <f>Qld.!I71</f>
        <v>4641.3983412112684</v>
      </c>
      <c r="J21" s="2418">
        <f>Qld.!J71</f>
        <v>3633.3580000000002</v>
      </c>
      <c r="K21" s="2411">
        <f>H21/1000</f>
        <v>5.5250203412112686</v>
      </c>
      <c r="L21" s="2416">
        <f t="shared" si="14"/>
        <v>157.84392165915079</v>
      </c>
      <c r="M21" s="1630">
        <f t="shared" si="14"/>
        <v>667.34893558705994</v>
      </c>
      <c r="N21" s="1630">
        <f t="shared" si="14"/>
        <v>481.28631304957514</v>
      </c>
      <c r="O21" s="1630">
        <f t="shared" si="14"/>
        <v>338.20028400504583</v>
      </c>
      <c r="P21" s="2416">
        <f>Qld.!K71</f>
        <v>1163.3931412512566</v>
      </c>
      <c r="Q21" s="1630">
        <f>Qld.!L71</f>
        <v>977.33051871377177</v>
      </c>
      <c r="R21" s="2418">
        <f>Qld.!M71</f>
        <v>765.06936008559171</v>
      </c>
      <c r="S21" s="1655" t="str">
        <f>IF(ROUND(SUM(D21:E21,G21),0)=ROUND(H21,0),"Ok","Error")</f>
        <v>Ok</v>
      </c>
      <c r="T21" s="1655" t="str">
        <f t="shared" ref="T21:T22" si="15">IF(ROUND(SUM(L21:M21,O21),0)=ROUND(P21,0),"Ok","Error")</f>
        <v>Ok</v>
      </c>
      <c r="V21" s="74"/>
      <c r="AY21" s="1654"/>
    </row>
    <row r="22" spans="1:61" x14ac:dyDescent="0.2">
      <c r="B22" s="2426"/>
      <c r="C22" s="2429" t="s">
        <v>38</v>
      </c>
      <c r="D22" s="1630">
        <f>Qld.!D72</f>
        <v>246.55708655434373</v>
      </c>
      <c r="E22" s="1630">
        <f>Qld.!E72</f>
        <v>133.20616346764379</v>
      </c>
      <c r="F22" s="1630">
        <f>Qld.!F72</f>
        <v>133.20616346764379</v>
      </c>
      <c r="G22" s="1630">
        <f>Qld.!G72</f>
        <v>10.096274728666907</v>
      </c>
      <c r="H22" s="2416">
        <f>Qld.!H72</f>
        <v>389.85952475065443</v>
      </c>
      <c r="I22" s="1630">
        <f>Qld.!I72</f>
        <v>389.85952475065443</v>
      </c>
      <c r="J22" s="2418">
        <f>Qld.!J72</f>
        <v>389.85952475064397</v>
      </c>
      <c r="K22" s="2411">
        <f>H22/1000</f>
        <v>0.38985952475065444</v>
      </c>
      <c r="L22" s="2416">
        <f t="shared" si="14"/>
        <v>51.917061967111309</v>
      </c>
      <c r="M22" s="1630">
        <f t="shared" si="14"/>
        <v>28.04897129422616</v>
      </c>
      <c r="N22" s="1630">
        <f t="shared" si="14"/>
        <v>28.04897129422616</v>
      </c>
      <c r="O22" s="1630">
        <f t="shared" si="14"/>
        <v>2.1259535795563007</v>
      </c>
      <c r="P22" s="2416">
        <f>Qld.!K72</f>
        <v>82.091986840893767</v>
      </c>
      <c r="Q22" s="1630">
        <f>Qld.!L72</f>
        <v>82.091986840894236</v>
      </c>
      <c r="R22" s="2418">
        <f>Qld.!M72</f>
        <v>82.091986840891565</v>
      </c>
      <c r="S22" s="1655" t="str">
        <f>IF(ROUND(SUM(D22:E22,G22),0)=ROUND(H22,0),"Ok","Error")</f>
        <v>Ok</v>
      </c>
      <c r="T22" s="1655" t="str">
        <f t="shared" si="15"/>
        <v>Ok</v>
      </c>
      <c r="V22" s="74"/>
      <c r="AY22" s="1654"/>
      <c r="BF22" s="2553" t="s">
        <v>1432</v>
      </c>
      <c r="BG22" s="2552"/>
      <c r="BH22" s="2552"/>
      <c r="BI22" s="2551"/>
    </row>
    <row r="23" spans="1:61" ht="12.75" customHeight="1" x14ac:dyDescent="0.2">
      <c r="B23" s="2408"/>
      <c r="C23" s="2430" t="s">
        <v>116</v>
      </c>
      <c r="D23" s="1653">
        <f t="shared" ref="D23:J23" si="16">SUM(D21:D22)/SUM(D20:D22)</f>
        <v>0.38042956471424055</v>
      </c>
      <c r="E23" s="1653">
        <f t="shared" si="16"/>
        <v>0.34357318873203446</v>
      </c>
      <c r="F23" s="1653">
        <f t="shared" si="16"/>
        <v>0.55017529897920325</v>
      </c>
      <c r="G23" s="1653">
        <f t="shared" si="16"/>
        <v>0.46416031860196277</v>
      </c>
      <c r="H23" s="1666">
        <f t="shared" si="16"/>
        <v>0.37643820415110879</v>
      </c>
      <c r="I23" s="1653">
        <f t="shared" si="16"/>
        <v>0.47929932544677328</v>
      </c>
      <c r="J23" s="2421">
        <f t="shared" si="16"/>
        <v>0.47051231679218702</v>
      </c>
      <c r="K23" s="2550" t="s">
        <v>117</v>
      </c>
      <c r="L23" s="1677">
        <f>SUM(L20:L22)</f>
        <v>551.3792908914005</v>
      </c>
      <c r="M23" s="261">
        <f>SUM(M20:M22)</f>
        <v>2024.0168024975108</v>
      </c>
      <c r="N23" s="261">
        <f t="shared" ref="N23" si="17">SUM(N20:N22)</f>
        <v>925.76908721424491</v>
      </c>
      <c r="O23" s="266">
        <f t="shared" ref="O23" si="18">SUM(O20:O22)</f>
        <v>733.20838500295497</v>
      </c>
      <c r="P23" s="2523"/>
      <c r="Q23" s="2524"/>
      <c r="R23" s="2525"/>
      <c r="S23" s="1655"/>
      <c r="T23" s="1655"/>
      <c r="V23" s="74"/>
      <c r="BF23" s="2551" t="s">
        <v>16</v>
      </c>
      <c r="BG23" s="2552" t="s">
        <v>17</v>
      </c>
      <c r="BH23" s="2552" t="s">
        <v>17</v>
      </c>
      <c r="BI23" s="2551" t="s">
        <v>18</v>
      </c>
    </row>
    <row r="24" spans="1:61" x14ac:dyDescent="0.2">
      <c r="B24" s="2011" t="s">
        <v>7</v>
      </c>
      <c r="C24" s="2015" t="s">
        <v>113</v>
      </c>
      <c r="D24" s="1630">
        <f>SA.!D70</f>
        <v>204.61619482692345</v>
      </c>
      <c r="E24" s="1630">
        <f>SA.!E70</f>
        <v>299.66323295105639</v>
      </c>
      <c r="F24" s="1630">
        <f>SA.!F70</f>
        <v>299.66323295105639</v>
      </c>
      <c r="G24" s="1630">
        <f>SA.!G70</f>
        <v>463.50591503130704</v>
      </c>
      <c r="H24" s="2416">
        <f>SA.!H70</f>
        <v>967.78534280928682</v>
      </c>
      <c r="I24" s="1630">
        <f>SA.!I70</f>
        <v>967.78534280928682</v>
      </c>
      <c r="J24" s="2418">
        <f>SA.!J70</f>
        <v>629.3896235723397</v>
      </c>
      <c r="K24" s="2411">
        <f>H24/1000</f>
        <v>0.96778534280928685</v>
      </c>
      <c r="L24" s="2416">
        <f t="shared" ref="L24:O26" si="19">D24*1000000/Pop_SA</f>
        <v>120.95979547644011</v>
      </c>
      <c r="M24" s="1630">
        <f t="shared" si="19"/>
        <v>177.14728494598702</v>
      </c>
      <c r="N24" s="1630">
        <f t="shared" si="19"/>
        <v>177.14728494598702</v>
      </c>
      <c r="O24" s="1630">
        <f t="shared" si="19"/>
        <v>274.0036326632441</v>
      </c>
      <c r="P24" s="2416">
        <f>SA.!K70</f>
        <v>572.11071308567114</v>
      </c>
      <c r="Q24" s="1630">
        <f>SA.!L70</f>
        <v>572.11071308567114</v>
      </c>
      <c r="R24" s="2418">
        <f>SA.!M70</f>
        <v>372.0665424684484</v>
      </c>
      <c r="S24" s="1655" t="str">
        <f>IF(ROUND(SUM(D24:E24,G24),0)=ROUND(H24,0),"Ok","Error")</f>
        <v>Ok</v>
      </c>
      <c r="T24" s="1655" t="str">
        <f>IF(ROUND(SUM(L24:M24,O24),0)=ROUND(P24,0),"Ok","Error")</f>
        <v>Ok</v>
      </c>
      <c r="V24" s="74"/>
      <c r="AA24" s="75"/>
      <c r="AY24" s="1654"/>
      <c r="BF24" s="2551" t="s">
        <v>16</v>
      </c>
      <c r="BG24" s="2552" t="s">
        <v>17</v>
      </c>
      <c r="BH24" s="2552" t="s">
        <v>1354</v>
      </c>
      <c r="BI24" s="2551" t="s">
        <v>18</v>
      </c>
    </row>
    <row r="25" spans="1:61" s="76" customFormat="1" x14ac:dyDescent="0.2">
      <c r="A25" s="74"/>
      <c r="B25" s="2013"/>
      <c r="C25" s="2015" t="s">
        <v>114</v>
      </c>
      <c r="D25" s="1630">
        <f>SA.!D71</f>
        <v>435.38216439471717</v>
      </c>
      <c r="E25" s="1630">
        <f>SA.!E71</f>
        <v>1659.5297875141246</v>
      </c>
      <c r="F25" s="1630">
        <f>SA.!F71</f>
        <v>1513.5297875141246</v>
      </c>
      <c r="G25" s="1630">
        <f>SA.!G71</f>
        <v>1209.3852293280684</v>
      </c>
      <c r="H25" s="2416">
        <f>SA.!H71</f>
        <v>3304.2971812369096</v>
      </c>
      <c r="I25" s="1630">
        <f>SA.!I71</f>
        <v>3158.2971812369096</v>
      </c>
      <c r="J25" s="2418">
        <f>SA.!J71</f>
        <v>2760.4</v>
      </c>
      <c r="K25" s="2411">
        <f>H25/1000</f>
        <v>3.3042971812369095</v>
      </c>
      <c r="L25" s="2416">
        <f t="shared" si="19"/>
        <v>257.37814938754445</v>
      </c>
      <c r="M25" s="1630">
        <f t="shared" si="19"/>
        <v>981.03859205554761</v>
      </c>
      <c r="N25" s="1630">
        <f t="shared" si="19"/>
        <v>894.73002711278616</v>
      </c>
      <c r="O25" s="1630">
        <f t="shared" si="19"/>
        <v>714.93358634437016</v>
      </c>
      <c r="P25" s="2416">
        <f>SA.!K71</f>
        <v>1953.350327787462</v>
      </c>
      <c r="Q25" s="1630">
        <f>SA.!L71</f>
        <v>1867.0417628447005</v>
      </c>
      <c r="R25" s="2418">
        <f>SA.!M71</f>
        <v>1631.8230319725942</v>
      </c>
      <c r="S25" s="1655" t="str">
        <f>IF(ROUND(SUM(D25:E25,G25),0)=ROUND(H25,0),"Ok","Error")</f>
        <v>Ok</v>
      </c>
      <c r="T25" s="1655" t="str">
        <f t="shared" ref="T25:T26" si="20">IF(ROUND(SUM(L25:M25,O25),0)=ROUND(P25,0),"Ok","Error")</f>
        <v>Ok</v>
      </c>
      <c r="U25" s="74"/>
      <c r="Y25" s="74"/>
      <c r="Z25" s="74"/>
      <c r="AB25" s="74"/>
      <c r="AC25" s="74"/>
      <c r="AD25" s="74"/>
      <c r="AF25" s="74"/>
      <c r="AG25" s="74"/>
      <c r="AH25" s="74"/>
      <c r="AI25" s="74"/>
      <c r="AJ25" s="74"/>
      <c r="AK25" s="74"/>
      <c r="AL25" s="74"/>
      <c r="AM25" s="74"/>
      <c r="AN25" s="74"/>
      <c r="AO25" s="74"/>
      <c r="AP25" s="74"/>
      <c r="AQ25" s="74"/>
      <c r="AR25" s="74"/>
      <c r="AS25" s="74"/>
      <c r="AT25" s="74"/>
      <c r="AU25" s="74"/>
      <c r="AV25" s="74"/>
      <c r="AW25" s="74"/>
      <c r="AX25" s="74"/>
      <c r="AY25" s="1654"/>
      <c r="AZ25" s="74"/>
      <c r="BA25" s="74"/>
      <c r="BB25" s="74"/>
      <c r="BC25" s="74"/>
      <c r="BE25" s="74"/>
      <c r="BF25" s="2551" t="s">
        <v>16</v>
      </c>
      <c r="BG25" s="2552" t="s">
        <v>17</v>
      </c>
      <c r="BH25" s="2552" t="s">
        <v>17</v>
      </c>
      <c r="BI25" s="2551" t="s">
        <v>18</v>
      </c>
    </row>
    <row r="26" spans="1:61" x14ac:dyDescent="0.2">
      <c r="B26" s="2013"/>
      <c r="C26" s="2015" t="s">
        <v>38</v>
      </c>
      <c r="D26" s="1630">
        <f>SA.!D72</f>
        <v>55.956125173076479</v>
      </c>
      <c r="E26" s="1630">
        <f>SA.!E72</f>
        <v>81.972082238923008</v>
      </c>
      <c r="F26" s="1630">
        <f>SA.!F72</f>
        <v>81.972082238923008</v>
      </c>
      <c r="G26" s="1630">
        <f>SA.!G72</f>
        <v>11.494169015664115</v>
      </c>
      <c r="H26" s="2416">
        <f>SA.!H72</f>
        <v>149.42237642766358</v>
      </c>
      <c r="I26" s="1630">
        <f>SA.!I72</f>
        <v>149.42237642766358</v>
      </c>
      <c r="J26" s="2418">
        <f>SA.!J72</f>
        <v>149.42237642766023</v>
      </c>
      <c r="K26" s="2411">
        <f>H26/1000</f>
        <v>0.14942237642766357</v>
      </c>
      <c r="L26" s="2416">
        <f t="shared" si="19"/>
        <v>33.078718242779182</v>
      </c>
      <c r="M26" s="1630">
        <f t="shared" si="19"/>
        <v>48.458169749393633</v>
      </c>
      <c r="N26" s="1630">
        <f t="shared" si="19"/>
        <v>48.458169749393633</v>
      </c>
      <c r="O26" s="1630">
        <f t="shared" si="19"/>
        <v>6.7948303626816635</v>
      </c>
      <c r="P26" s="2416">
        <f>SA.!K72</f>
        <v>88.331718354854459</v>
      </c>
      <c r="Q26" s="1630">
        <f>SA.!L72</f>
        <v>88.331718354854502</v>
      </c>
      <c r="R26" s="2418">
        <f>SA.!M72</f>
        <v>88.331718354852484</v>
      </c>
      <c r="S26" s="1655" t="str">
        <f>IF(ROUND(SUM(D26:E26,G26),0)=ROUND(H26,0),"Ok","Error")</f>
        <v>Ok</v>
      </c>
      <c r="T26" s="1655" t="str">
        <f t="shared" si="20"/>
        <v>Ok</v>
      </c>
      <c r="V26" s="2075" t="s">
        <v>1331</v>
      </c>
      <c r="AH26" s="2075" t="s">
        <v>1332</v>
      </c>
      <c r="AY26" s="1654"/>
      <c r="BF26" s="2551" t="s">
        <v>16</v>
      </c>
      <c r="BG26" s="2552" t="s">
        <v>17</v>
      </c>
      <c r="BH26" s="2552" t="s">
        <v>1354</v>
      </c>
      <c r="BI26" s="2551" t="s">
        <v>18</v>
      </c>
    </row>
    <row r="27" spans="1:61" ht="12.75" customHeight="1" x14ac:dyDescent="0.2">
      <c r="B27" s="2016"/>
      <c r="C27" s="2017" t="s">
        <v>116</v>
      </c>
      <c r="D27" s="1653">
        <f t="shared" ref="D27:H27" si="21">SUM(D25:D26)/SUM(D24:D26)</f>
        <v>0.70599198738566726</v>
      </c>
      <c r="E27" s="1653">
        <f t="shared" si="21"/>
        <v>0.85319010571263099</v>
      </c>
      <c r="F27" s="1653">
        <f t="shared" si="21"/>
        <v>0.84188014409748069</v>
      </c>
      <c r="G27" s="1653">
        <f t="shared" si="21"/>
        <v>0.72482192088069797</v>
      </c>
      <c r="H27" s="1666">
        <f t="shared" si="21"/>
        <v>0.78111856379361522</v>
      </c>
      <c r="I27" s="1653">
        <f>SUM(I25:I26)/SUM(I24:I26)</f>
        <v>0.77364419750705327</v>
      </c>
      <c r="J27" s="2421">
        <f>SUM(J25:J26)/SUM(J24:J26)</f>
        <v>0.82216673554103581</v>
      </c>
      <c r="K27" s="2550" t="s">
        <v>117</v>
      </c>
      <c r="L27" s="1677">
        <f>SUM(L24:L26)</f>
        <v>411.41666310676374</v>
      </c>
      <c r="M27" s="261">
        <f>SUM(M24:M26)</f>
        <v>1206.6440467509283</v>
      </c>
      <c r="N27" s="261">
        <f t="shared" ref="N27" si="22">SUM(N24:N26)</f>
        <v>1120.3354818081668</v>
      </c>
      <c r="O27" s="266">
        <f t="shared" ref="O27" si="23">SUM(O24:O26)</f>
        <v>995.73204937029584</v>
      </c>
      <c r="P27" s="2523"/>
      <c r="Q27" s="2524"/>
      <c r="R27" s="2525"/>
      <c r="S27" s="1655"/>
      <c r="T27" s="1655"/>
      <c r="V27" s="74"/>
      <c r="AA27" s="75"/>
      <c r="BF27" s="2551" t="s">
        <v>16</v>
      </c>
      <c r="BG27" s="2552" t="s">
        <v>17</v>
      </c>
      <c r="BH27" s="2552" t="s">
        <v>1354</v>
      </c>
      <c r="BI27" s="2551" t="s">
        <v>18</v>
      </c>
    </row>
    <row r="28" spans="1:61" x14ac:dyDescent="0.2">
      <c r="B28" s="2018" t="s">
        <v>8</v>
      </c>
      <c r="C28" s="2019" t="s">
        <v>113</v>
      </c>
      <c r="D28" s="1630">
        <f>Tas.!D70</f>
        <v>156.98567160345897</v>
      </c>
      <c r="E28" s="1630">
        <f>Tas.!E70</f>
        <v>269.42332436670711</v>
      </c>
      <c r="F28" s="1630">
        <f>Tas.!F70</f>
        <v>269.42332436670711</v>
      </c>
      <c r="G28" s="1630">
        <f>Tas.!G70</f>
        <v>43.512976399099792</v>
      </c>
      <c r="H28" s="2416">
        <f>Tas.!H70</f>
        <v>469.92197236926575</v>
      </c>
      <c r="I28" s="1630">
        <f>Tas.!I70</f>
        <v>469.92197236926575</v>
      </c>
      <c r="J28" s="2418">
        <f>Tas.!J70</f>
        <v>374.13284920233366</v>
      </c>
      <c r="K28" s="2411">
        <f>H28/1000</f>
        <v>0.46992197236926575</v>
      </c>
      <c r="L28" s="2416">
        <f t="shared" ref="L28:O30" si="24">D28*1000000/Pop_Tas</f>
        <v>304.65262860320314</v>
      </c>
      <c r="M28" s="1630">
        <f t="shared" si="24"/>
        <v>522.85360273301671</v>
      </c>
      <c r="N28" s="1630">
        <f t="shared" si="24"/>
        <v>522.85360273301671</v>
      </c>
      <c r="O28" s="1630">
        <f t="shared" si="24"/>
        <v>84.443010008072648</v>
      </c>
      <c r="P28" s="2416">
        <f>Tas.!K70</f>
        <v>911.9492413442922</v>
      </c>
      <c r="Q28" s="1630">
        <f>Tas.!L70</f>
        <v>911.9492413442922</v>
      </c>
      <c r="R28" s="2418">
        <f>Tas.!M70</f>
        <v>726.05706490340208</v>
      </c>
      <c r="S28" s="1655" t="str">
        <f>IF(ROUND(SUM(D28:E28,G28),0)=ROUND(H28,0),"Ok","Error")</f>
        <v>Ok</v>
      </c>
      <c r="T28" s="1655" t="str">
        <f>IF(ROUND(SUM(L28:M28,O28),0)=ROUND(P28,0),"Ok","Error")</f>
        <v>Ok</v>
      </c>
      <c r="U28" s="1657"/>
      <c r="V28" s="74"/>
      <c r="AA28" s="75"/>
      <c r="AY28" s="1654"/>
      <c r="BF28" s="2551" t="s">
        <v>16</v>
      </c>
      <c r="BG28" s="2552" t="s">
        <v>17</v>
      </c>
      <c r="BH28" s="2552" t="s">
        <v>17</v>
      </c>
      <c r="BI28" s="2551" t="s">
        <v>18</v>
      </c>
    </row>
    <row r="29" spans="1:61" x14ac:dyDescent="0.2">
      <c r="B29" s="2020"/>
      <c r="C29" s="2019" t="s">
        <v>114</v>
      </c>
      <c r="D29" s="1630">
        <f>Tas.!D71</f>
        <v>67.467252238513055</v>
      </c>
      <c r="E29" s="1630">
        <f>Tas.!E71</f>
        <v>355.93703652286786</v>
      </c>
      <c r="F29" s="1630">
        <f>Tas.!F71</f>
        <v>355.93703652286786</v>
      </c>
      <c r="G29" s="1630">
        <f>Tas.!G71</f>
        <v>6.1737453179938638E-2</v>
      </c>
      <c r="H29" s="2416">
        <f>Tas.!H71</f>
        <v>423.46602621456088</v>
      </c>
      <c r="I29" s="1630">
        <f>Tas.!I71</f>
        <v>423.46602621456088</v>
      </c>
      <c r="J29" s="2418">
        <f>Tas.!J71</f>
        <v>156.876</v>
      </c>
      <c r="K29" s="2411">
        <f>H29/1000</f>
        <v>0.42346602621456086</v>
      </c>
      <c r="L29" s="2416">
        <f t="shared" si="24"/>
        <v>130.92962898561413</v>
      </c>
      <c r="M29" s="1630">
        <f t="shared" si="24"/>
        <v>690.74554821687786</v>
      </c>
      <c r="N29" s="1630">
        <f t="shared" si="24"/>
        <v>690.74554821687786</v>
      </c>
      <c r="O29" s="1630">
        <f t="shared" si="24"/>
        <v>0.11981015338804379</v>
      </c>
      <c r="P29" s="2416">
        <f>Tas.!K71</f>
        <v>821.79498735588015</v>
      </c>
      <c r="Q29" s="1630">
        <f>Tas.!L71</f>
        <v>821.79498735588015</v>
      </c>
      <c r="R29" s="2418">
        <f>Tas.!M71</f>
        <v>304.4397955341999</v>
      </c>
      <c r="S29" s="1655" t="str">
        <f>IF(ROUND(SUM(D29:E29,G29),0)=ROUND(H29,0),"Ok","Error")</f>
        <v>Ok</v>
      </c>
      <c r="T29" s="1655" t="str">
        <f t="shared" ref="T29:T30" si="25">IF(ROUND(SUM(L29:M29,O29),0)=ROUND(P29,0),"Ok","Error")</f>
        <v>Ok</v>
      </c>
      <c r="AA29" s="75"/>
      <c r="AY29" s="1654"/>
      <c r="BF29" s="2551" t="s">
        <v>16</v>
      </c>
      <c r="BG29" s="2552" t="s">
        <v>17</v>
      </c>
      <c r="BH29" s="2552" t="s">
        <v>1354</v>
      </c>
      <c r="BI29" s="2551" t="s">
        <v>18</v>
      </c>
    </row>
    <row r="30" spans="1:61" s="77" customFormat="1" x14ac:dyDescent="0.2">
      <c r="A30" s="74"/>
      <c r="B30" s="2020"/>
      <c r="C30" s="2019" t="s">
        <v>38</v>
      </c>
      <c r="D30" s="1630">
        <f>Tas.!D72</f>
        <v>27.803328396541076</v>
      </c>
      <c r="E30" s="1630">
        <f>Tas.!E72</f>
        <v>25.021065208381671</v>
      </c>
      <c r="F30" s="1630">
        <f>Tas.!F72</f>
        <v>25.021065208381671</v>
      </c>
      <c r="G30" s="1630">
        <f>Tas.!G72</f>
        <v>0.40075719274389976</v>
      </c>
      <c r="H30" s="2416">
        <f>Tas.!H72</f>
        <v>53.22515079766665</v>
      </c>
      <c r="I30" s="1630">
        <f>Tas.!I72</f>
        <v>53.22515079766665</v>
      </c>
      <c r="J30" s="2418">
        <f>Tas.!J72</f>
        <v>53.225150797666288</v>
      </c>
      <c r="K30" s="2411">
        <f>H30/1000</f>
        <v>5.3225150797666647E-2</v>
      </c>
      <c r="L30" s="2416">
        <f t="shared" si="24"/>
        <v>53.95624322530648</v>
      </c>
      <c r="M30" s="1630">
        <f t="shared" si="24"/>
        <v>48.556872791807535</v>
      </c>
      <c r="N30" s="1630">
        <f t="shared" si="24"/>
        <v>48.556872791807535</v>
      </c>
      <c r="O30" s="1630">
        <f t="shared" si="24"/>
        <v>0.77772532329873778</v>
      </c>
      <c r="P30" s="2416">
        <f>Tas.!K72</f>
        <v>103.29084134041275</v>
      </c>
      <c r="Q30" s="1630">
        <f>Tas.!L72</f>
        <v>103.29084134041275</v>
      </c>
      <c r="R30" s="2418">
        <f>Tas.!M72</f>
        <v>103.29084134041206</v>
      </c>
      <c r="S30" s="1655" t="str">
        <f>IF(ROUND(SUM(D30:E30,G30),0)=ROUND(H30,0),"Ok","Error")</f>
        <v>Ok</v>
      </c>
      <c r="T30" s="1655" t="str">
        <f t="shared" si="25"/>
        <v>Ok</v>
      </c>
      <c r="U30" s="74"/>
      <c r="Y30" s="74"/>
      <c r="Z30" s="74"/>
      <c r="AA30" s="75"/>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1654"/>
      <c r="AZ30" s="74"/>
      <c r="BA30" s="74"/>
      <c r="BB30" s="74"/>
      <c r="BC30" s="74"/>
      <c r="BE30" s="74"/>
      <c r="BF30" s="2551" t="s">
        <v>16</v>
      </c>
      <c r="BG30" s="2552" t="s">
        <v>17</v>
      </c>
      <c r="BH30" s="2552" t="s">
        <v>1354</v>
      </c>
      <c r="BI30" s="2551" t="s">
        <v>18</v>
      </c>
    </row>
    <row r="31" spans="1:61" s="77" customFormat="1" ht="14.25" customHeight="1" x14ac:dyDescent="0.2">
      <c r="A31" s="74"/>
      <c r="B31" s="2021"/>
      <c r="C31" s="2022" t="s">
        <v>116</v>
      </c>
      <c r="D31" s="1653">
        <f t="shared" ref="D31:J31" si="26">SUM(D29:D30)/SUM(D28:D30)</f>
        <v>0.37767381299621455</v>
      </c>
      <c r="E31" s="1653">
        <f t="shared" si="26"/>
        <v>0.58574566622674717</v>
      </c>
      <c r="F31" s="1653">
        <f t="shared" si="26"/>
        <v>0.58574566622674717</v>
      </c>
      <c r="G31" s="1653">
        <f t="shared" si="26"/>
        <v>1.0517104989059016E-2</v>
      </c>
      <c r="H31" s="1666">
        <f t="shared" si="26"/>
        <v>0.50357548627302751</v>
      </c>
      <c r="I31" s="1653">
        <f t="shared" si="26"/>
        <v>0.50357548627302751</v>
      </c>
      <c r="J31" s="2421">
        <f t="shared" si="26"/>
        <v>0.35961815094237293</v>
      </c>
      <c r="K31" s="2550" t="s">
        <v>117</v>
      </c>
      <c r="L31" s="1677">
        <f>SUM(L28:L30)</f>
        <v>489.53850081412372</v>
      </c>
      <c r="M31" s="261">
        <f>SUM(M28:M30)</f>
        <v>1262.156023741702</v>
      </c>
      <c r="N31" s="261">
        <f t="shared" ref="N31" si="27">SUM(N28:N30)</f>
        <v>1262.156023741702</v>
      </c>
      <c r="O31" s="266">
        <f t="shared" ref="O31" si="28">SUM(O28:O30)</f>
        <v>85.340545484759431</v>
      </c>
      <c r="P31" s="2523"/>
      <c r="Q31" s="2524"/>
      <c r="R31" s="2525"/>
      <c r="S31" s="1655"/>
      <c r="T31" s="1655"/>
      <c r="U31" s="74"/>
      <c r="Y31" s="74"/>
      <c r="Z31" s="74"/>
      <c r="AA31" s="75"/>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Z31" s="74"/>
      <c r="BA31" s="74"/>
      <c r="BB31" s="74"/>
      <c r="BC31" s="74"/>
      <c r="BE31" s="74"/>
      <c r="BG31" s="74"/>
    </row>
    <row r="32" spans="1:61" x14ac:dyDescent="0.2">
      <c r="B32" s="2027" t="s">
        <v>9</v>
      </c>
      <c r="C32" s="2031" t="s">
        <v>113</v>
      </c>
      <c r="D32" s="1630">
        <f>Vic.!D70</f>
        <v>1455.4279285881053</v>
      </c>
      <c r="E32" s="1630">
        <f>Vic.!E70</f>
        <v>2020.2515856930902</v>
      </c>
      <c r="F32" s="1630">
        <f>Vic.!F70</f>
        <v>1375.0639315002522</v>
      </c>
      <c r="G32" s="1630">
        <f>Vic.!G70</f>
        <v>1183.9018114539501</v>
      </c>
      <c r="H32" s="2416">
        <f>Vic.!H70</f>
        <v>4659.5813257351465</v>
      </c>
      <c r="I32" s="1630">
        <f>Vic.!I70</f>
        <v>4014.3936715423083</v>
      </c>
      <c r="J32" s="2418">
        <f>Vic.!J70</f>
        <v>3505.5036883568919</v>
      </c>
      <c r="K32" s="2131">
        <f>H32/1000</f>
        <v>4.6595813257351466</v>
      </c>
      <c r="L32" s="2416">
        <f t="shared" ref="L32:O34" si="29">D32*1000000/Pop_Vic</f>
        <v>247.24612758873488</v>
      </c>
      <c r="M32" s="1630">
        <f t="shared" si="29"/>
        <v>343.19760635772371</v>
      </c>
      <c r="N32" s="1630">
        <f t="shared" si="29"/>
        <v>233.59400048079942</v>
      </c>
      <c r="O32" s="1630">
        <f t="shared" si="29"/>
        <v>201.11963813367075</v>
      </c>
      <c r="P32" s="2416">
        <f>Vic.!K70</f>
        <v>791.5633720801294</v>
      </c>
      <c r="Q32" s="1630">
        <f>Vic.!L70</f>
        <v>681.95976620320516</v>
      </c>
      <c r="R32" s="2418">
        <f>Vic.!M70</f>
        <v>595.5102242919487</v>
      </c>
      <c r="S32" s="1655" t="str">
        <f>IF(ROUND(SUM(D32:E32,G32),0)=ROUND(H32,0),"Ok","Error")</f>
        <v>Ok</v>
      </c>
      <c r="T32" s="1655" t="str">
        <f>IF(ROUND(SUM(L32:M32,O32),0)=ROUND(P32,0),"Ok","Error")</f>
        <v>Ok</v>
      </c>
      <c r="V32" s="74"/>
      <c r="AA32" s="75"/>
      <c r="AJ32" s="2075"/>
      <c r="AY32" s="1654"/>
    </row>
    <row r="33" spans="1:59" x14ac:dyDescent="0.2">
      <c r="B33" s="2029"/>
      <c r="C33" s="2031" t="s">
        <v>114</v>
      </c>
      <c r="D33" s="1630">
        <f>Vic.!D71</f>
        <v>1242.3315899999998</v>
      </c>
      <c r="E33" s="1630">
        <f>Vic.!E71</f>
        <v>5093.6760552253945</v>
      </c>
      <c r="F33" s="1630">
        <f>Vic.!F71</f>
        <v>3532.969824321437</v>
      </c>
      <c r="G33" s="1630">
        <f>Vic.!G71</f>
        <v>3636.2038835647395</v>
      </c>
      <c r="H33" s="2416">
        <f>Vic.!H71</f>
        <v>9972.2115287901324</v>
      </c>
      <c r="I33" s="1630">
        <f>Vic.!I71</f>
        <v>8411.5052978861768</v>
      </c>
      <c r="J33" s="2418">
        <f>Vic.!J71</f>
        <v>7580.8748399999995</v>
      </c>
      <c r="K33" s="2131">
        <f>H33/1000</f>
        <v>9.9722115287901332</v>
      </c>
      <c r="L33" s="2416">
        <f t="shared" si="29"/>
        <v>211.04560986859033</v>
      </c>
      <c r="M33" s="1630">
        <f t="shared" si="29"/>
        <v>865.30679747753891</v>
      </c>
      <c r="N33" s="1630">
        <f t="shared" si="29"/>
        <v>600.17613431309769</v>
      </c>
      <c r="O33" s="1630">
        <f t="shared" si="29"/>
        <v>617.7133966411152</v>
      </c>
      <c r="P33" s="2416">
        <f>Vic.!K71</f>
        <v>1694.0658039872442</v>
      </c>
      <c r="Q33" s="1630">
        <f>Vic.!L71</f>
        <v>1428.9351408228033</v>
      </c>
      <c r="R33" s="2418">
        <f>Vic.!M71</f>
        <v>1287.8287623236342</v>
      </c>
      <c r="S33" s="1655" t="str">
        <f>IF(ROUND(SUM(D33:E33,G33),0)=ROUND(H33,0),"Ok","Error")</f>
        <v>Ok</v>
      </c>
      <c r="T33" s="1655" t="str">
        <f t="shared" ref="T33:T34" si="30">IF(ROUND(SUM(L33:M33,O33),0)=ROUND(P33,0),"Ok","Error")</f>
        <v>Ok</v>
      </c>
      <c r="V33" s="74"/>
      <c r="AA33" s="75"/>
      <c r="AY33" s="1654"/>
    </row>
    <row r="34" spans="1:59" x14ac:dyDescent="0.2">
      <c r="B34" s="2029"/>
      <c r="C34" s="2031" t="s">
        <v>38</v>
      </c>
      <c r="D34" s="1630">
        <f>Vic.!D72</f>
        <v>396.99607141189438</v>
      </c>
      <c r="E34" s="1630">
        <f>Vic.!E72</f>
        <v>204.42783820990851</v>
      </c>
      <c r="F34" s="1630">
        <f>Vic.!F72</f>
        <v>204.42783820990851</v>
      </c>
      <c r="G34" s="1630">
        <f>Vic.!G72</f>
        <v>16.057402021313074</v>
      </c>
      <c r="H34" s="2416">
        <f>Vic.!H72</f>
        <v>617.48131164311599</v>
      </c>
      <c r="I34" s="1630">
        <f>Vic.!I72</f>
        <v>617.48131164311599</v>
      </c>
      <c r="J34" s="2418">
        <f>Vic.!J72</f>
        <v>617.48131164310848</v>
      </c>
      <c r="K34" s="2131">
        <f>H34/1000</f>
        <v>0.61748131164311604</v>
      </c>
      <c r="L34" s="2416">
        <f t="shared" si="29"/>
        <v>67.441155550554512</v>
      </c>
      <c r="M34" s="1630">
        <f t="shared" si="29"/>
        <v>34.72792460274448</v>
      </c>
      <c r="N34" s="1630">
        <f t="shared" si="29"/>
        <v>34.72792460274448</v>
      </c>
      <c r="O34" s="1630">
        <f t="shared" si="29"/>
        <v>2.727809732740639</v>
      </c>
      <c r="P34" s="2416">
        <f>Vic.!K72</f>
        <v>104.89688988603916</v>
      </c>
      <c r="Q34" s="1630">
        <f>Vic.!L72</f>
        <v>104.8968898860393</v>
      </c>
      <c r="R34" s="2418">
        <f>Vic.!M72</f>
        <v>104.89688988603835</v>
      </c>
      <c r="S34" s="1655" t="str">
        <f>IF(ROUND(SUM(D34:E34,G34),0)=ROUND(H34,0),"Ok","Error")</f>
        <v>Ok</v>
      </c>
      <c r="T34" s="1655" t="str">
        <f t="shared" si="30"/>
        <v>Ok</v>
      </c>
      <c r="V34" s="74"/>
      <c r="AA34" s="75"/>
      <c r="AY34" s="1654"/>
    </row>
    <row r="35" spans="1:59" ht="12.75" customHeight="1" x14ac:dyDescent="0.2">
      <c r="B35" s="2032"/>
      <c r="C35" s="2033" t="s">
        <v>116</v>
      </c>
      <c r="D35" s="1653">
        <f t="shared" ref="D35:J35" si="31">SUM(D33:D34)/SUM(D32:D34)</f>
        <v>0.52971151153551821</v>
      </c>
      <c r="E35" s="1653">
        <f t="shared" si="31"/>
        <v>0.72394732785873095</v>
      </c>
      <c r="F35" s="1653">
        <f t="shared" si="31"/>
        <v>0.73103681930725273</v>
      </c>
      <c r="G35" s="1653">
        <f t="shared" si="31"/>
        <v>0.75519812138292786</v>
      </c>
      <c r="H35" s="1666">
        <f t="shared" si="31"/>
        <v>0.6944391401872253</v>
      </c>
      <c r="I35" s="1653">
        <f t="shared" si="31"/>
        <v>0.69222750659444099</v>
      </c>
      <c r="J35" s="2421">
        <f t="shared" si="31"/>
        <v>0.70048311101810901</v>
      </c>
      <c r="K35" s="2550" t="s">
        <v>117</v>
      </c>
      <c r="L35" s="1677">
        <f>SUM(L32:L34)</f>
        <v>525.73289300787974</v>
      </c>
      <c r="M35" s="261">
        <f>SUM(M32:M34)</f>
        <v>1243.232328438007</v>
      </c>
      <c r="N35" s="261">
        <f t="shared" ref="N35" si="32">SUM(N32:N34)</f>
        <v>868.49805939664157</v>
      </c>
      <c r="O35" s="266">
        <f t="shared" ref="O35" si="33">SUM(O32:O34)</f>
        <v>821.56084450752655</v>
      </c>
      <c r="P35" s="2523"/>
      <c r="Q35" s="2524"/>
      <c r="R35" s="2525"/>
      <c r="S35" s="1655"/>
      <c r="T35" s="1655"/>
      <c r="V35" s="74"/>
      <c r="AA35" s="75"/>
    </row>
    <row r="36" spans="1:59" x14ac:dyDescent="0.2">
      <c r="B36" s="2040" t="s">
        <v>374</v>
      </c>
      <c r="C36" s="2041" t="s">
        <v>113</v>
      </c>
      <c r="D36" s="1630">
        <f>WA.!D70</f>
        <v>951.85639997335272</v>
      </c>
      <c r="E36" s="1630">
        <f>WA.!E70</f>
        <v>908.49810311127476</v>
      </c>
      <c r="F36" s="1630">
        <f>WA.!F70</f>
        <v>748.80135105359386</v>
      </c>
      <c r="G36" s="1630">
        <f>WA.!G70</f>
        <v>1794.5422302741754</v>
      </c>
      <c r="H36" s="2416">
        <f>WA.!H70</f>
        <v>3654.8967333588034</v>
      </c>
      <c r="I36" s="1630">
        <f>WA.!I70</f>
        <v>3495.1999813011225</v>
      </c>
      <c r="J36" s="2418">
        <f>WA.!J70</f>
        <v>3383.8202599838041</v>
      </c>
      <c r="K36" s="2411">
        <f>H36/1000</f>
        <v>3.6548967333588034</v>
      </c>
      <c r="L36" s="2416">
        <f t="shared" ref="L36:O38" si="34">D36*1000000/Pop_WA</f>
        <v>369.95194950690353</v>
      </c>
      <c r="M36" s="1630">
        <f t="shared" si="34"/>
        <v>353.10015710221529</v>
      </c>
      <c r="N36" s="1630">
        <f t="shared" si="34"/>
        <v>291.03184012150939</v>
      </c>
      <c r="O36" s="1630">
        <f t="shared" si="34"/>
        <v>697.47327073808981</v>
      </c>
      <c r="P36" s="2416">
        <f>WA.!K70</f>
        <v>1420.5253773472089</v>
      </c>
      <c r="Q36" s="1630">
        <f>WA.!L70</f>
        <v>1358.4570603665029</v>
      </c>
      <c r="R36" s="2418">
        <f>WA.!M70</f>
        <v>1315.167815226132</v>
      </c>
      <c r="S36" s="1655" t="str">
        <f>IF(ROUND(SUM(D36:E36,G36),0)=ROUND(H36,0),"Ok","Error")</f>
        <v>Ok</v>
      </c>
      <c r="T36" s="1655" t="str">
        <f>IF(ROUND(SUM(L36:M36,O36),0)=ROUND(P36,0),"Ok","Error")</f>
        <v>Ok</v>
      </c>
      <c r="V36" s="74"/>
      <c r="AA36" s="75"/>
    </row>
    <row r="37" spans="1:59" s="77" customFormat="1" x14ac:dyDescent="0.2">
      <c r="A37" s="74"/>
      <c r="B37" s="2036"/>
      <c r="C37" s="2041" t="s">
        <v>114</v>
      </c>
      <c r="D37" s="1630">
        <f>WA.!D71</f>
        <v>550.2052161206617</v>
      </c>
      <c r="E37" s="1630">
        <f>WA.!E71</f>
        <v>1593.4045906624813</v>
      </c>
      <c r="F37" s="1630">
        <f>WA.!F71</f>
        <v>1207.0988168742983</v>
      </c>
      <c r="G37" s="1630">
        <f>WA.!G71</f>
        <v>1267.0647666393183</v>
      </c>
      <c r="H37" s="2416">
        <f>WA.!H71</f>
        <v>3410.6745734224614</v>
      </c>
      <c r="I37" s="1630">
        <f>WA.!I71</f>
        <v>3024.3687996342783</v>
      </c>
      <c r="J37" s="2418">
        <f>WA.!J71</f>
        <v>2552.0758743439201</v>
      </c>
      <c r="K37" s="2411">
        <f>H37/1000</f>
        <v>3.4106745734224613</v>
      </c>
      <c r="L37" s="2416">
        <f t="shared" si="34"/>
        <v>213.84474836582953</v>
      </c>
      <c r="M37" s="1630">
        <f t="shared" si="34"/>
        <v>619.29838858606945</v>
      </c>
      <c r="N37" s="1630">
        <f t="shared" si="34"/>
        <v>469.15538999645861</v>
      </c>
      <c r="O37" s="1630">
        <f t="shared" si="34"/>
        <v>492.46197281737921</v>
      </c>
      <c r="P37" s="2416">
        <f>WA.!K71</f>
        <v>1325.605109769278</v>
      </c>
      <c r="Q37" s="1630">
        <f>WA.!L71</f>
        <v>1175.4621111796673</v>
      </c>
      <c r="R37" s="2418">
        <f>WA.!M71</f>
        <v>991.8990354317101</v>
      </c>
      <c r="S37" s="1655" t="str">
        <f>IF(ROUND(SUM(D37:E37,G37),0)=ROUND(H37,0),"Ok","Error")</f>
        <v>Ok</v>
      </c>
      <c r="T37" s="1655" t="str">
        <f t="shared" ref="T37:T38" si="35">IF(ROUND(SUM(L37:M37,O37),0)=ROUND(P37,0),"Ok","Error")</f>
        <v>Ok</v>
      </c>
      <c r="U37" s="74"/>
      <c r="Y37" s="74"/>
      <c r="Z37" s="74"/>
      <c r="AA37" s="75"/>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E37" s="74"/>
      <c r="BF37" s="74"/>
      <c r="BG37" s="74"/>
    </row>
    <row r="38" spans="1:59" s="76" customFormat="1" x14ac:dyDescent="0.2">
      <c r="A38" s="74"/>
      <c r="B38" s="2036"/>
      <c r="C38" s="2041" t="s">
        <v>38</v>
      </c>
      <c r="D38" s="1630">
        <f>WA.!D72</f>
        <v>130.90757351550016</v>
      </c>
      <c r="E38" s="1630">
        <f>WA.!E72</f>
        <v>79.471296483775191</v>
      </c>
      <c r="F38" s="1630">
        <f>WA.!F72</f>
        <v>79.471296483775191</v>
      </c>
      <c r="G38" s="1630">
        <f>WA.!G72</f>
        <v>19.106740102737096</v>
      </c>
      <c r="H38" s="2416">
        <f>WA.!H72</f>
        <v>229.48561010201246</v>
      </c>
      <c r="I38" s="1630">
        <f>WA.!I72</f>
        <v>229.48561010201246</v>
      </c>
      <c r="J38" s="2418">
        <f>WA.!J72</f>
        <v>229.4856101020095</v>
      </c>
      <c r="K38" s="2411">
        <f>H38/1000</f>
        <v>0.22948561010201246</v>
      </c>
      <c r="L38" s="2416">
        <f t="shared" si="34"/>
        <v>50.879010771617821</v>
      </c>
      <c r="M38" s="1630">
        <f t="shared" si="34"/>
        <v>30.887601391172904</v>
      </c>
      <c r="N38" s="1630">
        <f t="shared" si="34"/>
        <v>30.887601391172904</v>
      </c>
      <c r="O38" s="1630">
        <f t="shared" si="34"/>
        <v>7.4260946818524385</v>
      </c>
      <c r="P38" s="2416">
        <f>WA.!K72</f>
        <v>89.192706844643169</v>
      </c>
      <c r="Q38" s="1630">
        <f>WA.!L72</f>
        <v>89.192706844643553</v>
      </c>
      <c r="R38" s="2418">
        <f>WA.!M72</f>
        <v>89.192706844642018</v>
      </c>
      <c r="S38" s="1655" t="str">
        <f>IF(ROUND(SUM(D38:E38,G38),0)=ROUND(H38,0),"Ok","Error")</f>
        <v>Ok</v>
      </c>
      <c r="T38" s="1655" t="str">
        <f t="shared" si="35"/>
        <v>Ok</v>
      </c>
      <c r="U38" s="74"/>
      <c r="Y38" s="74"/>
      <c r="Z38" s="74"/>
      <c r="AA38" s="75"/>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row>
    <row r="39" spans="1:59" s="76" customFormat="1" ht="15.75" customHeight="1" x14ac:dyDescent="0.2">
      <c r="A39" s="74"/>
      <c r="B39" s="2038"/>
      <c r="C39" s="2042" t="s">
        <v>116</v>
      </c>
      <c r="D39" s="1653">
        <f t="shared" ref="D39:J39" si="36">SUM(D37:D38)/SUM(D36:D38)</f>
        <v>0.41710082098917839</v>
      </c>
      <c r="E39" s="1653">
        <f t="shared" si="36"/>
        <v>0.64805638139220634</v>
      </c>
      <c r="F39" s="1653">
        <f t="shared" si="36"/>
        <v>0.63210580272626649</v>
      </c>
      <c r="G39" s="1653">
        <f t="shared" si="36"/>
        <v>0.41749140508840443</v>
      </c>
      <c r="H39" s="1666">
        <f t="shared" si="36"/>
        <v>0.49898996334077778</v>
      </c>
      <c r="I39" s="1653">
        <f t="shared" si="36"/>
        <v>0.4821200454477495</v>
      </c>
      <c r="J39" s="2421">
        <f t="shared" si="36"/>
        <v>0.45115803039430608</v>
      </c>
      <c r="K39" s="2550" t="s">
        <v>117</v>
      </c>
      <c r="L39" s="1677">
        <f>SUM(L36:L38)</f>
        <v>634.67570864435083</v>
      </c>
      <c r="M39" s="261">
        <f>SUM(M36:M38)</f>
        <v>1003.2861470794576</v>
      </c>
      <c r="N39" s="261">
        <f t="shared" ref="N39" si="37">SUM(N36:N38)</f>
        <v>791.07483150914095</v>
      </c>
      <c r="O39" s="266">
        <f t="shared" ref="O39" si="38">SUM(O36:O38)</f>
        <v>1197.3613382373214</v>
      </c>
      <c r="P39" s="2523"/>
      <c r="Q39" s="2524"/>
      <c r="R39" s="2525"/>
      <c r="S39" s="1655"/>
      <c r="T39" s="1655"/>
      <c r="U39" s="74"/>
      <c r="Y39" s="74"/>
      <c r="Z39" s="74"/>
      <c r="AA39" s="75"/>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row>
    <row r="40" spans="1:59" s="76" customFormat="1" x14ac:dyDescent="0.2">
      <c r="A40" s="74"/>
      <c r="B40" s="1641" t="s">
        <v>433</v>
      </c>
      <c r="C40" s="1629" t="s">
        <v>113</v>
      </c>
      <c r="D40" s="255">
        <f t="shared" ref="D40:J42" si="39">SUMIF($C$8:$C$38,$C40,D$8:D$38)</f>
        <v>6486.1293658881787</v>
      </c>
      <c r="E40" s="253">
        <f t="shared" si="39"/>
        <v>13173.716404586006</v>
      </c>
      <c r="F40" s="253">
        <f t="shared" si="39"/>
        <v>7235.4009045860066</v>
      </c>
      <c r="G40" s="253">
        <f>SUMIF($C$8:$C$38,$C40,G$8:G$38)</f>
        <v>7129.8242820995411</v>
      </c>
      <c r="H40" s="255">
        <f>SUMIF($C$8:$C$38,$C40,H$8:H$38)</f>
        <v>26789.670052573729</v>
      </c>
      <c r="I40" s="1652">
        <f>SUMIF($C$8:$C$38,$C40,I$8:I$38)</f>
        <v>20851.354552573728</v>
      </c>
      <c r="J40" s="2422">
        <f>SUMIF($C$8:$C$38,$C40,J$8:J$38)</f>
        <v>17812.443999407529</v>
      </c>
      <c r="K40" s="254"/>
      <c r="L40" s="255">
        <f t="shared" ref="L40:R42" si="40">D40*1000000/Pop_Aus</f>
        <v>274.67066394520498</v>
      </c>
      <c r="M40" s="253">
        <f t="shared" si="40"/>
        <v>557.87253496723713</v>
      </c>
      <c r="N40" s="253">
        <f t="shared" si="40"/>
        <v>306.40035963887016</v>
      </c>
      <c r="O40" s="253">
        <f t="shared" si="40"/>
        <v>301.92946500208416</v>
      </c>
      <c r="P40" s="255">
        <f t="shared" si="40"/>
        <v>1134.4726639145265</v>
      </c>
      <c r="Q40" s="1652">
        <f t="shared" si="40"/>
        <v>883.00048858615935</v>
      </c>
      <c r="R40" s="2422">
        <f t="shared" si="40"/>
        <v>754.31055161109714</v>
      </c>
      <c r="S40" s="1655" t="str">
        <f>IF(ROUND(SUM(D40:E40,G40),0)=ROUND(H40,0),"Ok","Error")</f>
        <v>Ok</v>
      </c>
      <c r="T40" s="1655" t="str">
        <f>IF(ROUND(SUM(L40:M40,O40),0)=ROUND(P40,0),"Ok","Error")</f>
        <v>Ok</v>
      </c>
      <c r="U40" s="74"/>
      <c r="Y40" s="74"/>
      <c r="Z40" s="74"/>
      <c r="AA40" s="75"/>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row>
    <row r="41" spans="1:59" x14ac:dyDescent="0.2">
      <c r="B41" s="1639"/>
      <c r="C41" s="1629" t="s">
        <v>114</v>
      </c>
      <c r="D41" s="255">
        <f t="shared" si="39"/>
        <v>5605.1962954849196</v>
      </c>
      <c r="E41" s="253">
        <f t="shared" si="39"/>
        <v>16830.7683480212</v>
      </c>
      <c r="F41" s="253">
        <f>SUMIF($C$8:$C$38,$C41,F$8:F$38)</f>
        <v>11915.521848021201</v>
      </c>
      <c r="G41" s="253">
        <f>SUMIF($C$8:$C$38,$C41,G$8:G$38)</f>
        <v>12334.640281360533</v>
      </c>
      <c r="H41" s="255">
        <f t="shared" si="39"/>
        <v>34770.604924866653</v>
      </c>
      <c r="I41" s="253">
        <f t="shared" si="39"/>
        <v>29855.358424866659</v>
      </c>
      <c r="J41" s="254">
        <f t="shared" si="39"/>
        <v>26003.038885589624</v>
      </c>
      <c r="K41" s="254"/>
      <c r="L41" s="255">
        <f t="shared" si="40"/>
        <v>237.36544573424851</v>
      </c>
      <c r="M41" s="253">
        <f t="shared" si="40"/>
        <v>712.73914781468193</v>
      </c>
      <c r="N41" s="253">
        <f t="shared" si="40"/>
        <v>504.59127664984698</v>
      </c>
      <c r="O41" s="253">
        <f t="shared" si="40"/>
        <v>522.33984931360305</v>
      </c>
      <c r="P41" s="255">
        <f t="shared" si="40"/>
        <v>1472.4444428625336</v>
      </c>
      <c r="Q41" s="253">
        <f t="shared" si="40"/>
        <v>1264.2965716976989</v>
      </c>
      <c r="R41" s="254">
        <f t="shared" si="40"/>
        <v>1101.1608853903667</v>
      </c>
      <c r="S41" s="1655" t="str">
        <f>IF(ROUND(SUM(D41:E41,G41),0)=ROUND(H41,0),"Ok","Error")</f>
        <v>Ok</v>
      </c>
      <c r="T41" s="1655" t="str">
        <f t="shared" ref="T41:T42" si="41">IF(ROUND(SUM(L41:M41,O41),0)=ROUND(P41,0),"Ok","Error")</f>
        <v>Ok</v>
      </c>
      <c r="V41" s="74"/>
      <c r="AA41" s="75"/>
    </row>
    <row r="42" spans="1:59" x14ac:dyDescent="0.2">
      <c r="B42" s="1639"/>
      <c r="C42" s="1629" t="s">
        <v>38</v>
      </c>
      <c r="D42" s="255">
        <f t="shared" si="39"/>
        <v>1253.2137416276182</v>
      </c>
      <c r="E42" s="253">
        <f t="shared" si="39"/>
        <v>892.06217119992687</v>
      </c>
      <c r="F42" s="253">
        <f t="shared" si="39"/>
        <v>892.06217119992687</v>
      </c>
      <c r="G42" s="253">
        <f>SUMIF($C$8:$C$38,$C42,G$8:G$38)</f>
        <v>166.00556266404013</v>
      </c>
      <c r="H42" s="255">
        <f t="shared" si="39"/>
        <v>2311.2814754915848</v>
      </c>
      <c r="I42" s="253">
        <f t="shared" si="39"/>
        <v>2311.2814754915848</v>
      </c>
      <c r="J42" s="254">
        <f t="shared" si="39"/>
        <v>2311.2814754915507</v>
      </c>
      <c r="K42" s="254"/>
      <c r="L42" s="1677">
        <f t="shared" si="40"/>
        <v>53.070333793901526</v>
      </c>
      <c r="M42" s="253">
        <f t="shared" si="40"/>
        <v>37.776506606931164</v>
      </c>
      <c r="N42" s="253">
        <f t="shared" si="40"/>
        <v>37.776506606931164</v>
      </c>
      <c r="O42" s="253">
        <f t="shared" si="40"/>
        <v>7.029902665113652</v>
      </c>
      <c r="P42" s="255">
        <f t="shared" si="40"/>
        <v>97.876743065946314</v>
      </c>
      <c r="Q42" s="253">
        <f t="shared" si="40"/>
        <v>97.876743065946314</v>
      </c>
      <c r="R42" s="254">
        <f t="shared" si="40"/>
        <v>97.876743065944879</v>
      </c>
      <c r="S42" s="1655" t="str">
        <f>IF(ROUND(SUM(D42:E42,G42),0)=ROUND(H42,0),"Ok","Error")</f>
        <v>Ok</v>
      </c>
      <c r="T42" s="1655" t="str">
        <f t="shared" si="41"/>
        <v>Ok</v>
      </c>
      <c r="V42" s="74"/>
      <c r="AA42" s="75"/>
    </row>
    <row r="43" spans="1:59" x14ac:dyDescent="0.2">
      <c r="B43" s="1639"/>
      <c r="C43" s="1629" t="s">
        <v>117</v>
      </c>
      <c r="D43" s="1665">
        <f>SUM(D40:D42)</f>
        <v>13344.539403000717</v>
      </c>
      <c r="E43" s="1652">
        <f t="shared" ref="E43:J43" si="42">SUM(E40:E42)</f>
        <v>30896.546923807131</v>
      </c>
      <c r="F43" s="1652">
        <f t="shared" si="42"/>
        <v>20042.984923807133</v>
      </c>
      <c r="G43" s="1652">
        <f t="shared" si="42"/>
        <v>19630.470126124113</v>
      </c>
      <c r="H43" s="1665">
        <f t="shared" si="42"/>
        <v>63871.55645293196</v>
      </c>
      <c r="I43" s="1652">
        <f t="shared" si="42"/>
        <v>53017.994452931969</v>
      </c>
      <c r="J43" s="2422">
        <f t="shared" si="42"/>
        <v>46126.764360488705</v>
      </c>
      <c r="K43" s="253"/>
      <c r="L43" s="2572">
        <f t="shared" ref="L43:R43" si="43">SUM(L40:L42)</f>
        <v>565.10644347335506</v>
      </c>
      <c r="M43" s="2526">
        <f t="shared" si="43"/>
        <v>1308.3881893888504</v>
      </c>
      <c r="N43" s="2526">
        <f t="shared" si="43"/>
        <v>848.76814289564834</v>
      </c>
      <c r="O43" s="2527">
        <f t="shared" si="43"/>
        <v>831.29921698080091</v>
      </c>
      <c r="P43" s="1665">
        <f t="shared" si="43"/>
        <v>2704.7938498430067</v>
      </c>
      <c r="Q43" s="2526">
        <f t="shared" si="43"/>
        <v>2245.1738033498045</v>
      </c>
      <c r="R43" s="2527">
        <f t="shared" si="43"/>
        <v>1953.348180067409</v>
      </c>
      <c r="S43" s="1655" t="str">
        <f>IF(ROUND(SUM(D43:E43,G43),0)=ROUND(H43,0),"Ok","Error")</f>
        <v>Ok</v>
      </c>
      <c r="T43" s="1655" t="str">
        <f>IF(ROUND(SUM(L43:M43,O43),0)=ROUND(P43,0),"Ok","Error")</f>
        <v>Ok</v>
      </c>
      <c r="V43" s="74"/>
      <c r="AA43" s="75"/>
    </row>
    <row r="44" spans="1:59" x14ac:dyDescent="0.2">
      <c r="B44" s="1640"/>
      <c r="C44" s="1634" t="s">
        <v>116</v>
      </c>
      <c r="D44" s="1666">
        <f t="shared" ref="D44:J44" si="44">SUM(D41:D42)/D43</f>
        <v>0.51394880182753422</v>
      </c>
      <c r="E44" s="1653">
        <f t="shared" si="44"/>
        <v>0.57361848762344747</v>
      </c>
      <c r="F44" s="1653">
        <f t="shared" si="44"/>
        <v>0.63900582013651219</v>
      </c>
      <c r="G44" s="1653">
        <f t="shared" si="44"/>
        <v>0.63679808805947991</v>
      </c>
      <c r="H44" s="1666">
        <f t="shared" si="44"/>
        <v>0.5805696378744819</v>
      </c>
      <c r="I44" s="1653">
        <f t="shared" si="44"/>
        <v>0.60671174442320652</v>
      </c>
      <c r="J44" s="2421">
        <f t="shared" si="44"/>
        <v>0.61383712370977994</v>
      </c>
      <c r="K44" s="81"/>
      <c r="P44" s="1632"/>
      <c r="S44" s="1655"/>
      <c r="T44" s="1655"/>
      <c r="W44" s="75"/>
      <c r="X44" s="75"/>
      <c r="Y44" s="75"/>
      <c r="Z44" s="75"/>
      <c r="AA44" s="75"/>
      <c r="AB44" s="75"/>
      <c r="AC44" s="75"/>
      <c r="AD44" s="75"/>
      <c r="AE44" s="75"/>
      <c r="AF44" s="75"/>
    </row>
    <row r="45" spans="1:59" s="76" customFormat="1" x14ac:dyDescent="0.2">
      <c r="A45" s="74"/>
      <c r="B45" s="1642"/>
      <c r="C45" s="1632"/>
      <c r="D45" s="1678" t="s">
        <v>1080</v>
      </c>
      <c r="E45" s="1679"/>
      <c r="F45" s="1679"/>
      <c r="G45" s="1679"/>
      <c r="H45" s="1678"/>
      <c r="I45" s="1679"/>
      <c r="J45" s="1680"/>
      <c r="K45" s="1656"/>
      <c r="Q45" s="74"/>
      <c r="R45" s="74"/>
      <c r="S45" s="1655"/>
      <c r="T45" s="1655"/>
      <c r="U45" s="74"/>
      <c r="V45" s="75"/>
      <c r="W45" s="75"/>
      <c r="X45" s="75"/>
      <c r="Y45" s="75"/>
      <c r="Z45" s="75"/>
      <c r="AA45" s="75"/>
      <c r="AB45" s="75"/>
      <c r="AC45" s="75"/>
      <c r="AD45" s="75"/>
      <c r="AE45" s="75"/>
      <c r="AF45" s="75"/>
      <c r="AG45" s="74"/>
      <c r="AH45" s="74"/>
      <c r="AI45" s="74"/>
      <c r="AJ45" s="74"/>
      <c r="AK45" s="74"/>
      <c r="AL45" s="74"/>
      <c r="AN45" s="74"/>
      <c r="AO45" s="74"/>
      <c r="AP45" s="74"/>
      <c r="AQ45" s="74"/>
      <c r="AR45" s="74"/>
      <c r="AS45" s="74"/>
      <c r="AT45" s="74"/>
      <c r="AU45" s="74"/>
      <c r="AV45" s="74"/>
      <c r="AW45" s="74"/>
      <c r="AX45" s="74"/>
      <c r="AY45" s="74"/>
      <c r="AZ45" s="74"/>
      <c r="BA45" s="74"/>
      <c r="BB45" s="74"/>
      <c r="BC45" s="74"/>
    </row>
    <row r="46" spans="1:59" s="76" customFormat="1" x14ac:dyDescent="0.2">
      <c r="A46" s="74"/>
      <c r="B46" s="1641" t="s">
        <v>433</v>
      </c>
      <c r="C46" s="1629" t="s">
        <v>113</v>
      </c>
      <c r="D46" s="1667">
        <f t="shared" ref="D46:J48" si="45">D40/1000</f>
        <v>6.4861293658881785</v>
      </c>
      <c r="E46" s="1652">
        <f t="shared" si="45"/>
        <v>13.173716404586006</v>
      </c>
      <c r="F46" s="1668">
        <f t="shared" si="45"/>
        <v>7.2354009045860064</v>
      </c>
      <c r="G46" s="1668">
        <f t="shared" si="45"/>
        <v>7.1298242820995412</v>
      </c>
      <c r="H46" s="1665">
        <f t="shared" si="45"/>
        <v>26.789670052573729</v>
      </c>
      <c r="I46" s="1652">
        <f t="shared" si="45"/>
        <v>20.851354552573728</v>
      </c>
      <c r="J46" s="2422">
        <f t="shared" si="45"/>
        <v>17.812443999407527</v>
      </c>
      <c r="K46" s="1656"/>
      <c r="P46" s="74"/>
      <c r="Q46" s="74"/>
      <c r="R46" s="74"/>
      <c r="S46" s="74"/>
      <c r="T46" s="74"/>
      <c r="U46" s="74"/>
      <c r="V46" s="75"/>
      <c r="W46" s="75"/>
      <c r="X46" s="75"/>
      <c r="Y46" s="75"/>
      <c r="Z46" s="75"/>
      <c r="AA46" s="75"/>
      <c r="AB46" s="75"/>
      <c r="AC46" s="75"/>
      <c r="AD46" s="75"/>
      <c r="AE46" s="75"/>
      <c r="AF46" s="75"/>
      <c r="AG46" s="74"/>
      <c r="AH46" s="74"/>
      <c r="AI46" s="74"/>
      <c r="AK46" s="74"/>
      <c r="AL46" s="74"/>
      <c r="AM46" s="74"/>
      <c r="AN46" s="74"/>
      <c r="AO46" s="74"/>
      <c r="AP46" s="74"/>
      <c r="AQ46" s="74"/>
      <c r="AR46" s="74"/>
      <c r="AT46" s="74"/>
      <c r="AU46" s="74"/>
      <c r="AV46" s="74"/>
      <c r="AW46" s="74"/>
      <c r="AX46" s="74"/>
      <c r="AY46" s="74"/>
      <c r="AZ46" s="74"/>
      <c r="BA46" s="74"/>
      <c r="BB46" s="74"/>
      <c r="BC46" s="74"/>
    </row>
    <row r="47" spans="1:59" x14ac:dyDescent="0.2">
      <c r="B47" s="1639"/>
      <c r="C47" s="1629" t="s">
        <v>114</v>
      </c>
      <c r="D47" s="1669">
        <f t="shared" si="45"/>
        <v>5.6051962954849195</v>
      </c>
      <c r="E47" s="253">
        <f t="shared" si="45"/>
        <v>16.830768348021198</v>
      </c>
      <c r="F47" s="253">
        <f t="shared" si="45"/>
        <v>11.9155218480212</v>
      </c>
      <c r="G47" s="253">
        <f t="shared" si="45"/>
        <v>12.334640281360533</v>
      </c>
      <c r="H47" s="255">
        <f t="shared" si="45"/>
        <v>34.770604924866653</v>
      </c>
      <c r="I47" s="253">
        <f t="shared" si="45"/>
        <v>29.855358424866658</v>
      </c>
      <c r="J47" s="254">
        <f t="shared" si="45"/>
        <v>26.003038885589625</v>
      </c>
      <c r="K47" s="2549" t="s">
        <v>589</v>
      </c>
      <c r="W47" s="75"/>
      <c r="X47" s="75"/>
      <c r="Y47" s="75"/>
      <c r="Z47" s="75"/>
      <c r="AA47" s="75"/>
      <c r="AB47" s="75"/>
      <c r="AC47" s="75"/>
      <c r="AD47" s="75"/>
      <c r="AE47" s="75"/>
      <c r="AF47" s="75"/>
    </row>
    <row r="48" spans="1:59" x14ac:dyDescent="0.2">
      <c r="B48" s="1639"/>
      <c r="C48" s="1629" t="s">
        <v>38</v>
      </c>
      <c r="D48" s="1670">
        <f t="shared" si="45"/>
        <v>1.2532137416276181</v>
      </c>
      <c r="E48" s="1671">
        <f t="shared" si="45"/>
        <v>0.89206217119992681</v>
      </c>
      <c r="F48" s="1671">
        <f t="shared" si="45"/>
        <v>0.89206217119992681</v>
      </c>
      <c r="G48" s="1671">
        <f t="shared" si="45"/>
        <v>0.16600556266404012</v>
      </c>
      <c r="H48" s="1670">
        <f t="shared" si="45"/>
        <v>2.3112814754915849</v>
      </c>
      <c r="I48" s="1671">
        <f t="shared" si="45"/>
        <v>2.3112814754915849</v>
      </c>
      <c r="J48" s="2378">
        <f t="shared" si="45"/>
        <v>2.3112814754915507</v>
      </c>
      <c r="K48" s="1656"/>
      <c r="V48" s="74"/>
      <c r="BB48" s="2573"/>
    </row>
    <row r="49" spans="1:54" x14ac:dyDescent="0.2">
      <c r="B49" s="1639"/>
      <c r="C49" s="1629" t="s">
        <v>116</v>
      </c>
      <c r="D49" s="1674">
        <f t="shared" ref="D49:J49" si="46">SUM(D47:D48)/D50</f>
        <v>0.51394880182753433</v>
      </c>
      <c r="E49" s="81">
        <f t="shared" si="46"/>
        <v>0.57361848762344747</v>
      </c>
      <c r="F49" s="81">
        <f t="shared" si="46"/>
        <v>0.63900582013651208</v>
      </c>
      <c r="G49" s="81">
        <f t="shared" si="46"/>
        <v>0.63679808805947979</v>
      </c>
      <c r="H49" s="1674">
        <f t="shared" si="46"/>
        <v>0.58056963787448179</v>
      </c>
      <c r="I49" s="81">
        <f t="shared" si="46"/>
        <v>0.60671174442320652</v>
      </c>
      <c r="J49" s="2132">
        <f t="shared" si="46"/>
        <v>0.61383712370978005</v>
      </c>
      <c r="K49" s="253"/>
      <c r="V49" s="2075" t="s">
        <v>1428</v>
      </c>
      <c r="AA49" s="75"/>
      <c r="AD49" s="2075" t="s">
        <v>1429</v>
      </c>
      <c r="AE49" s="75"/>
      <c r="AR49" s="2075" t="s">
        <v>1333</v>
      </c>
      <c r="BB49" s="2075" t="s">
        <v>1448</v>
      </c>
    </row>
    <row r="50" spans="1:54" x14ac:dyDescent="0.2">
      <c r="B50" s="1640"/>
      <c r="C50" s="1634" t="s">
        <v>117</v>
      </c>
      <c r="D50" s="1670">
        <f t="shared" ref="D50:J50" si="47">SUM(D46:D48)</f>
        <v>13.344539403000717</v>
      </c>
      <c r="E50" s="261">
        <f t="shared" si="47"/>
        <v>30.896546923807133</v>
      </c>
      <c r="F50" s="261">
        <f t="shared" si="47"/>
        <v>20.042984923807136</v>
      </c>
      <c r="G50" s="261">
        <f t="shared" si="47"/>
        <v>19.630470126124116</v>
      </c>
      <c r="H50" s="1677">
        <f t="shared" si="47"/>
        <v>63.871556452931969</v>
      </c>
      <c r="I50" s="261">
        <f t="shared" si="47"/>
        <v>53.017994452931973</v>
      </c>
      <c r="J50" s="266">
        <f t="shared" si="47"/>
        <v>46.1267643604887</v>
      </c>
      <c r="K50" s="81"/>
      <c r="V50" s="74"/>
      <c r="Z50" s="75"/>
    </row>
    <row r="51" spans="1:54" s="76" customFormat="1" x14ac:dyDescent="0.2">
      <c r="A51" s="74"/>
      <c r="B51" s="74"/>
      <c r="C51" s="1629" t="s">
        <v>1205</v>
      </c>
      <c r="D51" s="1656">
        <f>SUM(ACT!G136:G145,NSW!G49:G58,NT!G37:G46,Qld!G35:G44,SA!G118:G127,Tas!G27:G36,Vic!G72:G82,WA!G35:G44)/1000000</f>
        <v>7.6249122075157958</v>
      </c>
      <c r="E51" s="1656"/>
      <c r="F51" s="1656"/>
      <c r="G51" s="1656">
        <f>SUM(ACT.!D93,NT.!D93,NSW.!D93,Qld.!D93,SA.!D93,Tas.!D93,Vic.!D93,WA.!D93)/1000</f>
        <v>22.035005583969934</v>
      </c>
      <c r="H51" s="74"/>
      <c r="I51" s="74"/>
      <c r="J51" s="74"/>
      <c r="K51" s="74"/>
      <c r="Q51" s="74"/>
      <c r="R51" s="74"/>
      <c r="T51" s="74"/>
      <c r="U51" s="74"/>
      <c r="V51" s="74"/>
      <c r="W51" s="75"/>
      <c r="X51" s="74"/>
      <c r="Y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row>
    <row r="52" spans="1:54" s="76" customFormat="1" x14ac:dyDescent="0.2">
      <c r="A52" s="74"/>
      <c r="C52" s="2548"/>
      <c r="D52" s="81"/>
      <c r="N52" s="74"/>
      <c r="P52" s="74"/>
      <c r="Q52" s="74"/>
      <c r="R52" s="74"/>
      <c r="S52" s="74"/>
      <c r="T52" s="74"/>
      <c r="U52" s="74"/>
      <c r="V52" s="75"/>
      <c r="W52" s="74"/>
      <c r="X52" s="74"/>
      <c r="Z52" s="74"/>
      <c r="AA52" s="74"/>
      <c r="AB52" s="74"/>
      <c r="AD52" s="74"/>
      <c r="AE52" s="74"/>
      <c r="AF52" s="74"/>
      <c r="AG52" s="74"/>
      <c r="AH52" s="74"/>
      <c r="AI52" s="74"/>
      <c r="AJ52" s="74"/>
      <c r="AK52" s="74"/>
      <c r="AL52" s="74"/>
      <c r="AM52" s="74"/>
      <c r="AN52" s="74"/>
      <c r="AO52" s="74"/>
      <c r="AP52" s="74"/>
      <c r="AQ52" s="74"/>
      <c r="AR52" s="74"/>
      <c r="AS52" s="74"/>
      <c r="AT52" s="74"/>
      <c r="AU52" s="74"/>
      <c r="AV52" s="74"/>
      <c r="AW52" s="74"/>
      <c r="AX52" s="74"/>
    </row>
    <row r="53" spans="1:54" x14ac:dyDescent="0.2">
      <c r="D53" s="1657"/>
    </row>
    <row r="54" spans="1:54" x14ac:dyDescent="0.2">
      <c r="D54" s="2133" t="s">
        <v>1121</v>
      </c>
      <c r="E54" s="2133" t="s">
        <v>28</v>
      </c>
      <c r="F54" s="2133" t="s">
        <v>22</v>
      </c>
      <c r="G54" s="2133" t="s">
        <v>1120</v>
      </c>
      <c r="H54" s="2133" t="s">
        <v>32</v>
      </c>
      <c r="I54" s="2133" t="s">
        <v>30</v>
      </c>
      <c r="J54" s="2133" t="s">
        <v>27</v>
      </c>
      <c r="K54" s="2133" t="s">
        <v>1370</v>
      </c>
      <c r="L54" s="2133" t="s">
        <v>2</v>
      </c>
    </row>
    <row r="55" spans="1:54" ht="15" customHeight="1" x14ac:dyDescent="0.25">
      <c r="B55" s="2433" t="s">
        <v>1077</v>
      </c>
      <c r="C55" s="1643"/>
      <c r="D55" s="2775" t="s">
        <v>1322</v>
      </c>
      <c r="E55" s="2775"/>
      <c r="F55" s="2775"/>
      <c r="G55" s="2775"/>
      <c r="H55" s="2775"/>
      <c r="I55" s="2775"/>
      <c r="J55" s="2775"/>
      <c r="K55" s="2775"/>
      <c r="L55" s="2776"/>
      <c r="M55" s="1675" t="s">
        <v>1323</v>
      </c>
      <c r="N55" s="1673"/>
      <c r="O55" s="1675" t="s">
        <v>1435</v>
      </c>
      <c r="P55" s="1643"/>
      <c r="Q55" s="1643"/>
      <c r="R55" s="1643"/>
      <c r="S55" s="1643"/>
      <c r="T55" s="942"/>
      <c r="U55" s="2549"/>
    </row>
    <row r="56" spans="1:54" ht="38.25" x14ac:dyDescent="0.2">
      <c r="B56" s="1662" t="s">
        <v>1334</v>
      </c>
      <c r="C56" s="930"/>
      <c r="D56" s="1645" t="s">
        <v>25</v>
      </c>
      <c r="E56" s="1645" t="s">
        <v>28</v>
      </c>
      <c r="F56" s="1645" t="s">
        <v>22</v>
      </c>
      <c r="G56" s="1645" t="s">
        <v>20</v>
      </c>
      <c r="H56" s="1645" t="s">
        <v>32</v>
      </c>
      <c r="I56" s="1645" t="s">
        <v>30</v>
      </c>
      <c r="J56" s="1645" t="s">
        <v>27</v>
      </c>
      <c r="K56" s="1645" t="s">
        <v>35</v>
      </c>
      <c r="L56" s="1646" t="s">
        <v>2</v>
      </c>
      <c r="M56" s="2379" t="s">
        <v>1446</v>
      </c>
      <c r="N56" s="1646" t="s">
        <v>1447</v>
      </c>
      <c r="O56" s="1645" t="s">
        <v>1441</v>
      </c>
      <c r="P56" s="1645" t="s">
        <v>1440</v>
      </c>
      <c r="Q56" s="1645" t="s">
        <v>1442</v>
      </c>
      <c r="R56" s="1645" t="s">
        <v>1444</v>
      </c>
      <c r="S56" s="1645" t="s">
        <v>1443</v>
      </c>
      <c r="T56" s="1646" t="s">
        <v>1445</v>
      </c>
      <c r="U56" s="957" t="s">
        <v>439</v>
      </c>
    </row>
    <row r="57" spans="1:54" s="76" customFormat="1" x14ac:dyDescent="0.2">
      <c r="A57" s="74"/>
      <c r="B57" s="1641"/>
      <c r="C57" s="1629" t="s">
        <v>113</v>
      </c>
      <c r="D57" s="1649">
        <f>SUM(ACT.!D79,NSW.!D79,NT.!D79,Qld.!D79,SA.!D79,Tas.!D79,Vic.!D79,WA.!D79)/1000</f>
        <v>5.193820583808944</v>
      </c>
      <c r="E57" s="1649">
        <f>SUM(ACT.!D80,NSW.!D80,NT.!D80,Qld.!D80,SA.!D80,Tas.!D80,Vic.!D80,WA.!D80)/1000</f>
        <v>0.59931824029537706</v>
      </c>
      <c r="F57" s="1649">
        <f>SUM(ACT.!D81,NSW.!D81,NT.!D81,Qld.!D81,SA.!D81,Tas.!D81,Vic.!D81,WA.!D81)/1000</f>
        <v>6.2364638260746217</v>
      </c>
      <c r="G57" s="1649">
        <f>SUM(ACT.!D82,NSW.!D82,NT.!D82,Qld.!D82,SA.!D82,Tas.!D82,Vic.!D82,WA.!D82)/1000</f>
        <v>1.584406592729183</v>
      </c>
      <c r="H57" s="1649">
        <f>SUM(ACT.!D83,NSW.!D83,NT.!D83,Qld.!D83,SA.!D83,Tas.!D83,Vic.!D83,WA.!D83)/1000</f>
        <v>2.1573670534223037</v>
      </c>
      <c r="I57" s="1649">
        <f>SUM(ACT.!D84,NSW.!D84,NT.!D84,Qld.!D84,SA.!D84,Tas.!D84,Vic.!D84,WA.!D84)/1000</f>
        <v>0.46612295505867557</v>
      </c>
      <c r="J57" s="1649">
        <f>SUM(ACT.!D85,NSW.!D85,NT.!D85,Qld.!D85,SA.!D85,Tas.!D85,Vic.!D85,WA.!D85)/1000</f>
        <v>1.5749447480184224</v>
      </c>
      <c r="K57" s="1649">
        <f>SUM(ACT.!D86,NSW.!D86,NT.!D86,Qld.!D86,SA.!D86,Tas.!D86,Vic.!D86,WA.!D86)/1000</f>
        <v>3.1812451598532512</v>
      </c>
      <c r="L57" s="1648">
        <f>SUM(ACT.!D87,NSW.!D87,NT.!D87,Qld.!D87,SA.!D87,Tas.!D87,Vic.!D87,WA.!D87)/1000</f>
        <v>5.9383155000000007</v>
      </c>
      <c r="M57" s="2380">
        <f>F57</f>
        <v>6.2364638260746217</v>
      </c>
      <c r="N57" s="2381">
        <f>M57+SUM(ACT.!G50,NSW.!G50,NT.!G50,Qld.!G50,SA.!G50,Tas.!G50,Vic.!G50,WA.!G50,'Other national data'!O414)/1000000</f>
        <v>6.3117115767925043</v>
      </c>
      <c r="O57" s="2569">
        <f>SUM(ACT.!D89,NSW.!D89,NT.!D89,Qld.!D89,SA.!D89,Tas.!D89,Vic.!D89,WA.!D89)/1000</f>
        <v>3.0725623438464327</v>
      </c>
      <c r="P57" s="1649">
        <f>O57-S57</f>
        <v>0.83913965308943173</v>
      </c>
      <c r="Q57" s="1649">
        <f>SUM(ACT.!D90,NSW.!D90,NT.!D90,Qld.!D90,SA.!D90,Tas.!D90,Vic.!D90,WA.!D90)/1000</f>
        <v>4.4459554821256554E-2</v>
      </c>
      <c r="R57" s="1649">
        <f>SUM(P57,Q57)</f>
        <v>0.88359920791068824</v>
      </c>
      <c r="S57" s="2569">
        <f>SUM(ACT.!D88,NSW.!D88,NT.!D88,Qld.!D88,SA.!D88,Tas.!D88,Vic.!D88,WA.!D88)/1000</f>
        <v>2.233422690757001</v>
      </c>
      <c r="T57" s="2381">
        <f>SUM(R57:S57)</f>
        <v>3.117021898667689</v>
      </c>
      <c r="U57" s="2570" t="str">
        <f>IF(ROUND(SUM(D57:L57),0)=ROUND(H40/1000,0),"Ok","Error")</f>
        <v>Ok</v>
      </c>
      <c r="V57" s="75"/>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row>
    <row r="58" spans="1:54" s="76" customFormat="1" x14ac:dyDescent="0.2">
      <c r="A58" s="74"/>
      <c r="B58" s="1639"/>
      <c r="C58" s="1629" t="s">
        <v>114</v>
      </c>
      <c r="D58" s="1649">
        <f>SUM(ACT.!E79,NSW.!E79,NT.!E79,Qld.!E79,SA.!E79,Tas.!E79,Vic.!E79,WA.!E79)/1000</f>
        <v>11.95718375031889</v>
      </c>
      <c r="E58" s="1649">
        <f>SUM(ACT.!E80,NSW.!E80,NT.!E80,Qld.!E80,SA.!E80,Tas.!E80,Vic.!E80,WA.!E80)/1000</f>
        <v>4.5685719138708256</v>
      </c>
      <c r="F58" s="1649">
        <f>SUM(ACT.!E81,NSW.!E81,NT.!E81,Qld.!E81,SA.!E81,Tas.!E81,Vic.!E81,WA.!E81)/1000</f>
        <v>5.2104645639640639</v>
      </c>
      <c r="G58" s="1649">
        <f>SUM(ACT.!E82,NSW.!E82,NT.!E82,Qld.!E82,SA.!E82,Tas.!E82,Vic.!E82,WA.!E82)/1000</f>
        <v>3.2282213331406062</v>
      </c>
      <c r="H58" s="1649">
        <f>SUM(ACT.!E83,NSW.!E83,NT.!E83,Qld.!E83,SA.!E83,Tas.!E83,Vic.!E83,WA.!E83)/1000</f>
        <v>0.34584083999999998</v>
      </c>
      <c r="I58" s="1649">
        <f>SUM(ACT.!E84,NSW.!E84,NT.!E84,Qld.!E84,SA.!E84,Tas.!E84,Vic.!E84,WA.!E84)/1000</f>
        <v>0.6020176590864128</v>
      </c>
      <c r="J58" s="1649">
        <f>SUM(ACT.!E85,NSW.!E85,NT.!E85,Qld.!E85,SA.!E85,Tas.!E85,Vic.!E85,WA.!E85)/1000</f>
        <v>9.0363344241901372E-2</v>
      </c>
      <c r="K58" s="1649">
        <f>SUM(ACT.!E86,NSW.!E86,NT.!E86,Qld.!E86,SA.!E86,Tas.!E86,Vic.!E86,WA.!E86)/1000</f>
        <v>3.8523195392770342</v>
      </c>
      <c r="L58" s="1648">
        <f>SUM(ACT.!E87,NSW.!E87,NT.!E87,Qld.!E87,SA.!E87,Tas.!E87,Vic.!E87,WA.!E87)/1000</f>
        <v>4.9152464999999994</v>
      </c>
      <c r="M58" s="2380">
        <f t="shared" ref="M58:M59" si="48">F58</f>
        <v>5.2104645639640639</v>
      </c>
      <c r="N58" s="2381">
        <f>M58+SUM(ACT.!L50,NSW.!L50,NT.!L50,Qld.!L50,SA.!L50,Tas.!L50,Vic.!L50,WA.!L50,'Other national data'!O415)/1000000</f>
        <v>7.3665311298185916</v>
      </c>
      <c r="O58" s="2569">
        <f>SUM(ACT.!E89,NSW.!E89,NT.!E89,Qld.!E89,SA.!E89,Tas.!E89,Vic.!E89,WA.!E89)/1000</f>
        <v>0.37355860838786581</v>
      </c>
      <c r="P58" s="1649">
        <f>O58-S58</f>
        <v>0.17454101891462784</v>
      </c>
      <c r="Q58" s="1649">
        <f>SUM(ACT.!E90,NSW.!E90,NT.!E90,Qld.!E90,SA.!E90,Tas.!E90,Vic.!E90,WA.!E90)/1000</f>
        <v>0.83565238349080218</v>
      </c>
      <c r="R58" s="1649">
        <f>SUM(P58,Q58)</f>
        <v>1.01019340240543</v>
      </c>
      <c r="S58" s="2569">
        <f>SUM(ACT.!E88,NSW.!E88,NT.!E88,Qld.!E88,SA.!E88,Tas.!E88,Vic.!E88,WA.!E88)/1000</f>
        <v>0.19901758947323797</v>
      </c>
      <c r="T58" s="2381">
        <f t="shared" ref="T58:T59" si="49">SUM(R58:S58)</f>
        <v>1.209210991878668</v>
      </c>
      <c r="U58" s="2570" t="str">
        <f>IF(ROUND(SUM(D58:L58),0)=ROUND(H41/1000,0),"Ok","Error")</f>
        <v>Ok</v>
      </c>
      <c r="V58" s="75"/>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row>
    <row r="59" spans="1:54" s="76" customFormat="1" x14ac:dyDescent="0.2">
      <c r="A59" s="74"/>
      <c r="B59" s="1639"/>
      <c r="C59" s="1629" t="s">
        <v>38</v>
      </c>
      <c r="D59" s="1649"/>
      <c r="E59" s="1649"/>
      <c r="F59" s="1649">
        <f>SUM(ACT.!F81,NSW.!F81,NT.!F81,Qld.!F81,SA.!F81,Tas.!F81,Vic.!F81,WA.!F81)/1000</f>
        <v>1.3600198783885851</v>
      </c>
      <c r="G59" s="1649">
        <f>SUM(ACT.!F82,NSW.!F82,NT.!F82,Qld.!F82,SA.!F82,Tas.!F82,Vic.!F82,WA.!F82)/1000</f>
        <v>0.45760319209112282</v>
      </c>
      <c r="H59" s="1650">
        <f>SUM(ACT.!F83,NSW.!F83,NT.!F83,Qld.!F83,SA.!F83,Tas.!F83,Vic.!F83,WA.!F83)/1000</f>
        <v>1.6500000000000001E-2</v>
      </c>
      <c r="I59" s="1649"/>
      <c r="J59" s="1649">
        <f>SUM(ACT.!F85,NSW.!F85,NT.!F85,Qld.!F85,SA.!F85,Tas.!F85,Vic.!F85,WA.!F85)/1000</f>
        <v>0.47715840501184315</v>
      </c>
      <c r="K59" s="1649">
        <f>SUM(ACT.!F86,NSW.!F86,NT.!F86,Qld.!F86,SA.!F86,Tas.!F86,Vic.!F86,WA.!F86)/1000</f>
        <v>2.4930452385502928E-14</v>
      </c>
      <c r="L59" s="1648"/>
      <c r="M59" s="2380">
        <f t="shared" si="48"/>
        <v>1.3600198783885851</v>
      </c>
      <c r="N59" s="2381">
        <f>M59+SUM(ACT.!T50,NSW.!T50,NT.!T50,Qld.!T50,SA.!T50,Tas.!T50,Vic.!T50,WA.!T50)/1000000</f>
        <v>1.360019878388594</v>
      </c>
      <c r="O59" s="2569">
        <f>SUM(ACT.!F89,NSW.!F89,NT.!F89,Qld.!F89,SA.!F89,Tas.!F89,Vic.!F89,WA.!F89)/1000</f>
        <v>0.96589276807749458</v>
      </c>
      <c r="P59" s="1649">
        <f>O59-S59</f>
        <v>0.26813207482718071</v>
      </c>
      <c r="Q59" s="1649">
        <f>SUM(ACT.!F90,NSW.!F90,NT.!F90,Qld.!F90,SA.!F90,Tas.!F90,Vic.!F90,WA.!F90)/1000</f>
        <v>8.8011193831206768E-15</v>
      </c>
      <c r="R59" s="1649">
        <f>SUM(P59,Q59)</f>
        <v>0.26813207482718954</v>
      </c>
      <c r="S59" s="2569">
        <f>SUM(ACT.!F88,NSW.!F88,NT.!F88,Qld.!F88,SA.!F88,Tas.!F88,Vic.!F88,WA.!F88)/1000</f>
        <v>0.69776069325031387</v>
      </c>
      <c r="T59" s="2381">
        <f t="shared" si="49"/>
        <v>0.96589276807750335</v>
      </c>
      <c r="U59" s="2570" t="str">
        <f>IF(ROUND(SUM(D59:L59),0)=ROUND(H42/1000,0),"Ok","Error")</f>
        <v>Ok</v>
      </c>
      <c r="V59" s="75"/>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row>
    <row r="60" spans="1:54" s="76" customFormat="1" x14ac:dyDescent="0.2">
      <c r="A60" s="74"/>
      <c r="B60" s="1639"/>
      <c r="C60" s="1629" t="s">
        <v>116</v>
      </c>
      <c r="D60" s="81">
        <f>SUM(D58:D59)/SUM(D57:D59)</f>
        <v>0.69717105292346948</v>
      </c>
      <c r="E60" s="81">
        <f t="shared" ref="E60:L60" si="50">SUM(E58:E59)/SUM(E57:E59)</f>
        <v>0.88403038330599504</v>
      </c>
      <c r="F60" s="81">
        <f t="shared" si="50"/>
        <v>0.5130406014484139</v>
      </c>
      <c r="G60" s="81">
        <f t="shared" si="50"/>
        <v>0.6993667721080512</v>
      </c>
      <c r="H60" s="81">
        <f t="shared" si="50"/>
        <v>0.14380271655531601</v>
      </c>
      <c r="I60" s="81">
        <f t="shared" si="50"/>
        <v>0.56361274078905033</v>
      </c>
      <c r="J60" s="81">
        <f t="shared" si="50"/>
        <v>0.26489177309251977</v>
      </c>
      <c r="K60" s="81">
        <f t="shared" si="50"/>
        <v>0.54770514014798111</v>
      </c>
      <c r="L60" s="2132">
        <f t="shared" si="50"/>
        <v>0.4528694358589373</v>
      </c>
      <c r="M60" s="81">
        <f t="shared" ref="M60:T60" si="51">SUM(M58:M59)/SUM(M57:M59)</f>
        <v>0.5130406014484139</v>
      </c>
      <c r="N60" s="2132">
        <f t="shared" si="51"/>
        <v>0.58028984125544614</v>
      </c>
      <c r="O60" s="81">
        <f t="shared" si="51"/>
        <v>0.30359184294891595</v>
      </c>
      <c r="P60" s="81">
        <f t="shared" si="51"/>
        <v>0.34534926793023191</v>
      </c>
      <c r="Q60" s="81">
        <f t="shared" si="51"/>
        <v>0.94948420435413727</v>
      </c>
      <c r="R60" s="81">
        <f t="shared" si="51"/>
        <v>0.59129047649866817</v>
      </c>
      <c r="S60" s="81">
        <f t="shared" si="51"/>
        <v>0.28649223814099084</v>
      </c>
      <c r="T60" s="2132">
        <f t="shared" si="51"/>
        <v>0.41100757999041454</v>
      </c>
      <c r="U60" s="2571"/>
      <c r="V60" s="75"/>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row>
    <row r="61" spans="1:54" s="76" customFormat="1" x14ac:dyDescent="0.2">
      <c r="A61" s="74"/>
      <c r="B61" s="1640"/>
      <c r="C61" s="1634" t="s">
        <v>117</v>
      </c>
      <c r="D61" s="261">
        <f>SUM(D57:D59)</f>
        <v>17.151004334127833</v>
      </c>
      <c r="E61" s="1671">
        <f t="shared" ref="E61:K61" si="52">SUM(E57:E59)</f>
        <v>5.1678901541662023</v>
      </c>
      <c r="F61" s="261">
        <f t="shared" si="52"/>
        <v>12.80694826842727</v>
      </c>
      <c r="G61" s="1671">
        <f t="shared" si="52"/>
        <v>5.270231117960912</v>
      </c>
      <c r="H61" s="1671">
        <f t="shared" si="52"/>
        <v>2.5197078934223041</v>
      </c>
      <c r="I61" s="1671">
        <f t="shared" si="52"/>
        <v>1.0681406141450884</v>
      </c>
      <c r="J61" s="1671">
        <f t="shared" si="52"/>
        <v>2.1424664972721672</v>
      </c>
      <c r="K61" s="1671">
        <f t="shared" si="52"/>
        <v>7.0335646991303102</v>
      </c>
      <c r="L61" s="266">
        <f t="shared" ref="L61:T61" si="53">SUM(L57:L59)</f>
        <v>10.853562</v>
      </c>
      <c r="M61" s="261">
        <f t="shared" si="53"/>
        <v>12.80694826842727</v>
      </c>
      <c r="N61" s="266">
        <f t="shared" si="53"/>
        <v>15.038262584999689</v>
      </c>
      <c r="O61" s="1671">
        <f t="shared" si="53"/>
        <v>4.4120137203117933</v>
      </c>
      <c r="P61" s="1671">
        <f t="shared" si="53"/>
        <v>1.2818127468312404</v>
      </c>
      <c r="Q61" s="1671">
        <f t="shared" si="53"/>
        <v>0.88011193831206747</v>
      </c>
      <c r="R61" s="1671">
        <f t="shared" si="53"/>
        <v>2.1619246851433078</v>
      </c>
      <c r="S61" s="1671">
        <f t="shared" si="53"/>
        <v>3.1302009734805525</v>
      </c>
      <c r="T61" s="2378">
        <f t="shared" si="53"/>
        <v>5.2921256586238599</v>
      </c>
      <c r="U61" s="2571"/>
      <c r="V61" s="75"/>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row>
    <row r="62" spans="1:54" s="76" customFormat="1" x14ac:dyDescent="0.2">
      <c r="A62" s="74"/>
      <c r="B62" s="74"/>
      <c r="C62" s="2152" t="s">
        <v>1308</v>
      </c>
      <c r="D62" s="2309">
        <f>D61/Pop_Aus*1000000000</f>
        <v>726.30030670640122</v>
      </c>
      <c r="E62" s="2309">
        <f t="shared" ref="E62:M62" si="54">E61/Pop_Aus*1000000000</f>
        <v>218.84667106795263</v>
      </c>
      <c r="F62" s="2309">
        <f t="shared" si="54"/>
        <v>542.34086086858611</v>
      </c>
      <c r="G62" s="2309">
        <f t="shared" si="54"/>
        <v>223.18054399717934</v>
      </c>
      <c r="H62" s="2309">
        <f t="shared" si="54"/>
        <v>106.70305832537255</v>
      </c>
      <c r="I62" s="2309">
        <f t="shared" si="54"/>
        <v>45.232969483625993</v>
      </c>
      <c r="J62" s="2309">
        <f t="shared" si="54"/>
        <v>90.727868978530822</v>
      </c>
      <c r="K62" s="2309">
        <f t="shared" si="54"/>
        <v>297.85312269163035</v>
      </c>
      <c r="L62" s="2309">
        <f t="shared" si="54"/>
        <v>459.62004649320187</v>
      </c>
      <c r="M62" s="2309">
        <f t="shared" si="54"/>
        <v>542.34086086858611</v>
      </c>
      <c r="N62" s="2309">
        <f t="shared" ref="N62:T62" si="55">N61/Pop_Aus*1000000000</f>
        <v>636.83120329478334</v>
      </c>
      <c r="O62" s="2309">
        <f t="shared" si="55"/>
        <v>186.83727528882693</v>
      </c>
      <c r="P62" s="2309">
        <f t="shared" si="55"/>
        <v>54.281427083030756</v>
      </c>
      <c r="Q62" s="2309">
        <f t="shared" si="55"/>
        <v>37.270445408264536</v>
      </c>
      <c r="R62" s="2309">
        <f t="shared" si="55"/>
        <v>91.551872491295299</v>
      </c>
      <c r="S62" s="2309">
        <f t="shared" si="55"/>
        <v>132.55584820579614</v>
      </c>
      <c r="T62" s="2309">
        <f t="shared" si="55"/>
        <v>224.10772069709142</v>
      </c>
      <c r="U62" s="74"/>
      <c r="V62" s="75"/>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row>
    <row r="63" spans="1:54" s="76" customFormat="1" x14ac:dyDescent="0.2">
      <c r="A63" s="74"/>
      <c r="B63" s="74"/>
      <c r="C63" s="74"/>
      <c r="D63" s="74"/>
      <c r="E63" s="74"/>
      <c r="F63" s="74"/>
      <c r="G63" s="74"/>
      <c r="H63" s="74"/>
      <c r="I63" s="74"/>
      <c r="J63" s="74"/>
      <c r="K63" s="74"/>
      <c r="L63" s="74"/>
      <c r="M63" s="74"/>
      <c r="N63" s="74"/>
      <c r="O63" s="74"/>
      <c r="P63" s="74"/>
      <c r="Q63" s="74"/>
      <c r="R63" s="74"/>
      <c r="S63" s="74"/>
      <c r="T63" s="74"/>
      <c r="U63" s="74"/>
      <c r="V63" s="75"/>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row>
    <row r="64" spans="1:54" s="76" customFormat="1" x14ac:dyDescent="0.2">
      <c r="A64" s="74"/>
      <c r="B64" s="74"/>
      <c r="C64" s="74"/>
      <c r="D64" s="74"/>
      <c r="E64" s="74"/>
      <c r="F64" s="74"/>
      <c r="G64" s="74"/>
      <c r="H64" s="74"/>
      <c r="I64" s="74"/>
      <c r="J64" s="74"/>
      <c r="K64" s="74"/>
      <c r="L64" s="74"/>
      <c r="M64" s="74"/>
      <c r="N64" s="74"/>
      <c r="O64" s="74"/>
      <c r="P64" s="74"/>
      <c r="Q64" s="74"/>
      <c r="R64" s="74"/>
      <c r="S64" s="74"/>
      <c r="T64" s="74"/>
      <c r="U64" s="74"/>
      <c r="V64" s="75"/>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row>
    <row r="65" spans="1:51" s="76" customFormat="1" x14ac:dyDescent="0.2">
      <c r="A65" s="74"/>
      <c r="B65" s="74"/>
      <c r="C65" s="74"/>
      <c r="D65" s="74"/>
      <c r="E65" s="74"/>
      <c r="F65" s="74"/>
      <c r="G65" s="74"/>
      <c r="H65" s="74"/>
      <c r="I65" s="74"/>
      <c r="J65" s="74"/>
      <c r="K65" s="74"/>
      <c r="L65" s="74"/>
      <c r="M65" s="74"/>
      <c r="N65" s="74"/>
      <c r="O65" s="74"/>
      <c r="P65" s="74"/>
      <c r="Q65" s="74"/>
      <c r="R65" s="74"/>
      <c r="S65" s="74"/>
      <c r="T65" s="74"/>
      <c r="U65" s="74"/>
      <c r="V65" s="75"/>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row>
    <row r="66" spans="1:51" s="76" customFormat="1" x14ac:dyDescent="0.2">
      <c r="A66" s="74"/>
      <c r="B66" s="74"/>
      <c r="C66" s="74"/>
      <c r="D66" s="253"/>
      <c r="E66" s="74"/>
      <c r="F66" s="74"/>
      <c r="G66" s="74"/>
      <c r="H66" s="74"/>
      <c r="I66" s="74"/>
      <c r="J66" s="74"/>
      <c r="K66" s="74"/>
      <c r="L66" s="74"/>
      <c r="M66" s="74"/>
      <c r="N66" s="74"/>
      <c r="O66" s="74"/>
      <c r="P66" s="74"/>
      <c r="Q66" s="74"/>
      <c r="R66" s="74"/>
      <c r="S66" s="74"/>
      <c r="T66" s="74"/>
      <c r="U66" s="74"/>
      <c r="V66" s="75"/>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row>
    <row r="67" spans="1:51" s="76" customFormat="1" x14ac:dyDescent="0.2">
      <c r="A67" s="74"/>
      <c r="B67" s="74"/>
      <c r="C67" s="74"/>
      <c r="D67" s="1656"/>
      <c r="E67" s="1656"/>
      <c r="F67" s="74"/>
      <c r="G67" s="74"/>
      <c r="H67" s="74"/>
      <c r="I67" s="74"/>
      <c r="J67" s="74"/>
      <c r="K67" s="74"/>
      <c r="L67" s="74"/>
      <c r="M67" s="74"/>
      <c r="N67" s="74"/>
      <c r="O67" s="74"/>
      <c r="P67" s="74"/>
      <c r="Q67" s="74"/>
      <c r="R67" s="74"/>
      <c r="S67" s="74"/>
      <c r="T67" s="74"/>
      <c r="U67" s="74"/>
      <c r="V67" s="75"/>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row>
    <row r="68" spans="1:51" s="76" customFormat="1" x14ac:dyDescent="0.2">
      <c r="A68" s="74"/>
      <c r="B68" s="74"/>
      <c r="C68" s="74"/>
      <c r="D68" s="74"/>
      <c r="E68" s="74"/>
      <c r="F68" s="74"/>
      <c r="G68" s="74"/>
      <c r="H68" s="74"/>
      <c r="I68" s="74"/>
      <c r="J68" s="74"/>
      <c r="K68" s="74"/>
      <c r="L68" s="74"/>
      <c r="M68" s="74"/>
      <c r="N68" s="74"/>
      <c r="O68" s="74"/>
      <c r="P68" s="74"/>
      <c r="Q68" s="74"/>
      <c r="R68" s="74"/>
      <c r="S68" s="74"/>
      <c r="T68" s="74"/>
      <c r="U68" s="74"/>
      <c r="V68" s="75"/>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row>
    <row r="69" spans="1:51" s="76" customFormat="1" x14ac:dyDescent="0.2">
      <c r="A69" s="74"/>
      <c r="B69" s="74"/>
      <c r="C69" s="74"/>
      <c r="D69" s="74"/>
      <c r="E69" s="74"/>
      <c r="F69" s="74"/>
      <c r="G69" s="74"/>
      <c r="H69" s="74"/>
      <c r="I69" s="74"/>
      <c r="J69" s="74"/>
      <c r="K69" s="74"/>
      <c r="L69" s="74"/>
      <c r="M69" s="74"/>
      <c r="N69" s="74"/>
      <c r="O69" s="74"/>
      <c r="P69" s="74"/>
      <c r="Q69" s="74"/>
      <c r="R69" s="74"/>
      <c r="S69" s="74"/>
      <c r="T69" s="74"/>
      <c r="U69" s="74"/>
      <c r="V69" s="75"/>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row>
    <row r="70" spans="1:51" s="76" customFormat="1" x14ac:dyDescent="0.2">
      <c r="A70" s="74"/>
      <c r="B70" s="74"/>
      <c r="C70" s="74"/>
      <c r="D70" s="74"/>
      <c r="E70" s="74"/>
      <c r="F70" s="74"/>
      <c r="G70" s="74"/>
      <c r="H70" s="74"/>
      <c r="I70" s="74"/>
      <c r="J70" s="74"/>
      <c r="K70" s="74"/>
      <c r="L70" s="74"/>
      <c r="M70" s="74"/>
      <c r="N70" s="74"/>
      <c r="O70" s="74"/>
      <c r="P70" s="74"/>
      <c r="Q70" s="74"/>
      <c r="R70" s="74"/>
      <c r="S70" s="74"/>
      <c r="T70" s="74"/>
      <c r="U70" s="74"/>
      <c r="V70" s="75"/>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row>
    <row r="71" spans="1:51" s="76" customFormat="1" x14ac:dyDescent="0.2">
      <c r="A71" s="74"/>
      <c r="B71" s="74"/>
      <c r="C71" s="74"/>
      <c r="D71" s="74"/>
      <c r="E71" s="74"/>
      <c r="F71" s="74"/>
      <c r="G71" s="74"/>
      <c r="H71" s="74"/>
      <c r="I71" s="74"/>
      <c r="J71" s="74"/>
      <c r="K71" s="74"/>
      <c r="L71" s="74"/>
      <c r="M71" s="74"/>
      <c r="N71" s="74"/>
      <c r="O71" s="74"/>
      <c r="P71" s="74"/>
      <c r="Q71" s="74"/>
      <c r="R71" s="74"/>
      <c r="S71" s="74"/>
      <c r="T71" s="74"/>
      <c r="U71" s="74"/>
      <c r="V71" s="75"/>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row>
    <row r="72" spans="1:51" s="76" customFormat="1" x14ac:dyDescent="0.2">
      <c r="A72" s="74"/>
      <c r="B72" s="74"/>
      <c r="C72" s="1655" t="s">
        <v>1074</v>
      </c>
      <c r="D72" s="1659">
        <v>1</v>
      </c>
      <c r="E72" s="1659">
        <v>2</v>
      </c>
      <c r="F72" s="1659">
        <v>3</v>
      </c>
      <c r="G72" s="1659">
        <v>4</v>
      </c>
      <c r="H72" s="1659">
        <v>5</v>
      </c>
      <c r="I72" s="1659">
        <v>6</v>
      </c>
      <c r="J72" s="1659">
        <v>7</v>
      </c>
      <c r="K72" s="1659">
        <v>8</v>
      </c>
      <c r="L72" s="1659">
        <v>9</v>
      </c>
      <c r="M72" s="74"/>
      <c r="N72" s="74"/>
      <c r="O72" s="74"/>
      <c r="P72" s="74"/>
      <c r="Q72" s="74"/>
      <c r="R72" s="74"/>
      <c r="S72" s="74"/>
      <c r="T72" s="74"/>
      <c r="U72" s="74"/>
      <c r="V72" s="75"/>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row>
    <row r="73" spans="1:51" x14ac:dyDescent="0.2">
      <c r="C73" s="1663" t="s">
        <v>1079</v>
      </c>
      <c r="D73" s="2809" t="s">
        <v>1140</v>
      </c>
      <c r="E73" s="2809"/>
      <c r="F73" s="2809"/>
      <c r="G73" s="2809"/>
      <c r="H73" s="2809"/>
      <c r="I73" s="2809"/>
      <c r="J73" s="2809"/>
      <c r="K73" s="2809"/>
      <c r="L73" s="2809"/>
      <c r="M73" s="2809"/>
      <c r="N73" s="2809"/>
      <c r="O73" s="2809"/>
      <c r="P73" s="2809"/>
      <c r="Q73" s="2809"/>
    </row>
    <row r="74" spans="1:51" x14ac:dyDescent="0.2">
      <c r="C74" s="1663"/>
      <c r="D74" s="2809" t="s">
        <v>1139</v>
      </c>
      <c r="E74" s="2809"/>
      <c r="F74" s="2809"/>
      <c r="G74" s="2809"/>
      <c r="H74" s="2809"/>
      <c r="I74" s="2809"/>
      <c r="J74" s="2809"/>
      <c r="K74" s="2809"/>
      <c r="L74" s="2809"/>
      <c r="M74" s="2809"/>
      <c r="N74" s="2809"/>
      <c r="O74" s="2809"/>
      <c r="P74" s="2809"/>
      <c r="Q74" s="2809"/>
      <c r="V74" s="74"/>
    </row>
    <row r="75" spans="1:51" x14ac:dyDescent="0.2">
      <c r="C75" s="2147"/>
      <c r="D75" s="2809" t="s">
        <v>1141</v>
      </c>
      <c r="E75" s="2809"/>
      <c r="F75" s="2809"/>
      <c r="G75" s="2809"/>
      <c r="H75" s="2809"/>
      <c r="I75" s="2809"/>
      <c r="J75" s="2809"/>
      <c r="K75" s="2809"/>
      <c r="L75" s="2809"/>
      <c r="M75" s="2809"/>
      <c r="N75" s="2809"/>
      <c r="O75" s="2809"/>
      <c r="P75" s="2809"/>
      <c r="Q75" s="2809"/>
      <c r="R75" s="1664"/>
      <c r="S75" s="1664"/>
      <c r="T75" s="1664"/>
      <c r="U75" s="1664"/>
      <c r="V75" s="1664"/>
    </row>
    <row r="76" spans="1:51" ht="15" customHeight="1" x14ac:dyDescent="0.25">
      <c r="B76" s="2432" t="s">
        <v>1364</v>
      </c>
      <c r="C76" s="1632"/>
      <c r="D76" s="2292" t="s">
        <v>1080</v>
      </c>
      <c r="E76" s="2292"/>
      <c r="F76" s="2292"/>
      <c r="G76" s="2292"/>
      <c r="H76" s="2292"/>
      <c r="I76" s="2292"/>
      <c r="J76" s="2292"/>
      <c r="K76" s="2292"/>
      <c r="L76" s="2292"/>
      <c r="M76" s="2803" t="s">
        <v>1102</v>
      </c>
      <c r="N76" s="2805" t="s">
        <v>1103</v>
      </c>
      <c r="O76" s="1632"/>
      <c r="P76" s="1632"/>
      <c r="Q76" s="2293" t="s">
        <v>1301</v>
      </c>
      <c r="R76" s="2293"/>
      <c r="S76" s="2293"/>
      <c r="T76" s="2293"/>
      <c r="U76" s="2293"/>
      <c r="V76" s="2293"/>
      <c r="W76" s="2293"/>
      <c r="X76" s="2293"/>
      <c r="Y76" s="2294"/>
      <c r="Z76" s="2803" t="s">
        <v>1102</v>
      </c>
      <c r="AA76" s="2805" t="s">
        <v>1103</v>
      </c>
      <c r="AC76" s="2075" t="s">
        <v>1355</v>
      </c>
      <c r="AN76" s="2075" t="s">
        <v>1356</v>
      </c>
      <c r="AY76" s="2075" t="s">
        <v>1300</v>
      </c>
    </row>
    <row r="77" spans="1:51" ht="15.75" x14ac:dyDescent="0.25">
      <c r="B77" s="2436" t="s">
        <v>1335</v>
      </c>
      <c r="D77" s="1287" t="s">
        <v>1067</v>
      </c>
      <c r="E77" s="1287" t="s">
        <v>1068</v>
      </c>
      <c r="F77" s="1287" t="s">
        <v>1069</v>
      </c>
      <c r="G77" s="1287" t="s">
        <v>1070</v>
      </c>
      <c r="H77" s="1287" t="s">
        <v>1071</v>
      </c>
      <c r="I77" s="1287" t="s">
        <v>1072</v>
      </c>
      <c r="J77" s="1287" t="s">
        <v>1073</v>
      </c>
      <c r="K77" s="1287" t="s">
        <v>876</v>
      </c>
      <c r="L77" s="1287" t="s">
        <v>958</v>
      </c>
      <c r="M77" s="2804"/>
      <c r="N77" s="2806"/>
      <c r="O77" s="2295" t="s">
        <v>1150</v>
      </c>
      <c r="Q77" s="1287" t="s">
        <v>1067</v>
      </c>
      <c r="R77" s="1287" t="s">
        <v>1068</v>
      </c>
      <c r="S77" s="1287" t="s">
        <v>1069</v>
      </c>
      <c r="T77" s="1287" t="s">
        <v>1070</v>
      </c>
      <c r="U77" s="1287" t="s">
        <v>1071</v>
      </c>
      <c r="V77" s="1287" t="s">
        <v>1072</v>
      </c>
      <c r="W77" s="1287" t="s">
        <v>1073</v>
      </c>
      <c r="X77" s="1287" t="s">
        <v>876</v>
      </c>
      <c r="Y77" s="2296" t="s">
        <v>958</v>
      </c>
      <c r="Z77" s="2804"/>
      <c r="AA77" s="2806"/>
    </row>
    <row r="78" spans="1:51" x14ac:dyDescent="0.2">
      <c r="B78" s="1983" t="s">
        <v>3</v>
      </c>
      <c r="C78" s="1984" t="s">
        <v>113</v>
      </c>
      <c r="D78" s="2128">
        <v>0.16198037651605135</v>
      </c>
      <c r="E78" s="1651">
        <f>D78+(F78-D78)/($F$72-$D$72)</f>
        <v>0.16428820925795479</v>
      </c>
      <c r="F78" s="2128">
        <v>0.16659604199985825</v>
      </c>
      <c r="G78" s="2128">
        <v>0.15754858501082319</v>
      </c>
      <c r="H78" s="2128">
        <v>0.20829760050099916</v>
      </c>
      <c r="I78" s="1651">
        <f t="shared" ref="I78:J80" si="56">H78+($K78-$H78)/($K$72-$H$72)</f>
        <v>0.19067746807726596</v>
      </c>
      <c r="J78" s="1651">
        <f t="shared" si="56"/>
        <v>0.17305733565353276</v>
      </c>
      <c r="K78" s="2128">
        <v>0.15543720322979954</v>
      </c>
      <c r="L78" s="1660">
        <f>H8/1000</f>
        <v>0.19052274053777465</v>
      </c>
      <c r="M78" s="259">
        <f t="shared" ref="M78:M116" si="57">(L78-D78)/D78</f>
        <v>0.17620877686313388</v>
      </c>
      <c r="N78" s="2044">
        <f>(L78/D78)^(1/9)-1</f>
        <v>1.8196504490433529E-2</v>
      </c>
      <c r="O78" s="1632"/>
      <c r="P78" s="1631" t="s">
        <v>113</v>
      </c>
      <c r="Q78" s="2417">
        <f t="shared" ref="Q78:Y80" si="58">D78*1000000000/Q$82</f>
        <v>478.69229216785624</v>
      </c>
      <c r="R78" s="2417">
        <f t="shared" si="58"/>
        <v>477.33778432533001</v>
      </c>
      <c r="S78" s="2417">
        <f t="shared" si="58"/>
        <v>474.49606238620299</v>
      </c>
      <c r="T78" s="2417">
        <f t="shared" si="58"/>
        <v>440.25324222898735</v>
      </c>
      <c r="U78" s="2417">
        <f t="shared" si="58"/>
        <v>570.93958194845084</v>
      </c>
      <c r="V78" s="2417">
        <f t="shared" si="58"/>
        <v>513.80586804182599</v>
      </c>
      <c r="W78" s="2417">
        <f t="shared" si="58"/>
        <v>457.91207204971533</v>
      </c>
      <c r="X78" s="2417">
        <f t="shared" si="58"/>
        <v>405.5130396540647</v>
      </c>
      <c r="Y78" s="2420">
        <f t="shared" si="58"/>
        <v>491.36472328964788</v>
      </c>
      <c r="Z78" s="259">
        <f>(Y78-Q78)/Q78</f>
        <v>2.6473021039051921E-2</v>
      </c>
      <c r="AA78" s="2044">
        <f>(Y78/Q78)^(1/9)-1</f>
        <v>2.9074043987951104E-3</v>
      </c>
    </row>
    <row r="79" spans="1:51" ht="12.75" customHeight="1" x14ac:dyDescent="0.2">
      <c r="B79" s="1985"/>
      <c r="C79" s="1986" t="s">
        <v>114</v>
      </c>
      <c r="D79" s="2129">
        <v>0.52356769459413444</v>
      </c>
      <c r="E79" s="1650">
        <f>D79+(F79-D79)/($F$72-$D$72)</f>
        <v>0.53490822982416719</v>
      </c>
      <c r="F79" s="2129">
        <v>0.54624876505419984</v>
      </c>
      <c r="G79" s="2129">
        <v>0.54947832076082936</v>
      </c>
      <c r="H79" s="2129">
        <v>0.67030374680623528</v>
      </c>
      <c r="I79" s="1650">
        <f t="shared" si="56"/>
        <v>0.66949512936663669</v>
      </c>
      <c r="J79" s="1650">
        <f t="shared" si="56"/>
        <v>0.6686865119270381</v>
      </c>
      <c r="K79" s="2129">
        <v>0.66787789448743951</v>
      </c>
      <c r="L79" s="1635">
        <f t="shared" ref="L79:L80" si="59">H9/1000</f>
        <v>0.54713059214797033</v>
      </c>
      <c r="M79" s="1674">
        <f t="shared" si="57"/>
        <v>4.5004490913255576E-2</v>
      </c>
      <c r="N79" s="2045">
        <f>(L79/D79)^(1/9)-1</f>
        <v>4.9032242019457772E-3</v>
      </c>
      <c r="P79" s="1629" t="s">
        <v>114</v>
      </c>
      <c r="Q79" s="1630">
        <f t="shared" si="58"/>
        <v>1547.2727327897678</v>
      </c>
      <c r="R79" s="1630">
        <f t="shared" si="58"/>
        <v>1554.1706273074451</v>
      </c>
      <c r="S79" s="1630">
        <f t="shared" si="58"/>
        <v>1555.8166027843833</v>
      </c>
      <c r="T79" s="1630">
        <f t="shared" si="58"/>
        <v>1535.460392950378</v>
      </c>
      <c r="U79" s="1630">
        <f t="shared" si="58"/>
        <v>1837.2892441370034</v>
      </c>
      <c r="V79" s="1630">
        <f t="shared" si="58"/>
        <v>1804.0439154279527</v>
      </c>
      <c r="W79" s="1630">
        <f t="shared" si="58"/>
        <v>1769.3536368850018</v>
      </c>
      <c r="X79" s="1630">
        <f t="shared" si="58"/>
        <v>1742.3962184327033</v>
      </c>
      <c r="Y79" s="2418">
        <f t="shared" si="58"/>
        <v>1411.0686800706922</v>
      </c>
      <c r="Z79" s="1674">
        <f>(Y79-Q79)/Q79</f>
        <v>-8.8028470891163876E-2</v>
      </c>
      <c r="AA79" s="2045">
        <f>(Y79/Q79)^(1/9)-1</f>
        <v>-1.0186265802660577E-2</v>
      </c>
    </row>
    <row r="80" spans="1:51" x14ac:dyDescent="0.2">
      <c r="B80" s="1985"/>
      <c r="C80" s="1986" t="s">
        <v>38</v>
      </c>
      <c r="D80" s="2129">
        <v>4.4419186610519842E-2</v>
      </c>
      <c r="E80" s="1650">
        <f>D80+(F80-D80)/($F$72-$D$72)</f>
        <v>4.0076291378200082E-2</v>
      </c>
      <c r="F80" s="2129">
        <v>3.5733396145880315E-2</v>
      </c>
      <c r="G80" s="2129">
        <v>3.4052892999367777E-2</v>
      </c>
      <c r="H80" s="2129">
        <v>3.4070796741938109E-2</v>
      </c>
      <c r="I80" s="1650">
        <f t="shared" si="56"/>
        <v>3.5688461309492492E-2</v>
      </c>
      <c r="J80" s="1650">
        <f t="shared" si="56"/>
        <v>3.7306125877046875E-2</v>
      </c>
      <c r="K80" s="2129">
        <v>3.8923790444601251E-2</v>
      </c>
      <c r="L80" s="1635">
        <f t="shared" si="59"/>
        <v>3.7002985953945175E-2</v>
      </c>
      <c r="M80" s="1674">
        <f t="shared" si="57"/>
        <v>-0.16695939800973936</v>
      </c>
      <c r="N80" s="2045">
        <f>(L80/D80)^(1/9)-1</f>
        <v>-2.0092391161803058E-2</v>
      </c>
      <c r="P80" s="1629" t="s">
        <v>38</v>
      </c>
      <c r="Q80" s="1630">
        <f t="shared" si="58"/>
        <v>131.26974212653738</v>
      </c>
      <c r="R80" s="1630">
        <f t="shared" si="58"/>
        <v>116.44127242515482</v>
      </c>
      <c r="S80" s="1630">
        <f t="shared" si="58"/>
        <v>101.7752616651058</v>
      </c>
      <c r="T80" s="1630">
        <f t="shared" si="58"/>
        <v>95.157290998319951</v>
      </c>
      <c r="U80" s="1630">
        <f t="shared" si="58"/>
        <v>93.387376531010375</v>
      </c>
      <c r="V80" s="1630">
        <f t="shared" si="58"/>
        <v>96.167318703699436</v>
      </c>
      <c r="W80" s="1630">
        <f t="shared" si="58"/>
        <v>98.712518229835069</v>
      </c>
      <c r="X80" s="1630">
        <f t="shared" si="58"/>
        <v>101.54650399050703</v>
      </c>
      <c r="Y80" s="2418">
        <f t="shared" si="58"/>
        <v>95.431977845952147</v>
      </c>
      <c r="Z80" s="1674">
        <f>(Y80-Q80)/Q80</f>
        <v>-0.27300856770206378</v>
      </c>
      <c r="AA80" s="2045">
        <f>(Y80/Q80)^(1/9)-1</f>
        <v>-3.4806550409072212E-2</v>
      </c>
    </row>
    <row r="81" spans="1:50" x14ac:dyDescent="0.2">
      <c r="B81" s="1985"/>
      <c r="C81" s="1986" t="s">
        <v>117</v>
      </c>
      <c r="D81" s="1657">
        <f>SUM(D78:D80)</f>
        <v>0.72996725772070559</v>
      </c>
      <c r="E81" s="1657">
        <f>SUM(E78:E80)</f>
        <v>0.73927273046032205</v>
      </c>
      <c r="F81" s="1657">
        <f>SUM(F78:F80)</f>
        <v>0.7485782031999384</v>
      </c>
      <c r="G81" s="1657">
        <f t="shared" ref="G81:K81" si="60">SUM(G78:G80)</f>
        <v>0.74107979877102026</v>
      </c>
      <c r="H81" s="1657">
        <f t="shared" si="60"/>
        <v>0.91267214404917263</v>
      </c>
      <c r="I81" s="1657">
        <f t="shared" si="60"/>
        <v>0.89586105875339506</v>
      </c>
      <c r="J81" s="1657">
        <f t="shared" si="60"/>
        <v>0.87904997345761771</v>
      </c>
      <c r="K81" s="1657">
        <f t="shared" si="60"/>
        <v>0.86223888816184024</v>
      </c>
      <c r="L81" s="1657">
        <f>SUM(L78:L80)</f>
        <v>0.77465631863969009</v>
      </c>
      <c r="M81" s="1674">
        <f t="shared" si="57"/>
        <v>6.1220637564655102E-2</v>
      </c>
      <c r="N81" s="2045">
        <f>(L81/D81)^(1/9)-1</f>
        <v>6.6240415005101028E-3</v>
      </c>
      <c r="P81" s="1629" t="s">
        <v>117</v>
      </c>
      <c r="Q81" s="253">
        <f t="shared" ref="Q81:X81" si="61">SUM(Q78:Q80)</f>
        <v>2157.2347670841614</v>
      </c>
      <c r="R81" s="253">
        <f t="shared" si="61"/>
        <v>2147.94968405793</v>
      </c>
      <c r="S81" s="253">
        <f t="shared" si="61"/>
        <v>2132.0879268356921</v>
      </c>
      <c r="T81" s="253">
        <f t="shared" si="61"/>
        <v>2070.8709261776853</v>
      </c>
      <c r="U81" s="253">
        <f t="shared" si="61"/>
        <v>2501.6162026164648</v>
      </c>
      <c r="V81" s="253">
        <f t="shared" si="61"/>
        <v>2414.0171021734782</v>
      </c>
      <c r="W81" s="253">
        <f t="shared" si="61"/>
        <v>2325.9782271645522</v>
      </c>
      <c r="X81" s="253">
        <f t="shared" si="61"/>
        <v>2249.4557620772753</v>
      </c>
      <c r="Y81" s="254">
        <f>SUM(Y78:Y80)</f>
        <v>1997.8653812062921</v>
      </c>
      <c r="Z81" s="1674">
        <f>(Y81-Q81)/Q81</f>
        <v>-7.3876700074365018E-2</v>
      </c>
      <c r="AA81" s="2045">
        <f>(Y81/Q81)^(1/9)-1</f>
        <v>-8.4912880623752018E-3</v>
      </c>
    </row>
    <row r="82" spans="1:50" x14ac:dyDescent="0.2">
      <c r="B82" s="1987"/>
      <c r="C82" s="1986" t="s">
        <v>116</v>
      </c>
      <c r="D82" s="81">
        <f>SUM(D79:D80)/D81</f>
        <v>0.77809912047037733</v>
      </c>
      <c r="E82" s="81">
        <f>SUM(E79:E80)/E81</f>
        <v>0.77777049999442349</v>
      </c>
      <c r="F82" s="81">
        <f>SUM(F79:F80)/F81</f>
        <v>0.77745004959039399</v>
      </c>
      <c r="G82" s="81">
        <f t="shared" ref="G82:K82" si="62">SUM(G79:G80)/G81</f>
        <v>0.78740672020463121</v>
      </c>
      <c r="H82" s="81">
        <f t="shared" si="62"/>
        <v>0.77177171248279419</v>
      </c>
      <c r="I82" s="81">
        <f t="shared" si="62"/>
        <v>0.78715732064233646</v>
      </c>
      <c r="J82" s="81">
        <f t="shared" si="62"/>
        <v>0.80313140221956159</v>
      </c>
      <c r="K82" s="81">
        <f t="shared" si="62"/>
        <v>0.81972837764118067</v>
      </c>
      <c r="L82" s="81">
        <f>SUM(L79:L80)/L81</f>
        <v>0.75405513909402322</v>
      </c>
      <c r="M82" s="1674">
        <f>L82-D82</f>
        <v>-2.4043981376354107E-2</v>
      </c>
      <c r="N82" s="2046"/>
      <c r="O82" s="1633"/>
      <c r="P82" s="1629" t="s">
        <v>1075</v>
      </c>
      <c r="Q82" s="2528">
        <v>338381</v>
      </c>
      <c r="R82" s="2528">
        <v>344176</v>
      </c>
      <c r="S82" s="2528">
        <v>351101</v>
      </c>
      <c r="T82" s="2528">
        <v>357859</v>
      </c>
      <c r="U82" s="2528">
        <v>364833</v>
      </c>
      <c r="V82" s="2528">
        <v>371108</v>
      </c>
      <c r="W82" s="2528">
        <v>377927</v>
      </c>
      <c r="X82" s="2528">
        <v>383310</v>
      </c>
      <c r="Y82" s="2529">
        <v>387742</v>
      </c>
      <c r="Z82" s="1639"/>
      <c r="AA82" s="2046"/>
    </row>
    <row r="83" spans="1:50" x14ac:dyDescent="0.2">
      <c r="B83" s="1991" t="s">
        <v>4</v>
      </c>
      <c r="C83" s="1992" t="s">
        <v>113</v>
      </c>
      <c r="D83" s="2128">
        <v>8.1342900647936478</v>
      </c>
      <c r="E83" s="1651">
        <f>D83+(F83-D83)/($F$72-$D$72)</f>
        <v>8.6805922157620881</v>
      </c>
      <c r="F83" s="2128">
        <v>9.2268943667305283</v>
      </c>
      <c r="G83" s="2128">
        <v>7.6143942826742785</v>
      </c>
      <c r="H83" s="2128">
        <v>6.3756450529775233</v>
      </c>
      <c r="I83" s="1651">
        <f t="shared" ref="I83:J85" si="63">H83+($K83-$H83)/($K$72-$H$72)</f>
        <v>6.3200813393205024</v>
      </c>
      <c r="J83" s="1651">
        <f t="shared" si="63"/>
        <v>6.2645176256634816</v>
      </c>
      <c r="K83" s="2128">
        <v>6.2089539120064599</v>
      </c>
      <c r="L83" s="1660">
        <f>H12/1000</f>
        <v>6.6814926101128975</v>
      </c>
      <c r="M83" s="259">
        <f t="shared" si="57"/>
        <v>-0.17860162879716598</v>
      </c>
      <c r="N83" s="2044">
        <f>(L83/D83)^(1/9)-1</f>
        <v>-2.1623569255956543E-2</v>
      </c>
      <c r="O83" s="1632"/>
      <c r="P83" s="1631" t="s">
        <v>113</v>
      </c>
      <c r="Q83" s="2417">
        <f t="shared" ref="Q83:Y85" si="64">D83*1000000000/Q$87</f>
        <v>1198.6587502790455</v>
      </c>
      <c r="R83" s="2417">
        <f t="shared" si="64"/>
        <v>1261.007967016445</v>
      </c>
      <c r="S83" s="2417">
        <f t="shared" si="64"/>
        <v>1317.7922944088416</v>
      </c>
      <c r="T83" s="2417">
        <f t="shared" si="64"/>
        <v>1072.2227689619378</v>
      </c>
      <c r="U83" s="2417">
        <f t="shared" si="64"/>
        <v>887.98632917651855</v>
      </c>
      <c r="V83" s="2417">
        <f t="shared" si="64"/>
        <v>870.34376749898672</v>
      </c>
      <c r="W83" s="2417">
        <f t="shared" si="64"/>
        <v>851.52172813955451</v>
      </c>
      <c r="X83" s="2417">
        <f t="shared" si="64"/>
        <v>832.34832179241357</v>
      </c>
      <c r="Y83" s="2420">
        <f t="shared" si="64"/>
        <v>883.25485094873136</v>
      </c>
      <c r="Z83" s="259">
        <f>(Y83-Q83)/Q83</f>
        <v>-0.26313068607465528</v>
      </c>
      <c r="AA83" s="2044">
        <f>(Y83/Q83)^(1/9)-1</f>
        <v>-3.3358118253359215E-2</v>
      </c>
    </row>
    <row r="84" spans="1:50" x14ac:dyDescent="0.2">
      <c r="B84" s="1993"/>
      <c r="C84" s="1994" t="s">
        <v>114</v>
      </c>
      <c r="D84" s="2129">
        <v>10.050209954740305</v>
      </c>
      <c r="E84" s="1650">
        <f>D84+(F84-D84)/($F$72-$D$72)</f>
        <v>10.800844956524275</v>
      </c>
      <c r="F84" s="2129">
        <v>11.551479958308244</v>
      </c>
      <c r="G84" s="2129">
        <v>12.089113211742943</v>
      </c>
      <c r="H84" s="2129">
        <v>12.397665845684534</v>
      </c>
      <c r="I84" s="1650">
        <f>H84+($L84-$H84)/($L$72-$H$72)</f>
        <v>12.162981458821834</v>
      </c>
      <c r="J84" s="1650">
        <f>I84+($L84-$H84)/($L$72-$H$72)</f>
        <v>11.928297071959134</v>
      </c>
      <c r="K84" s="1650">
        <f>J84+($L84-$H84)/($L$72-$H$72)</f>
        <v>11.693612685096435</v>
      </c>
      <c r="L84" s="1635">
        <f>H13/1000</f>
        <v>11.458928298233735</v>
      </c>
      <c r="M84" s="1674">
        <f t="shared" si="57"/>
        <v>0.14016805119867076</v>
      </c>
      <c r="N84" s="2045">
        <f>(L84/D84)^(1/9)-1</f>
        <v>1.4681808187205991E-2</v>
      </c>
      <c r="P84" s="1629" t="s">
        <v>114</v>
      </c>
      <c r="Q84" s="1630">
        <f t="shared" si="64"/>
        <v>1480.9862948619402</v>
      </c>
      <c r="R84" s="1630">
        <f t="shared" si="64"/>
        <v>1569.011791148949</v>
      </c>
      <c r="S84" s="1630">
        <f t="shared" si="64"/>
        <v>1649.7914328535571</v>
      </c>
      <c r="T84" s="1630">
        <f t="shared" si="64"/>
        <v>1702.3313951161533</v>
      </c>
      <c r="U84" s="1630">
        <f t="shared" si="64"/>
        <v>1726.7206209237067</v>
      </c>
      <c r="V84" s="1630">
        <f t="shared" si="64"/>
        <v>1674.974504051155</v>
      </c>
      <c r="W84" s="1630">
        <f t="shared" si="64"/>
        <v>1621.3864727375351</v>
      </c>
      <c r="X84" s="1630">
        <f t="shared" si="64"/>
        <v>1567.6004415670027</v>
      </c>
      <c r="Y84" s="2418">
        <f t="shared" si="64"/>
        <v>1514.8043403908844</v>
      </c>
      <c r="Z84" s="1674">
        <f>(Y84-Q84)/Q84</f>
        <v>2.2834813290488087E-2</v>
      </c>
      <c r="AA84" s="2045">
        <f>(Y84/Q84)^(1/9)-1</f>
        <v>2.5118161260819782E-3</v>
      </c>
    </row>
    <row r="85" spans="1:50" x14ac:dyDescent="0.2">
      <c r="B85" s="1993"/>
      <c r="C85" s="1994" t="s">
        <v>38</v>
      </c>
      <c r="D85" s="2129">
        <v>0.42137103007476745</v>
      </c>
      <c r="E85" s="1650">
        <f>D85+(F85-D85)/($F$72-$D$72)</f>
        <v>0.46283253754276654</v>
      </c>
      <c r="F85" s="2129">
        <v>0.50429404501076569</v>
      </c>
      <c r="G85" s="2129">
        <v>0.78893446894330199</v>
      </c>
      <c r="H85" s="2129">
        <v>0.73023872511197774</v>
      </c>
      <c r="I85" s="1650">
        <f t="shared" si="63"/>
        <v>0.74855950700254681</v>
      </c>
      <c r="J85" s="1650">
        <f t="shared" si="63"/>
        <v>0.76688028889311588</v>
      </c>
      <c r="K85" s="2129">
        <v>0.78520107078368506</v>
      </c>
      <c r="L85" s="1635">
        <f>H14/1000</f>
        <v>0.82076066229394617</v>
      </c>
      <c r="M85" s="1674">
        <f t="shared" si="57"/>
        <v>0.94783362811703409</v>
      </c>
      <c r="N85" s="2045">
        <f>(L85/D85)^(1/9)-1</f>
        <v>7.6892689655238877E-2</v>
      </c>
      <c r="P85" s="1629" t="s">
        <v>38</v>
      </c>
      <c r="Q85" s="1630">
        <f t="shared" si="64"/>
        <v>62.092704869140647</v>
      </c>
      <c r="R85" s="1630">
        <f t="shared" si="64"/>
        <v>67.23452763696352</v>
      </c>
      <c r="S85" s="1630">
        <f t="shared" si="64"/>
        <v>72.023671261225459</v>
      </c>
      <c r="T85" s="1630">
        <f t="shared" si="64"/>
        <v>111.09399768602567</v>
      </c>
      <c r="U85" s="1630">
        <f t="shared" si="64"/>
        <v>101.70610182131981</v>
      </c>
      <c r="V85" s="1630">
        <f t="shared" si="64"/>
        <v>103.08476529699641</v>
      </c>
      <c r="W85" s="1630">
        <f t="shared" si="64"/>
        <v>104.24030514324961</v>
      </c>
      <c r="X85" s="1630">
        <f t="shared" si="64"/>
        <v>105.26101543008626</v>
      </c>
      <c r="Y85" s="2418">
        <f t="shared" si="64"/>
        <v>108.49983360630732</v>
      </c>
      <c r="Z85" s="1674">
        <f>(Y85-Q85)/Q85</f>
        <v>0.74738455725143449</v>
      </c>
      <c r="AA85" s="2045">
        <f>(Y85/Q85)^(1/9)-1</f>
        <v>6.3976546507663379E-2</v>
      </c>
    </row>
    <row r="86" spans="1:50" x14ac:dyDescent="0.2">
      <c r="B86" s="1993"/>
      <c r="C86" s="1994" t="s">
        <v>117</v>
      </c>
      <c r="D86" s="1657">
        <f t="shared" ref="D86:L86" si="65">SUM(D83:D85)</f>
        <v>18.605871049608719</v>
      </c>
      <c r="E86" s="1657">
        <f t="shared" si="65"/>
        <v>19.944269709829129</v>
      </c>
      <c r="F86" s="1657">
        <f t="shared" si="65"/>
        <v>21.282668370049539</v>
      </c>
      <c r="G86" s="1657">
        <f t="shared" si="65"/>
        <v>20.492441963360523</v>
      </c>
      <c r="H86" s="1657">
        <f t="shared" si="65"/>
        <v>19.503549623774035</v>
      </c>
      <c r="I86" s="1657">
        <f t="shared" si="65"/>
        <v>19.231622305144882</v>
      </c>
      <c r="J86" s="1657">
        <f t="shared" si="65"/>
        <v>18.959694986515732</v>
      </c>
      <c r="K86" s="1657">
        <f t="shared" si="65"/>
        <v>18.687767667886579</v>
      </c>
      <c r="L86" s="1657">
        <f t="shared" si="65"/>
        <v>18.96118157064058</v>
      </c>
      <c r="M86" s="1674">
        <f t="shared" si="57"/>
        <v>1.9096688356298842E-2</v>
      </c>
      <c r="N86" s="2045">
        <f>(L86/D86)^(1/9)-1</f>
        <v>2.1040587950469369E-3</v>
      </c>
      <c r="P86" s="1629" t="s">
        <v>117</v>
      </c>
      <c r="Q86" s="253">
        <f>SUM(Q83:Q85)</f>
        <v>2741.7377500101261</v>
      </c>
      <c r="R86" s="253">
        <f>SUM(R83:R85)</f>
        <v>2897.2542858023571</v>
      </c>
      <c r="S86" s="253">
        <f>SUM(S83:S85)</f>
        <v>3039.6073985236239</v>
      </c>
      <c r="T86" s="253">
        <f>SUM(T83:T85)</f>
        <v>2885.648161764117</v>
      </c>
      <c r="U86" s="253">
        <f>SUM(U83:U85)</f>
        <v>2716.413051921545</v>
      </c>
      <c r="V86" s="253">
        <f>I86*1000000000/V$87</f>
        <v>2648.4030368471381</v>
      </c>
      <c r="W86" s="253">
        <f>J86*1000000000/W$87</f>
        <v>2577.148506020339</v>
      </c>
      <c r="X86" s="253">
        <f>K86*1000000000/X$87</f>
        <v>2505.2097787895023</v>
      </c>
      <c r="Y86" s="254">
        <f>L86*1000000000/Y$87</f>
        <v>2506.5590249459233</v>
      </c>
      <c r="Z86" s="1674">
        <f>(Y86-Q86)/Q86</f>
        <v>-8.5777250236035232E-2</v>
      </c>
      <c r="AA86" s="2045">
        <f>(Y86/Q86)^(1/9)-1</f>
        <v>-9.9150769986103837E-3</v>
      </c>
    </row>
    <row r="87" spans="1:50" x14ac:dyDescent="0.2">
      <c r="B87" s="1995"/>
      <c r="C87" s="1996" t="s">
        <v>116</v>
      </c>
      <c r="D87" s="81">
        <f t="shared" ref="D87:L87" si="66">SUM(D84:D85)/D86</f>
        <v>0.56281057505422682</v>
      </c>
      <c r="E87" s="81">
        <f t="shared" si="66"/>
        <v>0.56475757989353537</v>
      </c>
      <c r="F87" s="81">
        <f t="shared" si="66"/>
        <v>0.56645970297055137</v>
      </c>
      <c r="G87" s="81">
        <f t="shared" si="66"/>
        <v>0.62842914005620021</v>
      </c>
      <c r="H87" s="81">
        <f t="shared" si="66"/>
        <v>0.67310334908442149</v>
      </c>
      <c r="I87" s="81">
        <f t="shared" si="66"/>
        <v>0.67137034832315001</v>
      </c>
      <c r="J87" s="81">
        <f t="shared" si="66"/>
        <v>0.66958763682016775</v>
      </c>
      <c r="K87" s="81">
        <f t="shared" si="66"/>
        <v>0.66775304453960838</v>
      </c>
      <c r="L87" s="81">
        <f t="shared" si="66"/>
        <v>0.64762256058670431</v>
      </c>
      <c r="M87" s="1674">
        <f>L87-D87</f>
        <v>8.4811985532477485E-2</v>
      </c>
      <c r="N87" s="2047"/>
      <c r="O87" s="1633"/>
      <c r="P87" s="1629" t="s">
        <v>1075</v>
      </c>
      <c r="Q87" s="2528">
        <v>6786160</v>
      </c>
      <c r="R87" s="2528">
        <v>6883852</v>
      </c>
      <c r="S87" s="2528">
        <v>7001782</v>
      </c>
      <c r="T87" s="2528">
        <v>7101504</v>
      </c>
      <c r="U87" s="2528">
        <v>7179891</v>
      </c>
      <c r="V87" s="2528">
        <v>7261592</v>
      </c>
      <c r="W87" s="2528">
        <v>7356850</v>
      </c>
      <c r="X87" s="2528">
        <v>7459562</v>
      </c>
      <c r="Y87" s="2529">
        <v>7564626</v>
      </c>
      <c r="Z87" s="1640"/>
      <c r="AA87" s="2047"/>
    </row>
    <row r="88" spans="1:50" s="76" customFormat="1" x14ac:dyDescent="0.2">
      <c r="A88" s="74"/>
      <c r="B88" s="2000" t="s">
        <v>5</v>
      </c>
      <c r="C88" s="2001" t="s">
        <v>113</v>
      </c>
      <c r="D88" s="2128">
        <v>0.26498030173416509</v>
      </c>
      <c r="E88" s="1651">
        <f>D88+(F88-D88)/($F$72-$D$72)</f>
        <v>0.26791349622582222</v>
      </c>
      <c r="F88" s="2128">
        <v>0.27084669071747935</v>
      </c>
      <c r="G88" s="2128">
        <v>0.27724522865507673</v>
      </c>
      <c r="H88" s="2128">
        <v>0.28917683592812593</v>
      </c>
      <c r="I88" s="1651">
        <f t="shared" ref="I88:J90" si="67">H88+($K88-$H88)/($K$72-$H$72)</f>
        <v>0.34694582453918948</v>
      </c>
      <c r="J88" s="1651">
        <f t="shared" si="67"/>
        <v>0.40471481315025304</v>
      </c>
      <c r="K88" s="2128">
        <v>0.46248380176131665</v>
      </c>
      <c r="L88" s="1660">
        <f>H16/1000</f>
        <v>0.36759793527423562</v>
      </c>
      <c r="M88" s="259">
        <f t="shared" si="57"/>
        <v>0.38726513959146713</v>
      </c>
      <c r="N88" s="2045">
        <f>(L88/D88)^(1/9)-1</f>
        <v>3.7039973700794926E-2</v>
      </c>
      <c r="P88" s="1631" t="s">
        <v>113</v>
      </c>
      <c r="Q88" s="2417">
        <f t="shared" ref="Q88:Y90" si="68">D88*1000000000/Q$92</f>
        <v>1255.65823528598</v>
      </c>
      <c r="R88" s="2417">
        <f t="shared" si="68"/>
        <v>1236.8016334091451</v>
      </c>
      <c r="S88" s="2417">
        <f t="shared" si="68"/>
        <v>1217.1462692785533</v>
      </c>
      <c r="T88" s="2417">
        <f t="shared" si="68"/>
        <v>1217.1462692785535</v>
      </c>
      <c r="U88" s="2417">
        <f t="shared" si="68"/>
        <v>1255.65823528598</v>
      </c>
      <c r="V88" s="2417">
        <f t="shared" si="68"/>
        <v>1490.9383400265122</v>
      </c>
      <c r="W88" s="2417">
        <f t="shared" si="68"/>
        <v>1691.2869238269789</v>
      </c>
      <c r="X88" s="2417">
        <f t="shared" si="68"/>
        <v>1904.4794999230633</v>
      </c>
      <c r="Y88" s="2420">
        <f t="shared" si="68"/>
        <v>1511.5606057552936</v>
      </c>
      <c r="Z88" s="1674">
        <f>(Y88-Q88)/Q88</f>
        <v>0.20379938049865221</v>
      </c>
      <c r="AA88" s="2045">
        <f>(Y88/Q88)^(1/9)-1</f>
        <v>2.0823025314958832E-2</v>
      </c>
      <c r="AB88" s="74"/>
      <c r="AC88" s="74"/>
      <c r="AD88" s="74"/>
      <c r="AE88" s="74"/>
      <c r="AF88" s="74"/>
      <c r="AG88" s="74"/>
      <c r="AH88" s="74"/>
      <c r="AI88" s="74"/>
      <c r="AJ88" s="74"/>
      <c r="AK88" s="74"/>
      <c r="AL88" s="74"/>
      <c r="AM88" s="74"/>
      <c r="AN88" s="74"/>
      <c r="AO88" s="74"/>
      <c r="AP88" s="74"/>
      <c r="AQ88" s="74"/>
      <c r="AR88" s="74"/>
      <c r="AS88" s="74"/>
      <c r="AT88" s="74"/>
      <c r="AU88" s="74"/>
      <c r="AV88" s="74"/>
      <c r="AW88" s="74"/>
      <c r="AX88" s="74"/>
    </row>
    <row r="89" spans="1:50" x14ac:dyDescent="0.2">
      <c r="B89" s="2002"/>
      <c r="C89" s="2001" t="s">
        <v>114</v>
      </c>
      <c r="D89" s="2129">
        <v>2.8067260578728149E-2</v>
      </c>
      <c r="E89" s="1650">
        <f>D89+(F89-D89)/($F$72-$D$72)</f>
        <v>2.883182207234665E-2</v>
      </c>
      <c r="F89" s="2129">
        <v>2.9596383565965154E-2</v>
      </c>
      <c r="G89" s="2129">
        <v>3.029557461962306E-2</v>
      </c>
      <c r="H89" s="2129">
        <v>3.0630207431303347E-2</v>
      </c>
      <c r="I89" s="1650">
        <f t="shared" si="67"/>
        <v>3.9097906907077387E-2</v>
      </c>
      <c r="J89" s="1650">
        <f t="shared" si="67"/>
        <v>4.7565606382851428E-2</v>
      </c>
      <c r="K89" s="2129">
        <v>5.6033305858625468E-2</v>
      </c>
      <c r="L89" s="1635">
        <f>H17/1000</f>
        <v>0.1288763836096127</v>
      </c>
      <c r="M89" s="1674">
        <f t="shared" si="57"/>
        <v>3.5916979766556421</v>
      </c>
      <c r="N89" s="2045">
        <f>(L89/D89)^(1/9)-1</f>
        <v>0.18454779997074922</v>
      </c>
      <c r="P89" s="1629" t="s">
        <v>114</v>
      </c>
      <c r="Q89" s="1630">
        <f t="shared" si="68"/>
        <v>133.0019124325479</v>
      </c>
      <c r="R89" s="1630">
        <f t="shared" si="68"/>
        <v>133.09984429893476</v>
      </c>
      <c r="S89" s="1630">
        <f t="shared" si="68"/>
        <v>133.0019124325479</v>
      </c>
      <c r="T89" s="1630">
        <f t="shared" si="68"/>
        <v>133.00191243254793</v>
      </c>
      <c r="U89" s="1630">
        <f t="shared" si="68"/>
        <v>133.0019124325479</v>
      </c>
      <c r="V89" s="1630">
        <f t="shared" si="68"/>
        <v>168.01634232080113</v>
      </c>
      <c r="W89" s="1630">
        <f t="shared" si="68"/>
        <v>198.77475566813806</v>
      </c>
      <c r="X89" s="1630">
        <f t="shared" si="68"/>
        <v>230.74166471184924</v>
      </c>
      <c r="Y89" s="2418">
        <f t="shared" si="68"/>
        <v>529.93895172770658</v>
      </c>
      <c r="Z89" s="1674">
        <f>(Y89-Q89)/Q89</f>
        <v>2.9844461033330316</v>
      </c>
      <c r="AA89" s="2045">
        <f>(Y89/Q89)^(1/9)-1</f>
        <v>0.16602416441200685</v>
      </c>
    </row>
    <row r="90" spans="1:50" x14ac:dyDescent="0.2">
      <c r="B90" s="2002"/>
      <c r="C90" s="2001" t="s">
        <v>38</v>
      </c>
      <c r="D90" s="2129">
        <v>1.42430458063234E-2</v>
      </c>
      <c r="E90" s="1650">
        <f>D90+(F90-D90)/($F$72-$D$72)</f>
        <v>1.7978514666343336E-2</v>
      </c>
      <c r="F90" s="2129">
        <v>2.1713983526363268E-2</v>
      </c>
      <c r="G90" s="2129">
        <v>2.2762650569920523E-2</v>
      </c>
      <c r="H90" s="2129">
        <v>1.6973957470409265E-2</v>
      </c>
      <c r="I90" s="1650">
        <f t="shared" si="67"/>
        <v>1.6926727485045041E-2</v>
      </c>
      <c r="J90" s="1650">
        <f t="shared" si="67"/>
        <v>1.6879497499680818E-2</v>
      </c>
      <c r="K90" s="2129">
        <v>1.6832267514316598E-2</v>
      </c>
      <c r="L90" s="1635">
        <f>H18/1000</f>
        <v>1.4043853522580496E-2</v>
      </c>
      <c r="M90" s="1674">
        <f t="shared" si="57"/>
        <v>-1.3985230859432402E-2</v>
      </c>
      <c r="N90" s="2045">
        <f>(L90/D90)^(1/9)-1</f>
        <v>-1.5636590589790389E-3</v>
      </c>
      <c r="P90" s="1629" t="s">
        <v>38</v>
      </c>
      <c r="Q90" s="1630">
        <f t="shared" si="68"/>
        <v>67.493310428061548</v>
      </c>
      <c r="R90" s="1630">
        <f t="shared" si="68"/>
        <v>82.996402267324669</v>
      </c>
      <c r="S90" s="1630">
        <f t="shared" si="68"/>
        <v>97.579534644775293</v>
      </c>
      <c r="T90" s="1630">
        <f t="shared" si="68"/>
        <v>99.931296760164372</v>
      </c>
      <c r="U90" s="1630">
        <f t="shared" si="68"/>
        <v>73.703999888880404</v>
      </c>
      <c r="V90" s="1630">
        <f t="shared" si="68"/>
        <v>72.739618677219639</v>
      </c>
      <c r="W90" s="1630">
        <f t="shared" si="68"/>
        <v>70.538741045244834</v>
      </c>
      <c r="X90" s="1630">
        <f t="shared" si="68"/>
        <v>69.314229592804296</v>
      </c>
      <c r="Y90" s="2418">
        <f t="shared" si="68"/>
        <v>57.748245299293544</v>
      </c>
      <c r="Z90" s="1674">
        <f>(Y90-Q90)/Q90</f>
        <v>-0.14438564454702343</v>
      </c>
      <c r="AA90" s="2045">
        <f>(Y90/Q90)^(1/9)-1</f>
        <v>-1.7176934360028429E-2</v>
      </c>
    </row>
    <row r="91" spans="1:50" x14ac:dyDescent="0.2">
      <c r="B91" s="2002"/>
      <c r="C91" s="2001" t="s">
        <v>117</v>
      </c>
      <c r="D91" s="1657">
        <f t="shared" ref="D91:L91" si="69">SUM(D88:D90)</f>
        <v>0.30729060811921666</v>
      </c>
      <c r="E91" s="1657">
        <f t="shared" si="69"/>
        <v>0.31472383296451217</v>
      </c>
      <c r="F91" s="1657">
        <f t="shared" si="69"/>
        <v>0.3221570578098078</v>
      </c>
      <c r="G91" s="1657">
        <f t="shared" si="69"/>
        <v>0.33030345384462034</v>
      </c>
      <c r="H91" s="1657">
        <f t="shared" si="69"/>
        <v>0.33678100082983853</v>
      </c>
      <c r="I91" s="1657">
        <f t="shared" si="69"/>
        <v>0.40297045893131189</v>
      </c>
      <c r="J91" s="1657">
        <f t="shared" si="69"/>
        <v>0.46915991703278531</v>
      </c>
      <c r="K91" s="1657">
        <f t="shared" si="69"/>
        <v>0.53534937513425862</v>
      </c>
      <c r="L91" s="1657">
        <f t="shared" si="69"/>
        <v>0.51051817240642883</v>
      </c>
      <c r="M91" s="1674">
        <f t="shared" si="57"/>
        <v>0.66135299588579644</v>
      </c>
      <c r="N91" s="2045">
        <f>(L91/D91)^(1/9)-1</f>
        <v>5.8024607864611388E-2</v>
      </c>
      <c r="P91" s="1629" t="s">
        <v>117</v>
      </c>
      <c r="Q91" s="253">
        <f t="shared" ref="Q91:Y91" si="70">SUM(Q88:Q90)</f>
        <v>1456.1534581465894</v>
      </c>
      <c r="R91" s="253">
        <f t="shared" si="70"/>
        <v>1452.8978799754045</v>
      </c>
      <c r="S91" s="253">
        <f t="shared" si="70"/>
        <v>1447.7277163558765</v>
      </c>
      <c r="T91" s="253">
        <f t="shared" si="70"/>
        <v>1450.0794784712657</v>
      </c>
      <c r="U91" s="253">
        <f t="shared" si="70"/>
        <v>1462.3641476074083</v>
      </c>
      <c r="V91" s="253">
        <f t="shared" si="70"/>
        <v>1731.6943010245329</v>
      </c>
      <c r="W91" s="253">
        <f t="shared" si="70"/>
        <v>1960.6004205403619</v>
      </c>
      <c r="X91" s="253">
        <f t="shared" si="70"/>
        <v>2204.5353942277166</v>
      </c>
      <c r="Y91" s="254">
        <f t="shared" si="70"/>
        <v>2099.2478027822935</v>
      </c>
      <c r="Z91" s="1674">
        <f>(Y91-Q91)/Q91</f>
        <v>0.44163912878677142</v>
      </c>
      <c r="AA91" s="2045">
        <f>(Y91/Q91)^(1/9)-1</f>
        <v>4.1479507490654655E-2</v>
      </c>
    </row>
    <row r="92" spans="1:50" x14ac:dyDescent="0.2">
      <c r="B92" s="2002"/>
      <c r="C92" s="2003" t="s">
        <v>116</v>
      </c>
      <c r="D92" s="81">
        <f t="shared" ref="D92:L92" si="71">SUM(D89:D90)/D91</f>
        <v>0.13768825101428683</v>
      </c>
      <c r="E92" s="81">
        <f t="shared" si="71"/>
        <v>0.14873464236173131</v>
      </c>
      <c r="F92" s="1653">
        <f t="shared" si="71"/>
        <v>0.15927128041571753</v>
      </c>
      <c r="G92" s="1653">
        <f t="shared" si="71"/>
        <v>0.16063478771403633</v>
      </c>
      <c r="H92" s="1653">
        <f t="shared" si="71"/>
        <v>0.14135050606897218</v>
      </c>
      <c r="I92" s="1653">
        <f t="shared" si="71"/>
        <v>0.13902913513983434</v>
      </c>
      <c r="J92" s="1653">
        <f t="shared" si="71"/>
        <v>0.13736276596286626</v>
      </c>
      <c r="K92" s="1653">
        <f t="shared" si="71"/>
        <v>0.13610844946754319</v>
      </c>
      <c r="L92" s="81">
        <f t="shared" si="71"/>
        <v>0.27995132172966591</v>
      </c>
      <c r="M92" s="1674">
        <f>L92-D92</f>
        <v>0.14226307071537908</v>
      </c>
      <c r="N92" s="2046"/>
      <c r="P92" s="1629" t="s">
        <v>1075</v>
      </c>
      <c r="Q92" s="2528">
        <v>211029</v>
      </c>
      <c r="R92" s="2528">
        <v>216618</v>
      </c>
      <c r="S92" s="2528">
        <v>222526</v>
      </c>
      <c r="T92" s="2528">
        <v>227783</v>
      </c>
      <c r="U92" s="2528">
        <v>230299</v>
      </c>
      <c r="V92" s="2528">
        <v>232703</v>
      </c>
      <c r="W92" s="2528">
        <v>239294</v>
      </c>
      <c r="X92" s="2528">
        <v>242840</v>
      </c>
      <c r="Y92" s="2529">
        <v>243191</v>
      </c>
      <c r="Z92" s="1639"/>
      <c r="AA92" s="2046"/>
    </row>
    <row r="93" spans="1:50" x14ac:dyDescent="0.2">
      <c r="B93" s="2406" t="s">
        <v>6</v>
      </c>
      <c r="C93" s="2407" t="s">
        <v>113</v>
      </c>
      <c r="D93" s="2128">
        <v>9.3166300376931659</v>
      </c>
      <c r="E93" s="1651">
        <f>D93+(F93-D93)/($F$72-$D$72)</f>
        <v>9.6290583744223515</v>
      </c>
      <c r="F93" s="2128">
        <v>9.941486711151537</v>
      </c>
      <c r="G93" s="2128">
        <v>9.7056671320048942</v>
      </c>
      <c r="H93" s="2128">
        <v>9.0148399394072563</v>
      </c>
      <c r="I93" s="1651">
        <f t="shared" ref="I93:J95" si="72">H93+($K93-$H93)/($K$72-$H$72)</f>
        <v>9.0097785712818581</v>
      </c>
      <c r="J93" s="1651">
        <f t="shared" si="72"/>
        <v>9.00471720315646</v>
      </c>
      <c r="K93" s="2128">
        <v>8.99965583503106</v>
      </c>
      <c r="L93" s="1660">
        <f>H20/1000</f>
        <v>9.7978713923763188</v>
      </c>
      <c r="M93" s="259">
        <f t="shared" si="57"/>
        <v>5.1654015747770329E-2</v>
      </c>
      <c r="N93" s="2044">
        <f>(L93/D93)^(1/9)-1</f>
        <v>5.6117067278826926E-3</v>
      </c>
      <c r="O93" s="1632"/>
      <c r="P93" s="1631" t="s">
        <v>113</v>
      </c>
      <c r="Q93" s="2417">
        <f t="shared" ref="Q93:Y95" si="73">D93*1000000000/Q$97</f>
        <v>2297.0872993650314</v>
      </c>
      <c r="R93" s="2417">
        <f t="shared" si="73"/>
        <v>2314.6830579934931</v>
      </c>
      <c r="S93" s="2417">
        <f t="shared" si="73"/>
        <v>2325.1942758141668</v>
      </c>
      <c r="T93" s="2417">
        <f t="shared" si="73"/>
        <v>2222.2711749236269</v>
      </c>
      <c r="U93" s="2417">
        <f t="shared" si="73"/>
        <v>2031.7961891723189</v>
      </c>
      <c r="V93" s="2417">
        <f t="shared" si="73"/>
        <v>1993.9292262284175</v>
      </c>
      <c r="W93" s="2417">
        <f t="shared" si="73"/>
        <v>1953.7730382475202</v>
      </c>
      <c r="X93" s="2417">
        <f t="shared" si="73"/>
        <v>1920.9182842194923</v>
      </c>
      <c r="Y93" s="2420">
        <f t="shared" si="73"/>
        <v>2063.1193502997157</v>
      </c>
      <c r="Z93" s="259">
        <f>(Y93-Q93)/Q93</f>
        <v>-0.10185418252496972</v>
      </c>
      <c r="AA93" s="2044">
        <f>(Y93/Q93)^(1/9)-1</f>
        <v>-1.1864921560512443E-2</v>
      </c>
    </row>
    <row r="94" spans="1:50" s="76" customFormat="1" x14ac:dyDescent="0.2">
      <c r="A94" s="74"/>
      <c r="B94" s="2426"/>
      <c r="C94" s="2427" t="s">
        <v>114</v>
      </c>
      <c r="D94" s="2129">
        <v>4.7350433951770405</v>
      </c>
      <c r="E94" s="1650">
        <f>D94+(F94-D94)/($F$72-$D$72)</f>
        <v>4.7343387318176458</v>
      </c>
      <c r="F94" s="2129">
        <v>4.7336340684582519</v>
      </c>
      <c r="G94" s="2129">
        <v>4.2425569227550062</v>
      </c>
      <c r="H94" s="2129">
        <v>4.8437655334764473</v>
      </c>
      <c r="I94" s="1650">
        <f t="shared" si="72"/>
        <v>5.1694402648282463</v>
      </c>
      <c r="J94" s="1650">
        <f t="shared" si="72"/>
        <v>5.4951149961800452</v>
      </c>
      <c r="K94" s="2129">
        <v>5.8207897275318441</v>
      </c>
      <c r="L94" s="1635">
        <f>H21/1000</f>
        <v>5.5250203412112686</v>
      </c>
      <c r="M94" s="1674">
        <f t="shared" si="57"/>
        <v>0.16683626317741304</v>
      </c>
      <c r="N94" s="2045">
        <f>(L94/D94)^(1/9)-1</f>
        <v>1.7291806059255066E-2</v>
      </c>
      <c r="P94" s="1629" t="s">
        <v>114</v>
      </c>
      <c r="Q94" s="1630">
        <f t="shared" si="73"/>
        <v>1167.4616251797197</v>
      </c>
      <c r="R94" s="1630">
        <f t="shared" si="73"/>
        <v>1138.0649308814795</v>
      </c>
      <c r="S94" s="1630">
        <f t="shared" si="73"/>
        <v>1107.1401249706182</v>
      </c>
      <c r="T94" s="1630">
        <f t="shared" si="73"/>
        <v>971.40277213108743</v>
      </c>
      <c r="U94" s="1630">
        <f t="shared" si="73"/>
        <v>1091.7048353948667</v>
      </c>
      <c r="V94" s="1630">
        <f t="shared" si="73"/>
        <v>1144.034555980938</v>
      </c>
      <c r="W94" s="1630">
        <f t="shared" si="73"/>
        <v>1192.2870290521496</v>
      </c>
      <c r="X94" s="1630">
        <f t="shared" si="73"/>
        <v>1242.4098900193474</v>
      </c>
      <c r="Y94" s="2418">
        <f t="shared" si="73"/>
        <v>1163.3931412512566</v>
      </c>
      <c r="Z94" s="1674">
        <f>(Y94-Q94)/Q94</f>
        <v>-3.4848973539809785E-3</v>
      </c>
      <c r="AA94" s="2045">
        <f>(Y94/Q94)^(1/9)-1</f>
        <v>-3.878118652194118E-4</v>
      </c>
      <c r="AB94" s="74"/>
      <c r="AC94" s="74"/>
      <c r="AD94" s="74"/>
      <c r="AE94" s="74"/>
      <c r="AF94" s="74"/>
      <c r="AG94" s="74"/>
      <c r="AH94" s="74"/>
      <c r="AI94" s="74"/>
      <c r="AJ94" s="74"/>
      <c r="AK94" s="74"/>
      <c r="AL94" s="74"/>
      <c r="AM94" s="74"/>
      <c r="AN94" s="74"/>
      <c r="AO94" s="74"/>
      <c r="AP94" s="74"/>
      <c r="AQ94" s="74"/>
      <c r="AR94" s="74"/>
      <c r="AS94" s="74"/>
      <c r="AT94" s="74"/>
      <c r="AU94" s="74"/>
      <c r="AV94" s="74"/>
      <c r="AW94" s="74"/>
      <c r="AX94" s="74"/>
    </row>
    <row r="95" spans="1:50" x14ac:dyDescent="0.2">
      <c r="B95" s="2426"/>
      <c r="C95" s="2427" t="s">
        <v>38</v>
      </c>
      <c r="D95" s="2129">
        <v>0.14076174515465595</v>
      </c>
      <c r="E95" s="1650">
        <f>D95+(F95-D95)/($F$72-$D$72)</f>
        <v>0.1482678956441498</v>
      </c>
      <c r="F95" s="2129">
        <v>0.15577404613364365</v>
      </c>
      <c r="G95" s="2129">
        <v>0.17541745237172768</v>
      </c>
      <c r="H95" s="2129">
        <v>0.19000528650218637</v>
      </c>
      <c r="I95" s="1650">
        <f t="shared" si="72"/>
        <v>0.29003891711578622</v>
      </c>
      <c r="J95" s="1650">
        <f t="shared" si="72"/>
        <v>0.3900725477293861</v>
      </c>
      <c r="K95" s="2129">
        <v>0.49010617834298592</v>
      </c>
      <c r="L95" s="1635">
        <f>H22/1000</f>
        <v>0.38985952475065444</v>
      </c>
      <c r="M95" s="1674">
        <f t="shared" si="57"/>
        <v>1.7696411714867057</v>
      </c>
      <c r="N95" s="2045">
        <f>(L95/D95)^(1/9)-1</f>
        <v>0.11984565012923865</v>
      </c>
      <c r="P95" s="1629" t="s">
        <v>38</v>
      </c>
      <c r="Q95" s="1630">
        <f t="shared" si="73"/>
        <v>34.70589856236024</v>
      </c>
      <c r="R95" s="1630">
        <f t="shared" si="73"/>
        <v>35.641406744763763</v>
      </c>
      <c r="S95" s="1630">
        <f t="shared" si="73"/>
        <v>36.43367746838797</v>
      </c>
      <c r="T95" s="1630">
        <f t="shared" si="73"/>
        <v>40.164693748744156</v>
      </c>
      <c r="U95" s="1630">
        <f t="shared" si="73"/>
        <v>42.824056736732317</v>
      </c>
      <c r="V95" s="1630">
        <f t="shared" si="73"/>
        <v>64.187712162445308</v>
      </c>
      <c r="W95" s="1630">
        <f t="shared" si="73"/>
        <v>84.63488741734686</v>
      </c>
      <c r="X95" s="1630">
        <f t="shared" si="73"/>
        <v>104.60999136471222</v>
      </c>
      <c r="Y95" s="2418">
        <f t="shared" si="73"/>
        <v>82.091986840893767</v>
      </c>
      <c r="Z95" s="1674">
        <f>(Y95-Q95)/Q95</f>
        <v>1.3653612279592553</v>
      </c>
      <c r="AA95" s="2045">
        <f>(Y95/Q95)^(1/9)-1</f>
        <v>0.10038373850197013</v>
      </c>
    </row>
    <row r="96" spans="1:50" x14ac:dyDescent="0.2">
      <c r="B96" s="2426"/>
      <c r="C96" s="2427" t="s">
        <v>117</v>
      </c>
      <c r="D96" s="1657">
        <f t="shared" ref="D96:L96" si="74">SUM(D93:D95)</f>
        <v>14.192435178024862</v>
      </c>
      <c r="E96" s="1657">
        <f t="shared" si="74"/>
        <v>14.511665001884147</v>
      </c>
      <c r="F96" s="1657">
        <f t="shared" si="74"/>
        <v>14.830894825743432</v>
      </c>
      <c r="G96" s="1657">
        <f t="shared" si="74"/>
        <v>14.123641507131628</v>
      </c>
      <c r="H96" s="1657">
        <f t="shared" si="74"/>
        <v>14.048610759385889</v>
      </c>
      <c r="I96" s="1657">
        <f t="shared" si="74"/>
        <v>14.469257753225891</v>
      </c>
      <c r="J96" s="1657">
        <f t="shared" si="74"/>
        <v>14.889904747065891</v>
      </c>
      <c r="K96" s="1657">
        <f t="shared" si="74"/>
        <v>15.31055174090589</v>
      </c>
      <c r="L96" s="1657">
        <f t="shared" si="74"/>
        <v>15.712751258338242</v>
      </c>
      <c r="M96" s="1674">
        <f t="shared" si="57"/>
        <v>0.10712157999970236</v>
      </c>
      <c r="N96" s="2045">
        <f>(L96/D96)^(1/9)-1</f>
        <v>1.1371219234213248E-2</v>
      </c>
      <c r="P96" s="1629" t="s">
        <v>117</v>
      </c>
      <c r="Q96" s="253">
        <f t="shared" ref="Q96:Y96" si="75">SUM(Q93:Q95)</f>
        <v>3499.2548231071114</v>
      </c>
      <c r="R96" s="253">
        <f t="shared" si="75"/>
        <v>3488.3893956197362</v>
      </c>
      <c r="S96" s="253">
        <f t="shared" si="75"/>
        <v>3468.7680782531729</v>
      </c>
      <c r="T96" s="253">
        <f t="shared" si="75"/>
        <v>3233.8386408034585</v>
      </c>
      <c r="U96" s="253">
        <f t="shared" si="75"/>
        <v>3166.3250813039181</v>
      </c>
      <c r="V96" s="253">
        <f t="shared" si="75"/>
        <v>3202.1514943718007</v>
      </c>
      <c r="W96" s="253">
        <f t="shared" si="75"/>
        <v>3230.6949547170166</v>
      </c>
      <c r="X96" s="253">
        <f t="shared" si="75"/>
        <v>3267.9381656035521</v>
      </c>
      <c r="Y96" s="254">
        <f t="shared" si="75"/>
        <v>3308.604478391866</v>
      </c>
      <c r="Z96" s="1674">
        <f>(Y96-Q96)/Q96</f>
        <v>-5.4483126937854807E-2</v>
      </c>
      <c r="AA96" s="2045">
        <f>(Y96/Q96)^(1/9)-1</f>
        <v>-6.2055042087252321E-3</v>
      </c>
    </row>
    <row r="97" spans="1:50" x14ac:dyDescent="0.2">
      <c r="B97" s="2408"/>
      <c r="C97" s="2409" t="s">
        <v>116</v>
      </c>
      <c r="D97" s="1653">
        <f t="shared" ref="D97:L97" si="76">SUM(D94:D95)/D96</f>
        <v>0.34354957970012401</v>
      </c>
      <c r="E97" s="81">
        <f t="shared" si="76"/>
        <v>0.33646081458108729</v>
      </c>
      <c r="F97" s="81">
        <f t="shared" si="76"/>
        <v>0.32967721584168158</v>
      </c>
      <c r="G97" s="81">
        <f t="shared" si="76"/>
        <v>0.3128070315928021</v>
      </c>
      <c r="H97" s="81">
        <f t="shared" si="76"/>
        <v>0.35831093238992101</v>
      </c>
      <c r="I97" s="1653">
        <f t="shared" si="76"/>
        <v>0.37731577355630785</v>
      </c>
      <c r="J97" s="1653">
        <f t="shared" si="76"/>
        <v>0.3952468228562126</v>
      </c>
      <c r="K97" s="1653">
        <f t="shared" si="76"/>
        <v>0.41219258539283893</v>
      </c>
      <c r="L97" s="81">
        <f t="shared" si="76"/>
        <v>0.37643820415110885</v>
      </c>
      <c r="M97" s="1674">
        <f>L97-D97</f>
        <v>3.2888624450984838E-2</v>
      </c>
      <c r="N97" s="2047"/>
      <c r="O97" s="1633"/>
      <c r="P97" s="1629" t="s">
        <v>1075</v>
      </c>
      <c r="Q97" s="2528">
        <v>4055845</v>
      </c>
      <c r="R97" s="2528">
        <v>4159990</v>
      </c>
      <c r="S97" s="2528">
        <v>4275551</v>
      </c>
      <c r="T97" s="2528">
        <v>4367454</v>
      </c>
      <c r="U97" s="2528">
        <v>4436882</v>
      </c>
      <c r="V97" s="2528">
        <v>4518605</v>
      </c>
      <c r="W97" s="2528">
        <v>4608886</v>
      </c>
      <c r="X97" s="2528">
        <v>4685080</v>
      </c>
      <c r="Y97" s="2529">
        <v>4749057</v>
      </c>
      <c r="Z97" s="1640"/>
      <c r="AA97" s="2047"/>
    </row>
    <row r="98" spans="1:50" x14ac:dyDescent="0.2">
      <c r="B98" s="2011" t="s">
        <v>7</v>
      </c>
      <c r="C98" s="2012" t="s">
        <v>113</v>
      </c>
      <c r="D98" s="2128">
        <v>0.69868947641149148</v>
      </c>
      <c r="E98" s="1651">
        <f>D98+(F98-D98)/($F$72-$D$72)</f>
        <v>0.68891413631100828</v>
      </c>
      <c r="F98" s="2128">
        <v>0.67913879621052498</v>
      </c>
      <c r="G98" s="2128">
        <v>0.65927919291381021</v>
      </c>
      <c r="H98" s="2128">
        <v>0.78651741802020048</v>
      </c>
      <c r="I98" s="1651">
        <f t="shared" ref="I98:J100" si="77">H98+($K98-$H98)/($K$72-$H$72)</f>
        <v>0.86017009060690863</v>
      </c>
      <c r="J98" s="1651">
        <f t="shared" si="77"/>
        <v>0.93382276319361679</v>
      </c>
      <c r="K98" s="2128">
        <v>1.0074754357803251</v>
      </c>
      <c r="L98" s="1660">
        <f>H24/1000</f>
        <v>0.96778534280928685</v>
      </c>
      <c r="M98" s="259">
        <f t="shared" si="57"/>
        <v>0.3851437233316965</v>
      </c>
      <c r="N98" s="2044">
        <f>(L98/D98)^(1/9)-1</f>
        <v>3.6863648348983036E-2</v>
      </c>
      <c r="P98" s="1631" t="s">
        <v>113</v>
      </c>
      <c r="Q98" s="2417">
        <f t="shared" ref="Q98:Y100" si="78">D98*1000000000/Q$102</f>
        <v>447.5049487039592</v>
      </c>
      <c r="R98" s="2417">
        <f t="shared" si="78"/>
        <v>436.43898456752521</v>
      </c>
      <c r="S98" s="2417">
        <f t="shared" si="78"/>
        <v>425.02490563153987</v>
      </c>
      <c r="T98" s="2417">
        <f t="shared" si="78"/>
        <v>407.3200012071153</v>
      </c>
      <c r="U98" s="2417">
        <f t="shared" si="78"/>
        <v>481.79239833590844</v>
      </c>
      <c r="V98" s="2417">
        <f t="shared" si="78"/>
        <v>522.28031714781355</v>
      </c>
      <c r="W98" s="2417">
        <f t="shared" si="78"/>
        <v>561.80029394447035</v>
      </c>
      <c r="X98" s="2417">
        <f t="shared" si="78"/>
        <v>600.87842861260503</v>
      </c>
      <c r="Y98" s="2420">
        <f t="shared" si="78"/>
        <v>572.11071308567125</v>
      </c>
      <c r="Z98" s="259">
        <f>(Y98-Q98)/Q98</f>
        <v>0.27844555628398937</v>
      </c>
      <c r="AA98" s="2044">
        <f>(Y98/Q98)^(1/9)-1</f>
        <v>2.766977121386649E-2</v>
      </c>
    </row>
    <row r="99" spans="1:50" x14ac:dyDescent="0.2">
      <c r="B99" s="2013"/>
      <c r="C99" s="2012" t="s">
        <v>114</v>
      </c>
      <c r="D99" s="2129">
        <v>2.4184935384524793</v>
      </c>
      <c r="E99" s="1650">
        <f>D99+(F99-D99)/($F$72-$D$72)</f>
        <v>2.4895818323645997</v>
      </c>
      <c r="F99" s="2129">
        <v>2.5606701262767197</v>
      </c>
      <c r="G99" s="2129">
        <v>2.5498361747559857</v>
      </c>
      <c r="H99" s="2129">
        <v>3.1482523564646487</v>
      </c>
      <c r="I99" s="1650">
        <f t="shared" si="77"/>
        <v>3.1996778265783639</v>
      </c>
      <c r="J99" s="1650">
        <f t="shared" si="77"/>
        <v>3.251103296692079</v>
      </c>
      <c r="K99" s="2129">
        <v>3.3025287668057937</v>
      </c>
      <c r="L99" s="1635">
        <f t="shared" ref="L99:L100" si="79">H25/1000</f>
        <v>3.3042971812369095</v>
      </c>
      <c r="M99" s="1674">
        <f t="shared" si="57"/>
        <v>0.36626256332742951</v>
      </c>
      <c r="N99" s="2045">
        <f>(L99/D99)^(1/9)-1</f>
        <v>3.5283642140650162E-2</v>
      </c>
      <c r="P99" s="1629" t="s">
        <v>114</v>
      </c>
      <c r="Q99" s="1630">
        <f t="shared" si="78"/>
        <v>1549.025516206033</v>
      </c>
      <c r="R99" s="1630">
        <f t="shared" si="78"/>
        <v>1577.1930196311787</v>
      </c>
      <c r="S99" s="1630">
        <f t="shared" si="78"/>
        <v>1602.5421973344178</v>
      </c>
      <c r="T99" s="1630">
        <f t="shared" si="78"/>
        <v>1575.3557596581602</v>
      </c>
      <c r="U99" s="1630">
        <f t="shared" si="78"/>
        <v>1928.506627616506</v>
      </c>
      <c r="V99" s="1630">
        <f t="shared" si="78"/>
        <v>1942.7887208413388</v>
      </c>
      <c r="W99" s="1630">
        <f t="shared" si="78"/>
        <v>1955.907330293629</v>
      </c>
      <c r="X99" s="1630">
        <f t="shared" si="78"/>
        <v>1969.6939750289673</v>
      </c>
      <c r="Y99" s="2418">
        <f t="shared" si="78"/>
        <v>1953.3503277874618</v>
      </c>
      <c r="Z99" s="1674">
        <f>(Y99-Q99)/Q99</f>
        <v>0.26101881947801969</v>
      </c>
      <c r="AA99" s="2045">
        <f>(Y99/Q99)^(1/9)-1</f>
        <v>2.6103774931501622E-2</v>
      </c>
    </row>
    <row r="100" spans="1:50" x14ac:dyDescent="0.2">
      <c r="B100" s="2013"/>
      <c r="C100" s="2012" t="s">
        <v>38</v>
      </c>
      <c r="D100" s="2129">
        <v>0.11589876978747329</v>
      </c>
      <c r="E100" s="1650">
        <f>D100+(F100-D100)/($F$72-$D$72)</f>
        <v>0.10694963551270836</v>
      </c>
      <c r="F100" s="2129">
        <v>9.8000501237943446E-2</v>
      </c>
      <c r="G100" s="2129">
        <v>9.5728037683534162E-2</v>
      </c>
      <c r="H100" s="2129">
        <v>0.12510925266383544</v>
      </c>
      <c r="I100" s="1650">
        <f t="shared" si="77"/>
        <v>0.14133407063101786</v>
      </c>
      <c r="J100" s="1650">
        <f t="shared" si="77"/>
        <v>0.15755888859820028</v>
      </c>
      <c r="K100" s="2129">
        <v>0.1737837065653827</v>
      </c>
      <c r="L100" s="1635">
        <f t="shared" si="79"/>
        <v>0.14942237642766357</v>
      </c>
      <c r="M100" s="1674">
        <f t="shared" si="57"/>
        <v>0.28924902914555017</v>
      </c>
      <c r="N100" s="2045">
        <f>(L100/D100)^(1/9)-1</f>
        <v>2.8631088382741421E-2</v>
      </c>
      <c r="P100" s="1629" t="s">
        <v>38</v>
      </c>
      <c r="Q100" s="1630">
        <f t="shared" si="78"/>
        <v>74.232223011255556</v>
      </c>
      <c r="R100" s="1630">
        <f t="shared" si="78"/>
        <v>67.754438271478847</v>
      </c>
      <c r="S100" s="1630">
        <f t="shared" si="78"/>
        <v>61.331577614053273</v>
      </c>
      <c r="T100" s="1630">
        <f t="shared" si="78"/>
        <v>59.14329595702781</v>
      </c>
      <c r="U100" s="1630">
        <f t="shared" si="78"/>
        <v>76.63744694510288</v>
      </c>
      <c r="V100" s="1630">
        <f t="shared" si="78"/>
        <v>85.815589310803944</v>
      </c>
      <c r="W100" s="1630">
        <f t="shared" si="78"/>
        <v>94.789539746612618</v>
      </c>
      <c r="X100" s="1630">
        <f t="shared" si="78"/>
        <v>103.6480660579104</v>
      </c>
      <c r="Y100" s="2418">
        <f t="shared" si="78"/>
        <v>88.331718354854445</v>
      </c>
      <c r="Z100" s="1674">
        <f>(Y100-Q100)/Q100</f>
        <v>0.18993766819378471</v>
      </c>
      <c r="AA100" s="2045">
        <f>(Y100/Q100)^(1/9)-1</f>
        <v>1.951020941373649E-2</v>
      </c>
    </row>
    <row r="101" spans="1:50" x14ac:dyDescent="0.2">
      <c r="B101" s="2013"/>
      <c r="C101" s="2012" t="s">
        <v>117</v>
      </c>
      <c r="D101" s="1657">
        <f t="shared" ref="D101:L101" si="80">SUM(D98:D100)</f>
        <v>3.2330817846514441</v>
      </c>
      <c r="E101" s="1657">
        <f t="shared" si="80"/>
        <v>3.2854456041883164</v>
      </c>
      <c r="F101" s="1657">
        <f t="shared" si="80"/>
        <v>3.3378094237251883</v>
      </c>
      <c r="G101" s="1657">
        <f t="shared" si="80"/>
        <v>3.30484340535333</v>
      </c>
      <c r="H101" s="1657">
        <f t="shared" si="80"/>
        <v>4.0598790271486846</v>
      </c>
      <c r="I101" s="1657">
        <f t="shared" si="80"/>
        <v>4.2011819878162902</v>
      </c>
      <c r="J101" s="1657">
        <f t="shared" si="80"/>
        <v>4.3424849484838957</v>
      </c>
      <c r="K101" s="1657">
        <f t="shared" si="80"/>
        <v>4.4837879091515012</v>
      </c>
      <c r="L101" s="1657">
        <f t="shared" si="80"/>
        <v>4.4215049004738596</v>
      </c>
      <c r="M101" s="1674">
        <f t="shared" si="57"/>
        <v>0.36758213833756709</v>
      </c>
      <c r="N101" s="2045">
        <f>(L101/D101)^(1/9)-1</f>
        <v>3.5394695168963652E-2</v>
      </c>
      <c r="P101" s="1629" t="s">
        <v>117</v>
      </c>
      <c r="Q101" s="253">
        <f t="shared" ref="Q101:Y101" si="81">SUM(Q98:Q100)</f>
        <v>2070.7626879212476</v>
      </c>
      <c r="R101" s="253">
        <f t="shared" si="81"/>
        <v>2081.3864424701828</v>
      </c>
      <c r="S101" s="253">
        <f t="shared" si="81"/>
        <v>2088.8986805800109</v>
      </c>
      <c r="T101" s="253">
        <f t="shared" si="81"/>
        <v>2041.8190568223033</v>
      </c>
      <c r="U101" s="253">
        <f t="shared" si="81"/>
        <v>2486.9364728975174</v>
      </c>
      <c r="V101" s="253">
        <f t="shared" si="81"/>
        <v>2550.8846272999563</v>
      </c>
      <c r="W101" s="253">
        <f t="shared" si="81"/>
        <v>2612.4971639847122</v>
      </c>
      <c r="X101" s="253">
        <f t="shared" si="81"/>
        <v>2674.2204696994827</v>
      </c>
      <c r="Y101" s="254">
        <f t="shared" si="81"/>
        <v>2613.7927592279875</v>
      </c>
      <c r="Z101" s="1674">
        <f>(Y101-Q101)/Q101</f>
        <v>0.26223674710493516</v>
      </c>
      <c r="AA101" s="2045">
        <f>(Y101/Q101)^(1/9)-1</f>
        <v>2.6213843251845503E-2</v>
      </c>
    </row>
    <row r="102" spans="1:50" x14ac:dyDescent="0.2">
      <c r="B102" s="2013"/>
      <c r="C102" s="2014" t="s">
        <v>116</v>
      </c>
      <c r="D102" s="81">
        <f t="shared" ref="D102:L102" si="82">SUM(D99:D100)/D101</f>
        <v>0.78389365845045689</v>
      </c>
      <c r="E102" s="81">
        <f t="shared" si="82"/>
        <v>0.79031333362123724</v>
      </c>
      <c r="F102" s="1653">
        <f t="shared" si="82"/>
        <v>0.79653158404335533</v>
      </c>
      <c r="G102" s="1653">
        <f t="shared" si="82"/>
        <v>0.80051121579743212</v>
      </c>
      <c r="H102" s="1653">
        <f t="shared" si="82"/>
        <v>0.80627072561504776</v>
      </c>
      <c r="I102" s="1653">
        <f t="shared" si="82"/>
        <v>0.79525521791213538</v>
      </c>
      <c r="J102" s="1653">
        <f t="shared" si="82"/>
        <v>0.7849565918427317</v>
      </c>
      <c r="K102" s="1653">
        <f t="shared" si="82"/>
        <v>0.77530707156686718</v>
      </c>
      <c r="L102" s="81">
        <f t="shared" si="82"/>
        <v>0.78111856379361533</v>
      </c>
      <c r="M102" s="1674">
        <f>L102-D102</f>
        <v>-2.7750946568415591E-3</v>
      </c>
      <c r="N102" s="2046"/>
      <c r="P102" s="1629" t="s">
        <v>1075</v>
      </c>
      <c r="Q102" s="2528">
        <v>1561300</v>
      </c>
      <c r="R102" s="2528">
        <v>1578489</v>
      </c>
      <c r="S102" s="2528">
        <v>1597880</v>
      </c>
      <c r="T102" s="2528">
        <v>1618578</v>
      </c>
      <c r="U102" s="2528">
        <v>1632482</v>
      </c>
      <c r="V102" s="2528">
        <v>1646951</v>
      </c>
      <c r="W102" s="2528">
        <v>1662197</v>
      </c>
      <c r="X102" s="2528">
        <v>1676671</v>
      </c>
      <c r="Y102" s="2529">
        <v>1691605</v>
      </c>
      <c r="Z102" s="1639"/>
      <c r="AA102" s="2046"/>
    </row>
    <row r="103" spans="1:50" x14ac:dyDescent="0.2">
      <c r="B103" s="2023" t="s">
        <v>8</v>
      </c>
      <c r="C103" s="2024" t="s">
        <v>113</v>
      </c>
      <c r="D103" s="2128">
        <v>0.42319597630968958</v>
      </c>
      <c r="E103" s="1651">
        <f>D103+(F103-D103)/($F$72-$D$72)</f>
        <v>0.38312269978357089</v>
      </c>
      <c r="F103" s="2128">
        <v>0.34304942325745219</v>
      </c>
      <c r="G103" s="2128">
        <v>0.35484902852120842</v>
      </c>
      <c r="H103" s="2128">
        <v>0.40231362644370122</v>
      </c>
      <c r="I103" s="1651">
        <f t="shared" ref="I103:J105" si="83">H103+($K103-$H103)/($K$72-$H$72)</f>
        <v>0.40031711032412887</v>
      </c>
      <c r="J103" s="1651">
        <f t="shared" si="83"/>
        <v>0.39832059420455651</v>
      </c>
      <c r="K103" s="2128">
        <v>0.3963240780849841</v>
      </c>
      <c r="L103" s="1660">
        <f>H28/1000</f>
        <v>0.46992197236926575</v>
      </c>
      <c r="M103" s="259">
        <f t="shared" si="57"/>
        <v>0.11041219358234791</v>
      </c>
      <c r="N103" s="2044">
        <f>(L103/D103)^(1/9)-1</f>
        <v>1.1704781293678801E-2</v>
      </c>
      <c r="O103" s="1632"/>
      <c r="P103" s="1631" t="s">
        <v>113</v>
      </c>
      <c r="Q103" s="2417">
        <f t="shared" ref="Q103:Y105" si="84">D103*1000000000/Q$107</f>
        <v>861.0031765250086</v>
      </c>
      <c r="R103" s="2417">
        <f t="shared" si="84"/>
        <v>772.64599902304872</v>
      </c>
      <c r="S103" s="2417">
        <f t="shared" si="84"/>
        <v>683.67317409322163</v>
      </c>
      <c r="T103" s="2417">
        <f t="shared" si="84"/>
        <v>700.64433099727012</v>
      </c>
      <c r="U103" s="2417">
        <f t="shared" si="84"/>
        <v>788.51165174895721</v>
      </c>
      <c r="V103" s="2417">
        <f t="shared" si="84"/>
        <v>781.95488241707858</v>
      </c>
      <c r="W103" s="2417">
        <f t="shared" si="84"/>
        <v>777.24883009816381</v>
      </c>
      <c r="X103" s="2417">
        <f t="shared" si="84"/>
        <v>771.13653148759045</v>
      </c>
      <c r="Y103" s="2420">
        <f t="shared" si="84"/>
        <v>911.9492413442922</v>
      </c>
      <c r="Z103" s="259">
        <f>(Y103-Q103)/Q103</f>
        <v>5.9170588690393565E-2</v>
      </c>
      <c r="AA103" s="2044">
        <f>(Y103/Q103)^(1/9)-1</f>
        <v>6.4077913177034151E-3</v>
      </c>
    </row>
    <row r="104" spans="1:50" s="76" customFormat="1" x14ac:dyDescent="0.2">
      <c r="A104" s="74"/>
      <c r="B104" s="2020"/>
      <c r="C104" s="2025" t="s">
        <v>114</v>
      </c>
      <c r="D104" s="2129">
        <v>9.9100802242837849E-2</v>
      </c>
      <c r="E104" s="1650">
        <f>D104+(F104-D104)/($F$72-$D$72)</f>
        <v>0.10056004213686026</v>
      </c>
      <c r="F104" s="2129">
        <v>0.10201928203088269</v>
      </c>
      <c r="G104" s="2129">
        <v>0.16107436081011506</v>
      </c>
      <c r="H104" s="2129">
        <v>0.17456432888216061</v>
      </c>
      <c r="I104" s="1650">
        <f t="shared" si="83"/>
        <v>0.24826208781753328</v>
      </c>
      <c r="J104" s="1650">
        <f t="shared" si="83"/>
        <v>0.32195984675290595</v>
      </c>
      <c r="K104" s="2129">
        <v>0.39565760568827857</v>
      </c>
      <c r="L104" s="1635">
        <f>H29/1000</f>
        <v>0.42346602621456086</v>
      </c>
      <c r="M104" s="1674">
        <f t="shared" si="57"/>
        <v>3.2730837352546795</v>
      </c>
      <c r="N104" s="2045">
        <f>(L104/D104)^(1/9)-1</f>
        <v>0.17512043381033604</v>
      </c>
      <c r="P104" s="1629" t="s">
        <v>114</v>
      </c>
      <c r="Q104" s="1630">
        <f t="shared" si="84"/>
        <v>201.62314932980243</v>
      </c>
      <c r="R104" s="1630">
        <f t="shared" si="84"/>
        <v>202.80008013758024</v>
      </c>
      <c r="S104" s="1630">
        <f t="shared" si="84"/>
        <v>203.31719465512899</v>
      </c>
      <c r="T104" s="1630">
        <f t="shared" si="84"/>
        <v>318.03902138588177</v>
      </c>
      <c r="U104" s="1630">
        <f t="shared" si="84"/>
        <v>342.13608055003948</v>
      </c>
      <c r="V104" s="1630">
        <f t="shared" si="84"/>
        <v>484.93993057352617</v>
      </c>
      <c r="W104" s="1630">
        <f t="shared" si="84"/>
        <v>628.24498122426644</v>
      </c>
      <c r="X104" s="1630">
        <f t="shared" si="84"/>
        <v>769.83976139274512</v>
      </c>
      <c r="Y104" s="2418">
        <f t="shared" si="84"/>
        <v>821.79498735588004</v>
      </c>
      <c r="Z104" s="1674">
        <f>(Y104-Q104)/Q104</f>
        <v>3.0758959974960001</v>
      </c>
      <c r="AA104" s="2045">
        <f>(Y104/Q104)^(1/9)-1</f>
        <v>0.16896784733100989</v>
      </c>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row>
    <row r="105" spans="1:50" x14ac:dyDescent="0.2">
      <c r="B105" s="2020"/>
      <c r="C105" s="2025" t="s">
        <v>38</v>
      </c>
      <c r="D105" s="2129">
        <v>4.3037288014425454E-2</v>
      </c>
      <c r="E105" s="1650">
        <f>D105+(F105-D105)/($F$72-$D$72)</f>
        <v>5.3568127657031298E-2</v>
      </c>
      <c r="F105" s="2129">
        <v>6.4098967299637141E-2</v>
      </c>
      <c r="G105" s="2129">
        <v>4.5169692014439732E-2</v>
      </c>
      <c r="H105" s="2129">
        <v>5.4918515533834401E-2</v>
      </c>
      <c r="I105" s="1650">
        <f t="shared" si="83"/>
        <v>5.5326885095402734E-2</v>
      </c>
      <c r="J105" s="1650">
        <f t="shared" si="83"/>
        <v>5.5735254656971066E-2</v>
      </c>
      <c r="K105" s="2129">
        <v>5.6143624218539405E-2</v>
      </c>
      <c r="L105" s="1635">
        <f>H30/1000</f>
        <v>5.3225150797666647E-2</v>
      </c>
      <c r="M105" s="1674">
        <f t="shared" si="57"/>
        <v>0.23672176508488113</v>
      </c>
      <c r="N105" s="2045">
        <f>(L105/D105)^(1/9)-1</f>
        <v>2.3887980684559773E-2</v>
      </c>
      <c r="P105" s="1629" t="s">
        <v>38</v>
      </c>
      <c r="Q105" s="1630">
        <f t="shared" si="84"/>
        <v>87.560477329126186</v>
      </c>
      <c r="R105" s="1630">
        <f t="shared" si="84"/>
        <v>108.03118565603721</v>
      </c>
      <c r="S105" s="1630">
        <f t="shared" si="84"/>
        <v>127.74469641638893</v>
      </c>
      <c r="T105" s="1630">
        <f t="shared" si="84"/>
        <v>89.186910767936197</v>
      </c>
      <c r="U105" s="1630">
        <f t="shared" si="84"/>
        <v>107.63714313625012</v>
      </c>
      <c r="V105" s="1630">
        <f t="shared" si="84"/>
        <v>108.07214284258187</v>
      </c>
      <c r="W105" s="1630">
        <f t="shared" si="84"/>
        <v>108.75702162441303</v>
      </c>
      <c r="X105" s="1630">
        <f t="shared" si="84"/>
        <v>109.239892398724</v>
      </c>
      <c r="Y105" s="2418">
        <f t="shared" si="84"/>
        <v>103.29084134041275</v>
      </c>
      <c r="Z105" s="1674">
        <f>(Y105-Q105)/Q105</f>
        <v>0.17965141912324875</v>
      </c>
      <c r="AA105" s="2045">
        <f>(Y105/Q105)^(1/9)-1</f>
        <v>1.8527203044196527E-2</v>
      </c>
    </row>
    <row r="106" spans="1:50" x14ac:dyDescent="0.2">
      <c r="B106" s="2020"/>
      <c r="C106" s="2025" t="s">
        <v>117</v>
      </c>
      <c r="D106" s="1657">
        <f t="shared" ref="D106:L106" si="85">SUM(D103:D105)</f>
        <v>0.56533406656695284</v>
      </c>
      <c r="E106" s="1657">
        <f t="shared" si="85"/>
        <v>0.53725086957746249</v>
      </c>
      <c r="F106" s="1657">
        <f t="shared" si="85"/>
        <v>0.50916767258797202</v>
      </c>
      <c r="G106" s="1657">
        <f t="shared" si="85"/>
        <v>0.5610930813457633</v>
      </c>
      <c r="H106" s="1657">
        <f t="shared" si="85"/>
        <v>0.63179647085969626</v>
      </c>
      <c r="I106" s="1657">
        <f t="shared" si="85"/>
        <v>0.70390608323706494</v>
      </c>
      <c r="J106" s="1657">
        <f t="shared" si="85"/>
        <v>0.77601569561443351</v>
      </c>
      <c r="K106" s="1657">
        <f t="shared" si="85"/>
        <v>0.84812530799180208</v>
      </c>
      <c r="L106" s="1657">
        <f t="shared" si="85"/>
        <v>0.94661314938149332</v>
      </c>
      <c r="M106" s="1674">
        <f t="shared" si="57"/>
        <v>0.67443146515103103</v>
      </c>
      <c r="N106" s="2045">
        <f>(L106/D106)^(1/9)-1</f>
        <v>5.8946825920504597E-2</v>
      </c>
      <c r="P106" s="1629" t="s">
        <v>117</v>
      </c>
      <c r="Q106" s="253">
        <f t="shared" ref="Q106:Y106" si="86">SUM(Q103:Q105)</f>
        <v>1150.1868031839372</v>
      </c>
      <c r="R106" s="253">
        <f t="shared" si="86"/>
        <v>1083.4772648166661</v>
      </c>
      <c r="S106" s="253">
        <f t="shared" si="86"/>
        <v>1014.7350651647396</v>
      </c>
      <c r="T106" s="253">
        <f t="shared" si="86"/>
        <v>1107.8702631510882</v>
      </c>
      <c r="U106" s="253">
        <f t="shared" si="86"/>
        <v>1238.2848754352469</v>
      </c>
      <c r="V106" s="253">
        <f t="shared" si="86"/>
        <v>1374.9669558331866</v>
      </c>
      <c r="W106" s="253">
        <f t="shared" si="86"/>
        <v>1514.2508329468433</v>
      </c>
      <c r="X106" s="253">
        <f t="shared" si="86"/>
        <v>1650.2161852790596</v>
      </c>
      <c r="Y106" s="254">
        <f t="shared" si="86"/>
        <v>1837.035070040585</v>
      </c>
      <c r="Z106" s="1674">
        <f>(Y106-Q106)/Q106</f>
        <v>0.59716236089243968</v>
      </c>
      <c r="AA106" s="2045">
        <f>(Y106/Q106)^(1/9)-1</f>
        <v>5.3402490432814975E-2</v>
      </c>
    </row>
    <row r="107" spans="1:50" x14ac:dyDescent="0.2">
      <c r="B107" s="2021"/>
      <c r="C107" s="2026" t="s">
        <v>116</v>
      </c>
      <c r="D107" s="81">
        <f t="shared" ref="D107:L107" si="87">SUM(D104:D105)/D106</f>
        <v>0.25142318261556562</v>
      </c>
      <c r="E107" s="81">
        <f t="shared" si="87"/>
        <v>0.28688305319098023</v>
      </c>
      <c r="F107" s="81">
        <f t="shared" si="87"/>
        <v>0.32625450961209357</v>
      </c>
      <c r="G107" s="81">
        <f t="shared" si="87"/>
        <v>0.36757546952795289</v>
      </c>
      <c r="H107" s="81">
        <f t="shared" si="87"/>
        <v>0.36322273865147392</v>
      </c>
      <c r="I107" s="1653">
        <f t="shared" si="87"/>
        <v>0.43129187279759851</v>
      </c>
      <c r="J107" s="1653">
        <f t="shared" si="87"/>
        <v>0.48671064714847767</v>
      </c>
      <c r="K107" s="1653">
        <f t="shared" si="87"/>
        <v>0.53270575190899161</v>
      </c>
      <c r="L107" s="81">
        <f t="shared" si="87"/>
        <v>0.50357548627302751</v>
      </c>
      <c r="M107" s="1674">
        <f>L107-D107</f>
        <v>0.25215230365746188</v>
      </c>
      <c r="N107" s="2047"/>
      <c r="O107" s="1633"/>
      <c r="P107" s="1629" t="s">
        <v>1075</v>
      </c>
      <c r="Q107" s="2528">
        <v>491515</v>
      </c>
      <c r="R107" s="2528">
        <v>495858</v>
      </c>
      <c r="S107" s="2528">
        <v>501774</v>
      </c>
      <c r="T107" s="2528">
        <v>506461</v>
      </c>
      <c r="U107" s="2528">
        <v>510219</v>
      </c>
      <c r="V107" s="2528">
        <v>511944</v>
      </c>
      <c r="W107" s="2528">
        <v>512475</v>
      </c>
      <c r="X107" s="2528">
        <v>513948</v>
      </c>
      <c r="Y107" s="2529">
        <v>515294</v>
      </c>
      <c r="Z107" s="1640"/>
      <c r="AA107" s="2047"/>
    </row>
    <row r="108" spans="1:50" x14ac:dyDescent="0.2">
      <c r="B108" s="2027" t="s">
        <v>9</v>
      </c>
      <c r="C108" s="2028" t="s">
        <v>113</v>
      </c>
      <c r="D108" s="2128">
        <v>6.1994072277081047</v>
      </c>
      <c r="E108" s="1651">
        <f>D108+(F108-D108)/($F$72-$D$72)</f>
        <v>6.0720796587781134</v>
      </c>
      <c r="F108" s="2128">
        <v>5.9447520898481212</v>
      </c>
      <c r="G108" s="2128">
        <v>5.6952059520146383</v>
      </c>
      <c r="H108" s="2128">
        <v>5.3463811275097877</v>
      </c>
      <c r="I108" s="1651">
        <f t="shared" ref="I108:J110" si="88">H108+($K108-$H108)/($K$72-$H$72)</f>
        <v>4.9099996987697168</v>
      </c>
      <c r="J108" s="1651">
        <f t="shared" si="88"/>
        <v>4.4736182700296458</v>
      </c>
      <c r="K108" s="2128">
        <v>4.0372368412895741</v>
      </c>
      <c r="L108" s="1660">
        <f>H32/1000</f>
        <v>4.6595813257351466</v>
      </c>
      <c r="M108" s="259">
        <f t="shared" si="57"/>
        <v>-0.24838276393438755</v>
      </c>
      <c r="N108" s="2044">
        <f>(L108/D108)^(1/9)-1</f>
        <v>-3.1227373436003014E-2</v>
      </c>
      <c r="P108" s="1631" t="s">
        <v>113</v>
      </c>
      <c r="Q108" s="2417">
        <f t="shared" ref="Q108:Y110" si="89">D108*1000000000/Q$112</f>
        <v>1214.625732681965</v>
      </c>
      <c r="R108" s="2417">
        <f t="shared" si="89"/>
        <v>1167.8192432580793</v>
      </c>
      <c r="S108" s="2417">
        <f t="shared" si="89"/>
        <v>1118.846832015998</v>
      </c>
      <c r="T108" s="2417">
        <f t="shared" si="89"/>
        <v>1050.9216225374842</v>
      </c>
      <c r="U108" s="2417">
        <f t="shared" si="89"/>
        <v>972.82792481442118</v>
      </c>
      <c r="V108" s="2417">
        <f t="shared" si="89"/>
        <v>879.50742185544141</v>
      </c>
      <c r="W108" s="2417">
        <f t="shared" si="89"/>
        <v>787.53924741680328</v>
      </c>
      <c r="X108" s="2417">
        <f t="shared" si="89"/>
        <v>697.90708289871407</v>
      </c>
      <c r="Y108" s="2420">
        <f t="shared" si="89"/>
        <v>791.56337208012951</v>
      </c>
      <c r="Z108" s="259">
        <f>(Y108-Q108)/Q108</f>
        <v>-0.34830676579499836</v>
      </c>
      <c r="AA108" s="2044">
        <f>(Y108/Q108)^(1/9)-1</f>
        <v>-4.6461715357364208E-2</v>
      </c>
    </row>
    <row r="109" spans="1:50" x14ac:dyDescent="0.2">
      <c r="B109" s="2029"/>
      <c r="C109" s="2028" t="s">
        <v>114</v>
      </c>
      <c r="D109" s="2129">
        <v>7.0210009614500688</v>
      </c>
      <c r="E109" s="1650">
        <f>D109+(F109-D109)/($F$72-$D$72)</f>
        <v>7.0973424376090986</v>
      </c>
      <c r="F109" s="2129">
        <v>7.1736839137681292</v>
      </c>
      <c r="G109" s="2129">
        <v>8.7013583373630539</v>
      </c>
      <c r="H109" s="2129">
        <v>9.0367227776044281</v>
      </c>
      <c r="I109" s="1650">
        <f t="shared" si="88"/>
        <v>9.2327997510126867</v>
      </c>
      <c r="J109" s="1650">
        <f t="shared" si="88"/>
        <v>9.4288767244209453</v>
      </c>
      <c r="K109" s="2129">
        <v>9.6249536978292038</v>
      </c>
      <c r="L109" s="1635">
        <f>H33/1000</f>
        <v>9.9722115287901332</v>
      </c>
      <c r="M109" s="1674">
        <f t="shared" si="57"/>
        <v>0.42034043059446352</v>
      </c>
      <c r="N109" s="2045">
        <f>(L109/D109)^(1/9)-1</f>
        <v>3.9758535916667892E-2</v>
      </c>
      <c r="P109" s="1629" t="s">
        <v>114</v>
      </c>
      <c r="Q109" s="1630">
        <f t="shared" si="89"/>
        <v>1375.5973956424209</v>
      </c>
      <c r="R109" s="1630">
        <f t="shared" si="89"/>
        <v>1365.0040085771848</v>
      </c>
      <c r="S109" s="1630">
        <f t="shared" si="89"/>
        <v>1350.1409982276746</v>
      </c>
      <c r="T109" s="1630">
        <f t="shared" si="89"/>
        <v>1605.6391461922224</v>
      </c>
      <c r="U109" s="1630">
        <f t="shared" si="89"/>
        <v>1644.3227778179071</v>
      </c>
      <c r="V109" s="1630">
        <f t="shared" si="89"/>
        <v>1653.8322614470649</v>
      </c>
      <c r="W109" s="1630">
        <f t="shared" si="89"/>
        <v>1659.8668083245013</v>
      </c>
      <c r="X109" s="1630">
        <f t="shared" si="89"/>
        <v>1663.8417864386483</v>
      </c>
      <c r="Y109" s="2418">
        <f t="shared" si="89"/>
        <v>1694.0658039872442</v>
      </c>
      <c r="Z109" s="1674">
        <f>(Y109-Q109)/Q109</f>
        <v>0.23151280262208887</v>
      </c>
      <c r="AA109" s="2045">
        <f>(Y109/Q109)^(1/9)-1</f>
        <v>2.3407911820290117E-2</v>
      </c>
    </row>
    <row r="110" spans="1:50" x14ac:dyDescent="0.2">
      <c r="B110" s="2029"/>
      <c r="C110" s="2028" t="s">
        <v>38</v>
      </c>
      <c r="D110" s="2129">
        <v>0.36520418831315682</v>
      </c>
      <c r="E110" s="1650">
        <f>D110+(F110-D110)/($F$72-$D$72)</f>
        <v>0.36467146269902911</v>
      </c>
      <c r="F110" s="2129">
        <v>0.36413873708490141</v>
      </c>
      <c r="G110" s="2129">
        <v>0.39057638505155323</v>
      </c>
      <c r="H110" s="2129">
        <v>0.6213022549125875</v>
      </c>
      <c r="I110" s="1650">
        <f t="shared" si="88"/>
        <v>0.77599139579813392</v>
      </c>
      <c r="J110" s="1650">
        <f t="shared" si="88"/>
        <v>0.93068053668368034</v>
      </c>
      <c r="K110" s="2129">
        <v>1.0853696775692268</v>
      </c>
      <c r="L110" s="1635">
        <f>H34/1000</f>
        <v>0.61748131164311604</v>
      </c>
      <c r="M110" s="1674">
        <f t="shared" si="57"/>
        <v>0.69078376262660923</v>
      </c>
      <c r="N110" s="2045">
        <f>(L110/D110)^(1/9)-1</f>
        <v>6.0090929896804868E-2</v>
      </c>
      <c r="P110" s="1629" t="s">
        <v>38</v>
      </c>
      <c r="Q110" s="1630">
        <f t="shared" si="89"/>
        <v>71.55303539760888</v>
      </c>
      <c r="R110" s="1630">
        <f t="shared" si="89"/>
        <v>70.135830809027155</v>
      </c>
      <c r="S110" s="1630">
        <f t="shared" si="89"/>
        <v>68.533635422323741</v>
      </c>
      <c r="T110" s="1630">
        <f t="shared" si="89"/>
        <v>72.072050029727961</v>
      </c>
      <c r="U110" s="1630">
        <f t="shared" si="89"/>
        <v>113.05220651387737</v>
      </c>
      <c r="V110" s="1630">
        <f t="shared" si="89"/>
        <v>139.00004761129244</v>
      </c>
      <c r="W110" s="1630">
        <f t="shared" si="89"/>
        <v>163.83772713814383</v>
      </c>
      <c r="X110" s="1630">
        <f t="shared" si="89"/>
        <v>187.62515436104567</v>
      </c>
      <c r="Y110" s="2418">
        <f t="shared" si="89"/>
        <v>104.89688988603963</v>
      </c>
      <c r="Z110" s="1674">
        <f>(Y110-Q110)/Q110</f>
        <v>0.46600195649484655</v>
      </c>
      <c r="AA110" s="2045">
        <f>(Y110/Q110)^(1/9)-1</f>
        <v>4.3420570670139824E-2</v>
      </c>
    </row>
    <row r="111" spans="1:50" x14ac:dyDescent="0.2">
      <c r="B111" s="2029"/>
      <c r="C111" s="2028" t="s">
        <v>117</v>
      </c>
      <c r="D111" s="1657">
        <f t="shared" ref="D111:L111" si="90">SUM(D108:D110)</f>
        <v>13.585612377471332</v>
      </c>
      <c r="E111" s="1657">
        <f t="shared" si="90"/>
        <v>13.534093559086241</v>
      </c>
      <c r="F111" s="1657">
        <f t="shared" si="90"/>
        <v>13.482574740701152</v>
      </c>
      <c r="G111" s="1657">
        <f t="shared" si="90"/>
        <v>14.787140674429246</v>
      </c>
      <c r="H111" s="1657">
        <f t="shared" si="90"/>
        <v>15.004406160026802</v>
      </c>
      <c r="I111" s="1657">
        <f t="shared" si="90"/>
        <v>14.918790845580537</v>
      </c>
      <c r="J111" s="1657">
        <f t="shared" si="90"/>
        <v>14.833175531134273</v>
      </c>
      <c r="K111" s="1657">
        <f t="shared" si="90"/>
        <v>14.747560216688006</v>
      </c>
      <c r="L111" s="1657">
        <f t="shared" si="90"/>
        <v>15.249274166168396</v>
      </c>
      <c r="M111" s="1674">
        <f t="shared" si="57"/>
        <v>0.12245762226043425</v>
      </c>
      <c r="N111" s="2045">
        <f>(L111/D111)^(1/9)-1</f>
        <v>1.2918350935033684E-2</v>
      </c>
      <c r="P111" s="1629" t="s">
        <v>117</v>
      </c>
      <c r="Q111" s="253">
        <f t="shared" ref="Q111:Y111" si="91">SUM(Q108:Q110)</f>
        <v>2661.7761637219946</v>
      </c>
      <c r="R111" s="253">
        <f t="shared" si="91"/>
        <v>2602.9590826442914</v>
      </c>
      <c r="S111" s="253">
        <f t="shared" si="91"/>
        <v>2537.5214656659964</v>
      </c>
      <c r="T111" s="253">
        <f t="shared" si="91"/>
        <v>2728.6328187594345</v>
      </c>
      <c r="U111" s="253">
        <f t="shared" si="91"/>
        <v>2730.2029091462059</v>
      </c>
      <c r="V111" s="253">
        <f t="shared" si="91"/>
        <v>2672.3397309137986</v>
      </c>
      <c r="W111" s="253">
        <f t="shared" si="91"/>
        <v>2611.2437828794482</v>
      </c>
      <c r="X111" s="253">
        <f t="shared" si="91"/>
        <v>2549.3740236984081</v>
      </c>
      <c r="Y111" s="254">
        <f t="shared" si="91"/>
        <v>2590.5260659534138</v>
      </c>
      <c r="Z111" s="1674">
        <f>(Y111-Q111)/Q111</f>
        <v>-2.6767877306764585E-2</v>
      </c>
      <c r="AA111" s="2045">
        <f>(Y111/Q111)^(1/9)-1</f>
        <v>-3.0102003817972234E-3</v>
      </c>
    </row>
    <row r="112" spans="1:50" x14ac:dyDescent="0.2">
      <c r="B112" s="2029"/>
      <c r="C112" s="2030" t="s">
        <v>116</v>
      </c>
      <c r="D112" s="81">
        <f t="shared" ref="D112:L112" si="92">SUM(D109:D110)/D111</f>
        <v>0.54367848460122248</v>
      </c>
      <c r="E112" s="81">
        <f t="shared" si="92"/>
        <v>0.5513493657872961</v>
      </c>
      <c r="F112" s="1653">
        <f t="shared" si="92"/>
        <v>0.55907887000973755</v>
      </c>
      <c r="G112" s="1653">
        <f t="shared" si="92"/>
        <v>0.61485414405618599</v>
      </c>
      <c r="H112" s="1653">
        <f t="shared" si="92"/>
        <v>0.64367925857985198</v>
      </c>
      <c r="I112" s="1653">
        <f t="shared" si="92"/>
        <v>0.6708848760203493</v>
      </c>
      <c r="J112" s="1653">
        <f t="shared" si="92"/>
        <v>0.69840454859853229</v>
      </c>
      <c r="K112" s="1653">
        <f t="shared" si="92"/>
        <v>0.72624374595052488</v>
      </c>
      <c r="L112" s="81">
        <f t="shared" si="92"/>
        <v>0.69443914018722541</v>
      </c>
      <c r="M112" s="1674">
        <f>L112-D112</f>
        <v>0.15076065558600293</v>
      </c>
      <c r="N112" s="2046"/>
      <c r="P112" s="1629" t="s">
        <v>1075</v>
      </c>
      <c r="Q112" s="2528">
        <v>5103965</v>
      </c>
      <c r="R112" s="2528">
        <v>5199503</v>
      </c>
      <c r="S112" s="2528">
        <v>5313285</v>
      </c>
      <c r="T112" s="2528">
        <v>5419249</v>
      </c>
      <c r="U112" s="2528">
        <v>5495711</v>
      </c>
      <c r="V112" s="2528">
        <v>5582670</v>
      </c>
      <c r="W112" s="2528">
        <v>5680502</v>
      </c>
      <c r="X112" s="2528">
        <v>5784777</v>
      </c>
      <c r="Y112" s="2529">
        <v>5886555</v>
      </c>
      <c r="Z112" s="1640"/>
      <c r="AA112" s="2047"/>
    </row>
    <row r="113" spans="1:52" s="76" customFormat="1" x14ac:dyDescent="0.2">
      <c r="A113" s="74"/>
      <c r="B113" s="2034" t="s">
        <v>374</v>
      </c>
      <c r="C113" s="2035" t="s">
        <v>113</v>
      </c>
      <c r="D113" s="2128">
        <v>4.0747091091496133</v>
      </c>
      <c r="E113" s="1651">
        <f>D113+(F113-D113)/($F$72-$D$72)</f>
        <v>4.1357070901401691</v>
      </c>
      <c r="F113" s="2128">
        <v>4.196705071130725</v>
      </c>
      <c r="G113" s="1651">
        <f>F113+(H113-F113)/($F$72-$D$72)</f>
        <v>4.0496263882070744</v>
      </c>
      <c r="H113" s="2128">
        <v>3.9025477052834239</v>
      </c>
      <c r="I113" s="1651">
        <f t="shared" ref="I113:J115" si="93">H113+($K113-$H113)/($K$72-$H$72)</f>
        <v>3.9595835106476804</v>
      </c>
      <c r="J113" s="1651">
        <f t="shared" si="93"/>
        <v>4.016619316011937</v>
      </c>
      <c r="K113" s="2128">
        <v>4.0736551213761931</v>
      </c>
      <c r="L113" s="1660">
        <f>H36/1000</f>
        <v>3.6548967333588034</v>
      </c>
      <c r="M113" s="259">
        <f t="shared" si="57"/>
        <v>-0.1030287965460249</v>
      </c>
      <c r="N113" s="2044">
        <f>(L113/D113)^(1/9)-1</f>
        <v>-1.2008594410288675E-2</v>
      </c>
      <c r="O113" s="2048"/>
      <c r="P113" s="1631" t="s">
        <v>113</v>
      </c>
      <c r="Q113" s="2417">
        <f t="shared" ref="Q113:Y115" si="94">D113*1000000000/Q$117</f>
        <v>1961.949951128124</v>
      </c>
      <c r="R113" s="2417">
        <f t="shared" si="94"/>
        <v>1937.0938958205124</v>
      </c>
      <c r="S113" s="2417">
        <f t="shared" si="94"/>
        <v>1899.883142923049</v>
      </c>
      <c r="T113" s="2417">
        <f t="shared" si="94"/>
        <v>1788.9041435315319</v>
      </c>
      <c r="U113" s="2417">
        <f t="shared" si="94"/>
        <v>1682.812284652648</v>
      </c>
      <c r="V113" s="2417">
        <f t="shared" si="94"/>
        <v>1655.6266748875562</v>
      </c>
      <c r="W113" s="2417">
        <f t="shared" si="94"/>
        <v>1619.9272419634949</v>
      </c>
      <c r="X113" s="2417">
        <f t="shared" si="94"/>
        <v>1606.0978223097725</v>
      </c>
      <c r="Y113" s="2420">
        <f t="shared" si="94"/>
        <v>1420.5253773472089</v>
      </c>
      <c r="Z113" s="259">
        <f>(Y113-Q113)/Q113</f>
        <v>-0.27596247981228839</v>
      </c>
      <c r="AA113" s="2044">
        <f>(Y113/Q113)^(1/9)-1</f>
        <v>-3.52430920861172E-2</v>
      </c>
      <c r="AB113" s="74"/>
    </row>
    <row r="114" spans="1:52" x14ac:dyDescent="0.2">
      <c r="B114" s="2036"/>
      <c r="C114" s="2037" t="s">
        <v>114</v>
      </c>
      <c r="D114" s="2129">
        <v>1.8821907878201629</v>
      </c>
      <c r="E114" s="1650">
        <f>D114+(F114-D114)/($F$72-$D$72)</f>
        <v>1.935771605272244</v>
      </c>
      <c r="F114" s="2129">
        <v>1.9893524227243251</v>
      </c>
      <c r="G114" s="2129">
        <v>2.4461995858563697</v>
      </c>
      <c r="H114" s="2129">
        <v>2.7058099736129209</v>
      </c>
      <c r="I114" s="1650">
        <f t="shared" si="93"/>
        <v>2.9673150532474422</v>
      </c>
      <c r="J114" s="1650">
        <f t="shared" si="93"/>
        <v>3.2288201328819635</v>
      </c>
      <c r="K114" s="2129">
        <v>3.4903252125164848</v>
      </c>
      <c r="L114" s="1635">
        <f>H37/1000</f>
        <v>3.4106745734224613</v>
      </c>
      <c r="M114" s="1674">
        <f t="shared" si="57"/>
        <v>0.81207696663550977</v>
      </c>
      <c r="N114" s="2045">
        <f>(L114/D114)^(1/9)-1</f>
        <v>6.828294093537024E-2</v>
      </c>
      <c r="P114" s="1629" t="s">
        <v>114</v>
      </c>
      <c r="Q114" s="1630">
        <f t="shared" si="94"/>
        <v>906.26447809135732</v>
      </c>
      <c r="R114" s="1630">
        <f t="shared" si="94"/>
        <v>906.68204458078526</v>
      </c>
      <c r="S114" s="1630">
        <f t="shared" si="94"/>
        <v>900.59631763657535</v>
      </c>
      <c r="T114" s="1630">
        <f t="shared" si="94"/>
        <v>1080.5976047042225</v>
      </c>
      <c r="U114" s="1630">
        <f t="shared" si="94"/>
        <v>1166.7686361314552</v>
      </c>
      <c r="V114" s="1630">
        <f t="shared" si="94"/>
        <v>1240.7279557915574</v>
      </c>
      <c r="W114" s="1630">
        <f t="shared" si="94"/>
        <v>1302.2029924033106</v>
      </c>
      <c r="X114" s="1630">
        <f t="shared" si="94"/>
        <v>1376.1115155673328</v>
      </c>
      <c r="Y114" s="2418">
        <f t="shared" si="94"/>
        <v>1325.6051097692782</v>
      </c>
      <c r="Z114" s="1674">
        <f>(Y114-Q114)/Q114</f>
        <v>0.46271330479715511</v>
      </c>
      <c r="AA114" s="2045">
        <f>(Y114/Q114)^(1/9)-1</f>
        <v>4.3160235041511896E-2</v>
      </c>
    </row>
    <row r="115" spans="1:52" x14ac:dyDescent="0.2">
      <c r="B115" s="2036"/>
      <c r="C115" s="2037" t="s">
        <v>38</v>
      </c>
      <c r="D115" s="2129">
        <v>0.22309840141008735</v>
      </c>
      <c r="E115" s="1650">
        <f>D115+(F115-D115)/($F$72-$D$72)</f>
        <v>0.22847238494767175</v>
      </c>
      <c r="F115" s="2129">
        <v>0.23384636848525617</v>
      </c>
      <c r="G115" s="2129">
        <v>0.16668020628572622</v>
      </c>
      <c r="H115" s="2129">
        <v>0.19349040538415005</v>
      </c>
      <c r="I115" s="1650">
        <f t="shared" si="93"/>
        <v>0.20959077944035998</v>
      </c>
      <c r="J115" s="1650">
        <f t="shared" si="93"/>
        <v>0.2256911534965699</v>
      </c>
      <c r="K115" s="2129">
        <v>0.2417915275527798</v>
      </c>
      <c r="L115" s="1635">
        <f>H38/1000</f>
        <v>0.22948561010201246</v>
      </c>
      <c r="M115" s="1674">
        <f t="shared" si="57"/>
        <v>2.8629558309494499E-2</v>
      </c>
      <c r="N115" s="2045">
        <f>(L115/D115)^(1/9)-1</f>
        <v>3.1413002858071692E-3</v>
      </c>
      <c r="P115" s="1629" t="s">
        <v>38</v>
      </c>
      <c r="Q115" s="1630">
        <f t="shared" si="94"/>
        <v>107.42064918460707</v>
      </c>
      <c r="R115" s="1630">
        <f t="shared" si="94"/>
        <v>107.01252593560474</v>
      </c>
      <c r="S115" s="1630">
        <f t="shared" si="94"/>
        <v>105.86418773507157</v>
      </c>
      <c r="T115" s="1630">
        <f t="shared" si="94"/>
        <v>73.630227355674563</v>
      </c>
      <c r="U115" s="1630">
        <f t="shared" si="94"/>
        <v>83.434734366487703</v>
      </c>
      <c r="V115" s="1630">
        <f t="shared" si="94"/>
        <v>87.636511344894942</v>
      </c>
      <c r="W115" s="1630">
        <f t="shared" si="94"/>
        <v>91.022628498003186</v>
      </c>
      <c r="X115" s="1630">
        <f t="shared" si="94"/>
        <v>95.329828933648344</v>
      </c>
      <c r="Y115" s="2418">
        <f t="shared" si="94"/>
        <v>89.192706844643169</v>
      </c>
      <c r="Z115" s="1674">
        <f>(Y115-Q115)/Q115</f>
        <v>-0.16968750867105997</v>
      </c>
      <c r="AA115" s="2045">
        <f>(Y115/Q115)^(1/9)-1</f>
        <v>-2.0449475988310706E-2</v>
      </c>
    </row>
    <row r="116" spans="1:52" x14ac:dyDescent="0.2">
      <c r="B116" s="2036"/>
      <c r="C116" s="2037" t="s">
        <v>117</v>
      </c>
      <c r="D116" s="1657">
        <f t="shared" ref="D116:L116" si="95">SUM(D113:D115)</f>
        <v>6.1799982983798643</v>
      </c>
      <c r="E116" s="1657">
        <f t="shared" si="95"/>
        <v>6.2999510803600849</v>
      </c>
      <c r="F116" s="1657">
        <f t="shared" si="95"/>
        <v>6.4199038623403064</v>
      </c>
      <c r="G116" s="1657">
        <f t="shared" si="95"/>
        <v>6.6625061803491707</v>
      </c>
      <c r="H116" s="1657">
        <f t="shared" si="95"/>
        <v>6.8018480842804951</v>
      </c>
      <c r="I116" s="1657">
        <f t="shared" si="95"/>
        <v>7.1364893433354819</v>
      </c>
      <c r="J116" s="1657">
        <f t="shared" si="95"/>
        <v>7.4711306023904704</v>
      </c>
      <c r="K116" s="1657">
        <f t="shared" si="95"/>
        <v>7.8057718614454581</v>
      </c>
      <c r="L116" s="1657">
        <f t="shared" si="95"/>
        <v>7.2950569168832775</v>
      </c>
      <c r="M116" s="1674">
        <f t="shared" si="57"/>
        <v>0.18043024684905412</v>
      </c>
      <c r="N116" s="2045">
        <f>(L116/D116)^(1/9)-1</f>
        <v>1.8601897855001104E-2</v>
      </c>
      <c r="P116" s="1629" t="s">
        <v>117</v>
      </c>
      <c r="Q116" s="253">
        <f t="shared" ref="Q116:Y116" si="96">SUM(Q113:Q115)</f>
        <v>2975.6350784040883</v>
      </c>
      <c r="R116" s="253">
        <f t="shared" si="96"/>
        <v>2950.7884663369023</v>
      </c>
      <c r="S116" s="253">
        <f t="shared" si="96"/>
        <v>2906.3436482946959</v>
      </c>
      <c r="T116" s="253">
        <f t="shared" si="96"/>
        <v>2943.1319755914287</v>
      </c>
      <c r="U116" s="253">
        <f t="shared" si="96"/>
        <v>2933.0156551505906</v>
      </c>
      <c r="V116" s="253">
        <f t="shared" si="96"/>
        <v>2983.9911420240087</v>
      </c>
      <c r="W116" s="253">
        <f t="shared" si="96"/>
        <v>3013.1528628648089</v>
      </c>
      <c r="X116" s="253">
        <f t="shared" si="96"/>
        <v>3077.5391668107536</v>
      </c>
      <c r="Y116" s="254">
        <f t="shared" si="96"/>
        <v>2835.3231939611301</v>
      </c>
      <c r="Z116" s="1674">
        <f>(Y116-Q116)/Q116</f>
        <v>-4.7153592677167656E-2</v>
      </c>
      <c r="AA116" s="2045">
        <f>(Y116/Q116)^(1/9)-1</f>
        <v>-5.3524637866170233E-3</v>
      </c>
    </row>
    <row r="117" spans="1:52" x14ac:dyDescent="0.2">
      <c r="B117" s="2038"/>
      <c r="C117" s="2039" t="s">
        <v>116</v>
      </c>
      <c r="D117" s="1653">
        <f t="shared" ref="D117:L117" si="97">SUM(D114:D115)/D116</f>
        <v>0.34066177490407534</v>
      </c>
      <c r="E117" s="81">
        <f t="shared" si="97"/>
        <v>0.34353345964334292</v>
      </c>
      <c r="F117" s="81">
        <f t="shared" si="97"/>
        <v>0.34629783231662575</v>
      </c>
      <c r="G117" s="81">
        <f t="shared" si="97"/>
        <v>0.39217671570027107</v>
      </c>
      <c r="H117" s="81">
        <f t="shared" si="97"/>
        <v>0.42625185730000925</v>
      </c>
      <c r="I117" s="81">
        <f t="shared" si="97"/>
        <v>0.44516367640268434</v>
      </c>
      <c r="J117" s="81">
        <f t="shared" si="97"/>
        <v>0.46238132756951467</v>
      </c>
      <c r="K117" s="1653">
        <f t="shared" si="97"/>
        <v>0.47812270283007713</v>
      </c>
      <c r="L117" s="81">
        <f t="shared" si="97"/>
        <v>0.49898996334077772</v>
      </c>
      <c r="M117" s="1674">
        <f>L117-D117</f>
        <v>0.15832818843670238</v>
      </c>
      <c r="N117" s="2047"/>
      <c r="O117" s="1633"/>
      <c r="P117" s="1634" t="s">
        <v>1075</v>
      </c>
      <c r="Q117" s="2528">
        <v>2076867</v>
      </c>
      <c r="R117" s="2528">
        <v>2135006</v>
      </c>
      <c r="S117" s="2528">
        <v>2208928</v>
      </c>
      <c r="T117" s="2528">
        <v>2263747</v>
      </c>
      <c r="U117" s="2528">
        <v>2319063</v>
      </c>
      <c r="V117" s="2528">
        <v>2391592</v>
      </c>
      <c r="W117" s="2528">
        <v>2479506</v>
      </c>
      <c r="X117" s="2528">
        <v>2536368</v>
      </c>
      <c r="Y117" s="2529">
        <v>2572919</v>
      </c>
      <c r="Z117" s="1640"/>
      <c r="AA117" s="2047"/>
    </row>
    <row r="118" spans="1:52" x14ac:dyDescent="0.2">
      <c r="B118" s="1641" t="s">
        <v>433</v>
      </c>
      <c r="C118" s="1631" t="s">
        <v>113</v>
      </c>
      <c r="D118" s="1652">
        <f t="shared" ref="D118:L121" si="98">SUMIF($C$78:$C$117,$C118,D$78:D$117)</f>
        <v>29.273882570315926</v>
      </c>
      <c r="E118" s="1652">
        <f t="shared" si="98"/>
        <v>30.021675880681077</v>
      </c>
      <c r="F118" s="1652">
        <f t="shared" si="98"/>
        <v>30.769469191046223</v>
      </c>
      <c r="G118" s="1652">
        <f t="shared" si="98"/>
        <v>28.513815790001804</v>
      </c>
      <c r="H118" s="1652">
        <f t="shared" si="98"/>
        <v>26.325719306071015</v>
      </c>
      <c r="I118" s="1652">
        <f t="shared" si="98"/>
        <v>25.997553613567248</v>
      </c>
      <c r="J118" s="1652">
        <f t="shared" si="98"/>
        <v>25.669387921063485</v>
      </c>
      <c r="K118" s="1652">
        <f t="shared" si="98"/>
        <v>25.341222228559708</v>
      </c>
      <c r="L118" s="1652">
        <f t="shared" si="98"/>
        <v>26.789670052573729</v>
      </c>
      <c r="M118" s="259">
        <f>(L118-D118)/D118</f>
        <v>-8.4861053595303368E-2</v>
      </c>
      <c r="N118" s="2044">
        <f>(L118/D118)^(1/9)-1</f>
        <v>-9.8048791157131499E-3</v>
      </c>
      <c r="O118" s="1632"/>
      <c r="P118" s="1631" t="s">
        <v>113</v>
      </c>
      <c r="Q118" s="2530">
        <f t="shared" ref="Q118:Y121" si="99">D118*1000000000/Q$122</f>
        <v>1419.1645070698869</v>
      </c>
      <c r="R118" s="2530">
        <f t="shared" si="99"/>
        <v>1428.5069961617121</v>
      </c>
      <c r="S118" s="2530">
        <f t="shared" si="99"/>
        <v>1432.7624546920624</v>
      </c>
      <c r="T118" s="2530">
        <f t="shared" si="99"/>
        <v>1304.0477186495809</v>
      </c>
      <c r="U118" s="2530">
        <f t="shared" si="99"/>
        <v>1187.3156438315921</v>
      </c>
      <c r="V118" s="2530">
        <f t="shared" si="99"/>
        <v>1154.4053996784257</v>
      </c>
      <c r="W118" s="2530">
        <f t="shared" si="99"/>
        <v>1119.9168511089135</v>
      </c>
      <c r="X118" s="2530">
        <f t="shared" si="99"/>
        <v>1088.2721922014032</v>
      </c>
      <c r="Y118" s="2422">
        <f t="shared" si="99"/>
        <v>1134.4726639145265</v>
      </c>
      <c r="Z118" s="259">
        <f>(Y118-Q118)/Q118</f>
        <v>-0.20060524466128063</v>
      </c>
      <c r="AA118" s="2044">
        <f>(Y118/Q118)^(1/9)-1</f>
        <v>-2.4570918786911311E-2</v>
      </c>
    </row>
    <row r="119" spans="1:52" s="77" customFormat="1" x14ac:dyDescent="0.2">
      <c r="A119" s="74"/>
      <c r="B119" s="1639"/>
      <c r="C119" s="1629" t="s">
        <v>114</v>
      </c>
      <c r="D119" s="253">
        <f t="shared" si="98"/>
        <v>26.757674395055759</v>
      </c>
      <c r="E119" s="253">
        <f t="shared" si="98"/>
        <v>27.722179657621233</v>
      </c>
      <c r="F119" s="253">
        <f t="shared" si="98"/>
        <v>28.686684920186721</v>
      </c>
      <c r="G119" s="253">
        <f t="shared" si="98"/>
        <v>30.769912488663927</v>
      </c>
      <c r="H119" s="253">
        <f t="shared" si="98"/>
        <v>33.007714769962675</v>
      </c>
      <c r="I119" s="253">
        <f t="shared" si="98"/>
        <v>33.689069478579817</v>
      </c>
      <c r="J119" s="253">
        <f t="shared" si="98"/>
        <v>34.370424187196967</v>
      </c>
      <c r="K119" s="253">
        <f t="shared" si="98"/>
        <v>35.05177889581411</v>
      </c>
      <c r="L119" s="253">
        <f t="shared" si="98"/>
        <v>34.770604924866653</v>
      </c>
      <c r="M119" s="1674">
        <f>(L119-D119)/D119</f>
        <v>0.29946289096377943</v>
      </c>
      <c r="N119" s="2045">
        <f>(L119/D119)^(1/9)-1</f>
        <v>2.9533378180730097E-2</v>
      </c>
      <c r="P119" s="1629" t="s">
        <v>114</v>
      </c>
      <c r="Q119" s="2532">
        <f t="shared" si="99"/>
        <v>1297.1815987163068</v>
      </c>
      <c r="R119" s="2532">
        <f t="shared" si="99"/>
        <v>1319.091170897866</v>
      </c>
      <c r="S119" s="2532">
        <f t="shared" si="99"/>
        <v>1335.7788152934652</v>
      </c>
      <c r="T119" s="2532">
        <f t="shared" si="99"/>
        <v>1407.2277971985488</v>
      </c>
      <c r="U119" s="2532">
        <f t="shared" si="99"/>
        <v>1488.680163222358</v>
      </c>
      <c r="V119" s="2532">
        <f t="shared" si="99"/>
        <v>1495.9424372883441</v>
      </c>
      <c r="W119" s="2532">
        <f t="shared" si="99"/>
        <v>1499.5299983533282</v>
      </c>
      <c r="X119" s="2532">
        <f t="shared" si="99"/>
        <v>1505.2895205865748</v>
      </c>
      <c r="Y119" s="2533">
        <f t="shared" si="99"/>
        <v>1472.4444428625336</v>
      </c>
      <c r="Z119" s="1674">
        <f t="shared" ref="Z119:Z120" si="100">(Y119-Q119)/Q119</f>
        <v>0.135110492100464</v>
      </c>
      <c r="AA119" s="2045">
        <f>(Y119/Q119)^(1/9)-1</f>
        <v>1.4180716483646494E-2</v>
      </c>
      <c r="AB119" s="74"/>
    </row>
    <row r="120" spans="1:52" x14ac:dyDescent="0.2">
      <c r="B120" s="1639"/>
      <c r="C120" s="1629" t="s">
        <v>38</v>
      </c>
      <c r="D120" s="1656">
        <f t="shared" si="98"/>
        <v>1.3680336551714096</v>
      </c>
      <c r="E120" s="1656">
        <f t="shared" si="98"/>
        <v>1.4228168500479004</v>
      </c>
      <c r="F120" s="1656">
        <f t="shared" si="98"/>
        <v>1.4776000449243909</v>
      </c>
      <c r="G120" s="1656">
        <f t="shared" si="98"/>
        <v>1.7193217859195711</v>
      </c>
      <c r="H120" s="1656">
        <f t="shared" si="98"/>
        <v>1.9661091943209188</v>
      </c>
      <c r="I120" s="1656">
        <f t="shared" si="98"/>
        <v>2.2734567438777846</v>
      </c>
      <c r="J120" s="1656">
        <f t="shared" si="98"/>
        <v>2.5808042934346513</v>
      </c>
      <c r="K120" s="1656">
        <f>SUMIF($C$78:$C$117,$C120,K$78:K$117)</f>
        <v>2.8881518429915176</v>
      </c>
      <c r="L120" s="1656">
        <f t="shared" si="98"/>
        <v>2.3112814754915849</v>
      </c>
      <c r="M120" s="1674">
        <f>(L120-D120)/D120</f>
        <v>0.68949167789442267</v>
      </c>
      <c r="N120" s="2045">
        <f>(L120/D120)^(1/9)-1</f>
        <v>6.000088666259118E-2</v>
      </c>
      <c r="P120" s="1629" t="s">
        <v>38</v>
      </c>
      <c r="Q120" s="2532">
        <f t="shared" si="99"/>
        <v>66.320714487835588</v>
      </c>
      <c r="R120" s="2532">
        <f t="shared" si="99"/>
        <v>67.701211372350798</v>
      </c>
      <c r="S120" s="2532">
        <f t="shared" si="99"/>
        <v>68.803587552138339</v>
      </c>
      <c r="T120" s="2532">
        <f t="shared" si="99"/>
        <v>78.631273662752307</v>
      </c>
      <c r="U120" s="2532">
        <f t="shared" si="99"/>
        <v>88.673444275462458</v>
      </c>
      <c r="V120" s="2532">
        <f t="shared" si="99"/>
        <v>100.95145028177623</v>
      </c>
      <c r="W120" s="2532">
        <f t="shared" si="99"/>
        <v>112.59661611409216</v>
      </c>
      <c r="X120" s="2532">
        <f t="shared" si="99"/>
        <v>124.03092910177845</v>
      </c>
      <c r="Y120" s="2533">
        <f t="shared" si="99"/>
        <v>97.876743065946314</v>
      </c>
      <c r="Z120" s="1674">
        <f t="shared" si="100"/>
        <v>0.47580953887188099</v>
      </c>
      <c r="AA120" s="2045">
        <f>(Y120/Q120)^(1/9)-1</f>
        <v>4.4193885785847931E-2</v>
      </c>
    </row>
    <row r="121" spans="1:52" x14ac:dyDescent="0.2">
      <c r="B121" s="1639"/>
      <c r="C121" s="1629" t="s">
        <v>117</v>
      </c>
      <c r="D121" s="253">
        <f>SUMIF($C$78:$C$117,$C121,D$78:D$117)</f>
        <v>57.399590620543101</v>
      </c>
      <c r="E121" s="253">
        <f t="shared" si="98"/>
        <v>59.166672388350221</v>
      </c>
      <c r="F121" s="253">
        <f t="shared" si="98"/>
        <v>60.933754156157335</v>
      </c>
      <c r="G121" s="253">
        <f t="shared" si="98"/>
        <v>61.003050064585302</v>
      </c>
      <c r="H121" s="253">
        <f t="shared" si="98"/>
        <v>61.299543270354611</v>
      </c>
      <c r="I121" s="253">
        <f t="shared" si="98"/>
        <v>61.96007983602486</v>
      </c>
      <c r="J121" s="253">
        <f t="shared" si="98"/>
        <v>62.620616401695102</v>
      </c>
      <c r="K121" s="253">
        <f t="shared" si="98"/>
        <v>63.281152967365337</v>
      </c>
      <c r="L121" s="253">
        <f t="shared" si="98"/>
        <v>63.871556452931969</v>
      </c>
      <c r="M121" s="1674">
        <f>(L121-D121)/D121</f>
        <v>0.11275282214421535</v>
      </c>
      <c r="N121" s="2045">
        <f>(L121/D121)^(1/9)-1</f>
        <v>1.1941511161344565E-2</v>
      </c>
      <c r="P121" s="1629" t="s">
        <v>117</v>
      </c>
      <c r="Q121" s="2532">
        <f t="shared" si="99"/>
        <v>2782.6668202740298</v>
      </c>
      <c r="R121" s="2532">
        <f t="shared" si="99"/>
        <v>2815.2993784319297</v>
      </c>
      <c r="S121" s="2532">
        <f t="shared" si="99"/>
        <v>2837.3448575376656</v>
      </c>
      <c r="T121" s="2532">
        <f t="shared" si="99"/>
        <v>2789.9067895108824</v>
      </c>
      <c r="U121" s="2532">
        <f t="shared" si="99"/>
        <v>2764.6692513294129</v>
      </c>
      <c r="V121" s="2532">
        <f t="shared" si="99"/>
        <v>2751.2992872485461</v>
      </c>
      <c r="W121" s="2532">
        <f t="shared" si="99"/>
        <v>2732.0434655763338</v>
      </c>
      <c r="X121" s="2532">
        <f t="shared" si="99"/>
        <v>2717.5926418897566</v>
      </c>
      <c r="Y121" s="2533">
        <f t="shared" si="99"/>
        <v>2704.7938498430062</v>
      </c>
      <c r="Z121" s="1674">
        <f>(Y121-Q121)/Q121</f>
        <v>-2.7985014182673441E-2</v>
      </c>
      <c r="AA121" s="2045">
        <f>(Y121/Q121)^(1/9)-1</f>
        <v>-3.1488161727231123E-3</v>
      </c>
      <c r="AC121" s="2540"/>
    </row>
    <row r="122" spans="1:52" x14ac:dyDescent="0.2">
      <c r="B122" s="1640"/>
      <c r="C122" s="1634" t="s">
        <v>116</v>
      </c>
      <c r="D122" s="1653">
        <f>SUM(D119:D120)/D121</f>
        <v>0.48999840845835374</v>
      </c>
      <c r="E122" s="1653">
        <f t="shared" ref="E122:L122" si="101">SUM(E119:E120)/E121</f>
        <v>0.49259144263464977</v>
      </c>
      <c r="F122" s="1653">
        <f t="shared" si="101"/>
        <v>0.49503408058213366</v>
      </c>
      <c r="G122" s="1653">
        <f t="shared" si="101"/>
        <v>0.53258376819169551</v>
      </c>
      <c r="H122" s="1653">
        <f t="shared" si="101"/>
        <v>0.57053971528034975</v>
      </c>
      <c r="I122" s="1653">
        <f t="shared" si="101"/>
        <v>0.58041445907802491</v>
      </c>
      <c r="J122" s="1653">
        <f t="shared" si="101"/>
        <v>0.59008088076934628</v>
      </c>
      <c r="K122" s="1653">
        <f t="shared" si="101"/>
        <v>0.59954550383068395</v>
      </c>
      <c r="L122" s="1653">
        <f t="shared" si="101"/>
        <v>0.58056963787448179</v>
      </c>
      <c r="M122" s="1666">
        <f>(L122-D122)/D122</f>
        <v>0.18483984407436282</v>
      </c>
      <c r="N122" s="2239">
        <f>(L122/D122)^(1/9)-1</f>
        <v>1.9023983535076505E-2</v>
      </c>
      <c r="O122" s="1633"/>
      <c r="P122" s="1634" t="s">
        <v>1075</v>
      </c>
      <c r="Q122" s="2534">
        <v>20627547</v>
      </c>
      <c r="R122" s="2534">
        <v>21016121</v>
      </c>
      <c r="S122" s="2534">
        <v>21475625</v>
      </c>
      <c r="T122" s="2534">
        <v>21865623</v>
      </c>
      <c r="U122" s="2534">
        <v>22172469</v>
      </c>
      <c r="V122" s="2534">
        <v>22520298</v>
      </c>
      <c r="W122" s="2534">
        <v>22920798</v>
      </c>
      <c r="X122" s="2534">
        <v>23285739</v>
      </c>
      <c r="Y122" s="2535">
        <v>23614205</v>
      </c>
      <c r="Z122" s="1666">
        <f>(Y122-Q122)/Q122</f>
        <v>0.14478978038445386</v>
      </c>
      <c r="AA122" s="2239">
        <f>(Y122/Q122)^(1/9)-1</f>
        <v>1.5137994094695628E-2</v>
      </c>
      <c r="AC122" s="2539"/>
    </row>
    <row r="123" spans="1:52" ht="15" customHeight="1" x14ac:dyDescent="0.25">
      <c r="B123" s="2432" t="s">
        <v>1363</v>
      </c>
      <c r="C123" s="1632"/>
      <c r="D123" s="2292" t="s">
        <v>1080</v>
      </c>
      <c r="E123" s="2292"/>
      <c r="F123" s="2292"/>
      <c r="G123" s="2292"/>
      <c r="H123" s="2292"/>
      <c r="I123" s="2292"/>
      <c r="J123" s="2292"/>
      <c r="K123" s="2292"/>
      <c r="L123" s="2292"/>
      <c r="M123" s="2803" t="s">
        <v>1102</v>
      </c>
      <c r="N123" s="2805" t="s">
        <v>1103</v>
      </c>
      <c r="O123" s="1632"/>
      <c r="P123" s="1632"/>
      <c r="Q123" s="2293" t="s">
        <v>1301</v>
      </c>
      <c r="R123" s="2293"/>
      <c r="S123" s="2293"/>
      <c r="T123" s="2293"/>
      <c r="U123" s="2293"/>
      <c r="V123" s="2293"/>
      <c r="W123" s="2293"/>
      <c r="X123" s="2293"/>
      <c r="Y123" s="2294"/>
      <c r="Z123" s="2803" t="s">
        <v>1102</v>
      </c>
      <c r="AA123" s="2805" t="s">
        <v>1103</v>
      </c>
    </row>
    <row r="124" spans="1:52" ht="15.75" x14ac:dyDescent="0.25">
      <c r="B124" s="2436" t="s">
        <v>1335</v>
      </c>
      <c r="D124" s="1287" t="s">
        <v>1067</v>
      </c>
      <c r="E124" s="1287" t="s">
        <v>1068</v>
      </c>
      <c r="F124" s="1287" t="s">
        <v>1069</v>
      </c>
      <c r="G124" s="1287" t="s">
        <v>1070</v>
      </c>
      <c r="H124" s="1287" t="s">
        <v>1071</v>
      </c>
      <c r="I124" s="1287" t="s">
        <v>1072</v>
      </c>
      <c r="J124" s="1287" t="s">
        <v>1073</v>
      </c>
      <c r="K124" s="1287" t="s">
        <v>876</v>
      </c>
      <c r="L124" s="1287" t="s">
        <v>958</v>
      </c>
      <c r="M124" s="2804"/>
      <c r="N124" s="2806"/>
      <c r="O124" s="2295" t="s">
        <v>1150</v>
      </c>
      <c r="Q124" s="1287" t="s">
        <v>1067</v>
      </c>
      <c r="R124" s="1287" t="s">
        <v>1068</v>
      </c>
      <c r="S124" s="1287" t="s">
        <v>1069</v>
      </c>
      <c r="T124" s="1287" t="s">
        <v>1070</v>
      </c>
      <c r="U124" s="1287" t="s">
        <v>1071</v>
      </c>
      <c r="V124" s="1287" t="s">
        <v>1072</v>
      </c>
      <c r="W124" s="1287" t="s">
        <v>1073</v>
      </c>
      <c r="X124" s="1287" t="s">
        <v>876</v>
      </c>
      <c r="Y124" s="2296" t="s">
        <v>958</v>
      </c>
      <c r="Z124" s="2804"/>
      <c r="AA124" s="2806"/>
    </row>
    <row r="125" spans="1:52" x14ac:dyDescent="0.2">
      <c r="B125" s="1983" t="s">
        <v>3</v>
      </c>
      <c r="C125" s="1984" t="s">
        <v>113</v>
      </c>
      <c r="D125" s="2128">
        <v>0.16198037651605135</v>
      </c>
      <c r="E125" s="1651">
        <f>D125+(F125-D125)/($F$72-$D$72)</f>
        <v>0.16428820925795479</v>
      </c>
      <c r="F125" s="2128">
        <v>0.16659604199985825</v>
      </c>
      <c r="G125" s="2128">
        <v>0.15754858501082319</v>
      </c>
      <c r="H125" s="2128">
        <v>0.20829760050099916</v>
      </c>
      <c r="I125" s="1651">
        <f t="shared" ref="I125:I127" si="102">H125+($K125-$H125)/($K$72-$H$72)</f>
        <v>0.19067746807726596</v>
      </c>
      <c r="J125" s="1651">
        <f t="shared" ref="J125:J127" si="103">I125+($K125-$H125)/($K$72-$H$72)</f>
        <v>0.17305733565353276</v>
      </c>
      <c r="K125" s="2128">
        <v>0.15543720322979954</v>
      </c>
      <c r="L125" s="1660">
        <f>I8/1000</f>
        <v>0.19052274053777465</v>
      </c>
      <c r="M125" s="259">
        <f t="shared" ref="M125:M168" si="104">(L125-D125)/D125</f>
        <v>0.17620877686313388</v>
      </c>
      <c r="N125" s="2044">
        <f>(L125/D125)^(1/9)-1</f>
        <v>1.8196504490433529E-2</v>
      </c>
      <c r="O125" s="1632"/>
      <c r="P125" s="1631" t="s">
        <v>113</v>
      </c>
      <c r="Q125" s="2417">
        <f t="shared" ref="Q125:Y127" si="105">D125*1000000000/Q$129</f>
        <v>478.69229216785624</v>
      </c>
      <c r="R125" s="2417">
        <f t="shared" si="105"/>
        <v>477.33778432533001</v>
      </c>
      <c r="S125" s="2417">
        <f t="shared" si="105"/>
        <v>474.49606238620299</v>
      </c>
      <c r="T125" s="2417">
        <f t="shared" si="105"/>
        <v>440.25324222898735</v>
      </c>
      <c r="U125" s="2417">
        <f t="shared" si="105"/>
        <v>570.93958194845084</v>
      </c>
      <c r="V125" s="2417">
        <f t="shared" si="105"/>
        <v>513.80586804182599</v>
      </c>
      <c r="W125" s="2417">
        <f t="shared" si="105"/>
        <v>457.91207204971533</v>
      </c>
      <c r="X125" s="2417">
        <f t="shared" si="105"/>
        <v>405.5130396540647</v>
      </c>
      <c r="Y125" s="2420">
        <f t="shared" si="105"/>
        <v>491.36472328964788</v>
      </c>
      <c r="Z125" s="259">
        <f>(Y125-Q125)/Q125</f>
        <v>2.6473021039051921E-2</v>
      </c>
      <c r="AA125" s="2044">
        <f>(Y125/Q125)^(1/9)-1</f>
        <v>2.9074043987951104E-3</v>
      </c>
    </row>
    <row r="126" spans="1:52" x14ac:dyDescent="0.2">
      <c r="B126" s="1985"/>
      <c r="C126" s="1986" t="s">
        <v>114</v>
      </c>
      <c r="D126" s="2129">
        <v>0.52356769459413444</v>
      </c>
      <c r="E126" s="1650">
        <f>D126+(F126-D126)/($F$72-$D$72)</f>
        <v>0.53490822982416719</v>
      </c>
      <c r="F126" s="2129">
        <v>0.54624876505419984</v>
      </c>
      <c r="G126" s="2129">
        <v>0.54947832076082936</v>
      </c>
      <c r="H126" s="2129">
        <v>0.67030374680623528</v>
      </c>
      <c r="I126" s="1650">
        <f t="shared" si="102"/>
        <v>0.66949512936663669</v>
      </c>
      <c r="J126" s="1650">
        <f t="shared" si="103"/>
        <v>0.6686865119270381</v>
      </c>
      <c r="K126" s="2129">
        <v>0.66787789448743951</v>
      </c>
      <c r="L126" s="1635">
        <f t="shared" ref="L126:L127" si="106">I9/1000</f>
        <v>0.54713059214797033</v>
      </c>
      <c r="M126" s="1674">
        <f t="shared" si="104"/>
        <v>4.5004490913255576E-2</v>
      </c>
      <c r="N126" s="2045">
        <f>(L126/D126)^(1/9)-1</f>
        <v>4.9032242019457772E-3</v>
      </c>
      <c r="P126" s="1629" t="s">
        <v>114</v>
      </c>
      <c r="Q126" s="1630">
        <f t="shared" si="105"/>
        <v>1547.2727327897678</v>
      </c>
      <c r="R126" s="1630">
        <f t="shared" si="105"/>
        <v>1554.1706273074451</v>
      </c>
      <c r="S126" s="1630">
        <f t="shared" si="105"/>
        <v>1555.8166027843833</v>
      </c>
      <c r="T126" s="1630">
        <f t="shared" si="105"/>
        <v>1535.460392950378</v>
      </c>
      <c r="U126" s="1630">
        <f t="shared" si="105"/>
        <v>1837.2892441370034</v>
      </c>
      <c r="V126" s="1630">
        <f t="shared" si="105"/>
        <v>1804.0439154279527</v>
      </c>
      <c r="W126" s="1630">
        <f t="shared" si="105"/>
        <v>1769.3536368850018</v>
      </c>
      <c r="X126" s="1630">
        <f t="shared" si="105"/>
        <v>1742.3962184327033</v>
      </c>
      <c r="Y126" s="2418">
        <f t="shared" si="105"/>
        <v>1411.0686800706922</v>
      </c>
      <c r="Z126" s="1674">
        <f>(Y126-Q126)/Q126</f>
        <v>-8.8028470891163876E-2</v>
      </c>
      <c r="AA126" s="2045">
        <f>(Y126/Q126)^(1/9)-1</f>
        <v>-1.0186265802660577E-2</v>
      </c>
    </row>
    <row r="127" spans="1:52" s="77" customFormat="1" x14ac:dyDescent="0.2">
      <c r="A127" s="74"/>
      <c r="B127" s="1985"/>
      <c r="C127" s="1986" t="s">
        <v>38</v>
      </c>
      <c r="D127" s="2129">
        <v>4.4419186610519842E-2</v>
      </c>
      <c r="E127" s="1650">
        <f>D127+(F127-D127)/($F$72-$D$72)</f>
        <v>4.0076291378200082E-2</v>
      </c>
      <c r="F127" s="2129">
        <v>3.5733396145880315E-2</v>
      </c>
      <c r="G127" s="2129">
        <v>3.4052892999367777E-2</v>
      </c>
      <c r="H127" s="2129">
        <v>3.4070796741938109E-2</v>
      </c>
      <c r="I127" s="1650">
        <f t="shared" si="102"/>
        <v>3.5688461309492492E-2</v>
      </c>
      <c r="J127" s="1650">
        <f t="shared" si="103"/>
        <v>3.7306125877046875E-2</v>
      </c>
      <c r="K127" s="2129">
        <v>3.8923790444601251E-2</v>
      </c>
      <c r="L127" s="1635">
        <f t="shared" si="106"/>
        <v>3.7002985953945175E-2</v>
      </c>
      <c r="M127" s="1674">
        <f t="shared" si="104"/>
        <v>-0.16695939800973936</v>
      </c>
      <c r="N127" s="2045">
        <f>(L127/D127)^(1/9)-1</f>
        <v>-2.0092391161803058E-2</v>
      </c>
      <c r="O127" s="74"/>
      <c r="P127" s="1629" t="s">
        <v>38</v>
      </c>
      <c r="Q127" s="1630">
        <f t="shared" si="105"/>
        <v>131.26974212653738</v>
      </c>
      <c r="R127" s="1630">
        <f t="shared" si="105"/>
        <v>116.44127242515482</v>
      </c>
      <c r="S127" s="1630">
        <f t="shared" si="105"/>
        <v>101.7752616651058</v>
      </c>
      <c r="T127" s="1630">
        <f t="shared" si="105"/>
        <v>95.157290998319951</v>
      </c>
      <c r="U127" s="1630">
        <f t="shared" si="105"/>
        <v>93.387376531010375</v>
      </c>
      <c r="V127" s="1630">
        <f t="shared" si="105"/>
        <v>96.167318703699436</v>
      </c>
      <c r="W127" s="1630">
        <f t="shared" si="105"/>
        <v>98.712518229835069</v>
      </c>
      <c r="X127" s="1630">
        <f t="shared" si="105"/>
        <v>101.54650399050703</v>
      </c>
      <c r="Y127" s="2418">
        <f t="shared" si="105"/>
        <v>95.431977845952147</v>
      </c>
      <c r="Z127" s="1674">
        <f>(Y127-Q127)/Q127</f>
        <v>-0.27300856770206378</v>
      </c>
      <c r="AA127" s="2045">
        <f>(Y127/Q127)^(1/9)-1</f>
        <v>-3.4806550409072212E-2</v>
      </c>
      <c r="AB127" s="74"/>
    </row>
    <row r="128" spans="1:52" x14ac:dyDescent="0.2">
      <c r="B128" s="1985"/>
      <c r="C128" s="1986" t="s">
        <v>117</v>
      </c>
      <c r="D128" s="1657">
        <f>SUM(D125:D127)</f>
        <v>0.72996725772070559</v>
      </c>
      <c r="E128" s="1657">
        <f>SUM(E125:E127)</f>
        <v>0.73927273046032205</v>
      </c>
      <c r="F128" s="1657">
        <f>SUM(F125:F127)</f>
        <v>0.7485782031999384</v>
      </c>
      <c r="G128" s="1657">
        <f t="shared" ref="G128:K128" si="107">SUM(G125:G127)</f>
        <v>0.74107979877102026</v>
      </c>
      <c r="H128" s="1657">
        <f t="shared" si="107"/>
        <v>0.91267214404917263</v>
      </c>
      <c r="I128" s="1657">
        <f t="shared" si="107"/>
        <v>0.89586105875339506</v>
      </c>
      <c r="J128" s="1657">
        <f t="shared" si="107"/>
        <v>0.87904997345761771</v>
      </c>
      <c r="K128" s="1657">
        <f t="shared" si="107"/>
        <v>0.86223888816184024</v>
      </c>
      <c r="L128" s="1657">
        <f>SUM(L125:L127)</f>
        <v>0.77465631863969009</v>
      </c>
      <c r="M128" s="1674">
        <f t="shared" si="104"/>
        <v>6.1220637564655102E-2</v>
      </c>
      <c r="N128" s="2045">
        <f>(L128/D128)^(1/9)-1</f>
        <v>6.6240415005101028E-3</v>
      </c>
      <c r="P128" s="1629" t="s">
        <v>117</v>
      </c>
      <c r="Q128" s="253">
        <f>SUM(Q125:Q127)</f>
        <v>2157.2347670841614</v>
      </c>
      <c r="R128" s="253">
        <f t="shared" ref="R128" si="108">SUM(R125:R127)</f>
        <v>2147.94968405793</v>
      </c>
      <c r="S128" s="253">
        <f t="shared" ref="S128" si="109">SUM(S125:S127)</f>
        <v>2132.0879268356921</v>
      </c>
      <c r="T128" s="253">
        <f t="shared" ref="T128" si="110">SUM(T125:T127)</f>
        <v>2070.8709261776853</v>
      </c>
      <c r="U128" s="253">
        <f t="shared" ref="U128" si="111">SUM(U125:U127)</f>
        <v>2501.6162026164648</v>
      </c>
      <c r="V128" s="253">
        <f t="shared" ref="V128" si="112">SUM(V125:V127)</f>
        <v>2414.0171021734782</v>
      </c>
      <c r="W128" s="253">
        <f t="shared" ref="W128" si="113">SUM(W125:W127)</f>
        <v>2325.9782271645522</v>
      </c>
      <c r="X128" s="253">
        <f t="shared" ref="X128" si="114">SUM(X125:X127)</f>
        <v>2249.4557620772753</v>
      </c>
      <c r="Y128" s="253">
        <f>SUM(Y125:Y127)</f>
        <v>1997.8653812062921</v>
      </c>
      <c r="Z128" s="1674">
        <f>(Y128-Q128)/Q128</f>
        <v>-7.3876700074365018E-2</v>
      </c>
      <c r="AA128" s="2045">
        <f>(Y128/Q128)^(1/9)-1</f>
        <v>-8.4912880623752018E-3</v>
      </c>
      <c r="AC128" s="2075" t="s">
        <v>1336</v>
      </c>
      <c r="AN128" s="2075" t="s">
        <v>1362</v>
      </c>
      <c r="AZ128" s="2075" t="s">
        <v>1337</v>
      </c>
    </row>
    <row r="129" spans="1:99" x14ac:dyDescent="0.2">
      <c r="B129" s="1987"/>
      <c r="C129" s="1986" t="s">
        <v>116</v>
      </c>
      <c r="D129" s="81">
        <f>SUM(D126:D127)/D128</f>
        <v>0.77809912047037733</v>
      </c>
      <c r="E129" s="81">
        <f>SUM(E126:E127)/E128</f>
        <v>0.77777049999442349</v>
      </c>
      <c r="F129" s="81">
        <f>SUM(F126:F127)/F128</f>
        <v>0.77745004959039399</v>
      </c>
      <c r="G129" s="81">
        <f t="shared" ref="G129:K129" si="115">SUM(G126:G127)/G128</f>
        <v>0.78740672020463121</v>
      </c>
      <c r="H129" s="81">
        <f t="shared" si="115"/>
        <v>0.77177171248279419</v>
      </c>
      <c r="I129" s="81">
        <f t="shared" si="115"/>
        <v>0.78715732064233646</v>
      </c>
      <c r="J129" s="81">
        <f t="shared" si="115"/>
        <v>0.80313140221956159</v>
      </c>
      <c r="K129" s="81">
        <f t="shared" si="115"/>
        <v>0.81972837764118067</v>
      </c>
      <c r="L129" s="81">
        <f>SUM(L126:L127)/L128</f>
        <v>0.75405513909402322</v>
      </c>
      <c r="M129" s="1674">
        <f>L129-D129</f>
        <v>-2.4043981376354107E-2</v>
      </c>
      <c r="N129" s="2046"/>
      <c r="O129" s="1633"/>
      <c r="P129" s="1629" t="s">
        <v>1075</v>
      </c>
      <c r="Q129" s="2536">
        <f>Q82</f>
        <v>338381</v>
      </c>
      <c r="R129" s="2536">
        <f t="shared" ref="R129:Y129" si="116">R82</f>
        <v>344176</v>
      </c>
      <c r="S129" s="2536">
        <f t="shared" si="116"/>
        <v>351101</v>
      </c>
      <c r="T129" s="2536">
        <f t="shared" si="116"/>
        <v>357859</v>
      </c>
      <c r="U129" s="2536">
        <f t="shared" si="116"/>
        <v>364833</v>
      </c>
      <c r="V129" s="2536">
        <f t="shared" si="116"/>
        <v>371108</v>
      </c>
      <c r="W129" s="2536">
        <f t="shared" si="116"/>
        <v>377927</v>
      </c>
      <c r="X129" s="2536">
        <f t="shared" si="116"/>
        <v>383310</v>
      </c>
      <c r="Y129" s="2536">
        <f t="shared" si="116"/>
        <v>387742</v>
      </c>
      <c r="Z129" s="1639"/>
      <c r="AA129" s="2046"/>
    </row>
    <row r="130" spans="1:99" x14ac:dyDescent="0.2">
      <c r="B130" s="1991" t="s">
        <v>1357</v>
      </c>
      <c r="C130" s="1992" t="s">
        <v>113</v>
      </c>
      <c r="D130" s="2128">
        <v>5.0482439222424089</v>
      </c>
      <c r="E130" s="1651">
        <f>D130+(F130-D130)/($F$72-$D$72)</f>
        <v>5.7603464536631401</v>
      </c>
      <c r="F130" s="2128">
        <v>6.4724489850838713</v>
      </c>
      <c r="G130" s="2128">
        <v>5.404262991013832</v>
      </c>
      <c r="H130" s="2128">
        <v>4.747002490082564</v>
      </c>
      <c r="I130" s="1651">
        <f>H130+($L130-$H130)/($L$72-$H$72)</f>
        <v>5.0302719966527771</v>
      </c>
      <c r="J130" s="1651">
        <f>I130+($L130-$H130)/($L$72-$H$72)</f>
        <v>5.3135415032229902</v>
      </c>
      <c r="K130" s="2128">
        <v>5.4939875447063589</v>
      </c>
      <c r="L130" s="1660">
        <f>I12/1000</f>
        <v>5.8800805163634164</v>
      </c>
      <c r="M130" s="259">
        <f t="shared" si="104"/>
        <v>0.16477741704515522</v>
      </c>
      <c r="N130" s="2044">
        <f>(L130/D130)^(1/9)-1</f>
        <v>1.7092207302197293E-2</v>
      </c>
      <c r="O130" s="1632"/>
      <c r="P130" s="1631" t="s">
        <v>113</v>
      </c>
      <c r="Q130" s="2417">
        <f t="shared" ref="Q130:Y130" si="117">D130*1000000000/Q134</f>
        <v>743.90287323647078</v>
      </c>
      <c r="R130" s="2417">
        <f t="shared" si="117"/>
        <v>836.7911532181605</v>
      </c>
      <c r="S130" s="2417">
        <f t="shared" si="117"/>
        <v>924.40024340715991</v>
      </c>
      <c r="T130" s="2417">
        <f t="shared" si="117"/>
        <v>761.00259762070573</v>
      </c>
      <c r="U130" s="2417">
        <f t="shared" si="117"/>
        <v>661.1524450834371</v>
      </c>
      <c r="V130" s="2417">
        <f t="shared" si="117"/>
        <v>692.72302776757169</v>
      </c>
      <c r="W130" s="2417">
        <f t="shared" si="117"/>
        <v>722.25769224912699</v>
      </c>
      <c r="X130" s="2417">
        <f t="shared" si="117"/>
        <v>736.5026987786091</v>
      </c>
      <c r="Y130" s="2420">
        <f t="shared" si="117"/>
        <v>777.31278669473102</v>
      </c>
      <c r="Z130" s="259">
        <f>(Y130-Q130)/Q130</f>
        <v>4.4911660729182235E-2</v>
      </c>
      <c r="AA130" s="2044">
        <f>(Y130/Q130)^(1/9)-1</f>
        <v>4.8933051553134987E-3</v>
      </c>
    </row>
    <row r="131" spans="1:99" x14ac:dyDescent="0.2">
      <c r="B131" s="1993"/>
      <c r="C131" s="1994" t="s">
        <v>114</v>
      </c>
      <c r="D131" s="2129">
        <v>8.1852141119749326</v>
      </c>
      <c r="E131" s="1650">
        <f>D131+(F131-D131)/($F$72-$D$72)</f>
        <v>8.835498403066115</v>
      </c>
      <c r="F131" s="2129">
        <v>9.4857826941572991</v>
      </c>
      <c r="G131" s="2129">
        <v>9.5813904587947416</v>
      </c>
      <c r="H131" s="2129">
        <v>9.5210668633488602</v>
      </c>
      <c r="I131" s="1650">
        <f>H131+($L131-$H131)/($L$72-$H$72)</f>
        <v>9.520879098243114</v>
      </c>
      <c r="J131" s="1650">
        <f>I131+($L131-$H131)/($L$72-$H$72)</f>
        <v>9.5206913331373677</v>
      </c>
      <c r="K131" s="1650">
        <f>J131+($L131-$H131)/($L$72-$H$72)</f>
        <v>9.5205035680316215</v>
      </c>
      <c r="L131" s="1635">
        <f t="shared" ref="L131:L132" si="118">I13/1000</f>
        <v>9.520315802925877</v>
      </c>
      <c r="M131" s="1674">
        <f t="shared" si="104"/>
        <v>0.16311139485009885</v>
      </c>
      <c r="N131" s="2045">
        <f>(L131/D131)^(1/9)-1</f>
        <v>1.6930461915549033E-2</v>
      </c>
      <c r="P131" s="1629" t="s">
        <v>114</v>
      </c>
      <c r="Q131" s="1630">
        <f t="shared" ref="Q131:Y131" si="119">D131*1000000000/Q134</f>
        <v>1206.1628538046455</v>
      </c>
      <c r="R131" s="1630">
        <f t="shared" si="119"/>
        <v>1283.5108022464915</v>
      </c>
      <c r="S131" s="1630">
        <f t="shared" si="119"/>
        <v>1354.7669284986735</v>
      </c>
      <c r="T131" s="1630">
        <f t="shared" si="119"/>
        <v>1349.2058103177496</v>
      </c>
      <c r="U131" s="1630">
        <f t="shared" si="119"/>
        <v>1326.0740118964006</v>
      </c>
      <c r="V131" s="1630">
        <f t="shared" si="119"/>
        <v>1311.1283446168711</v>
      </c>
      <c r="W131" s="1630">
        <f t="shared" si="119"/>
        <v>1294.1260638911174</v>
      </c>
      <c r="X131" s="1630">
        <f t="shared" si="119"/>
        <v>1276.2818471153698</v>
      </c>
      <c r="Y131" s="2418">
        <f t="shared" si="119"/>
        <v>1258.5309310633304</v>
      </c>
      <c r="Z131" s="1674">
        <f>(Y131-Q131)/Q131</f>
        <v>4.3417086750349103E-2</v>
      </c>
      <c r="AA131" s="2045">
        <f>(Y131/Q131)^(1/9)-1</f>
        <v>4.7334997266457179E-3</v>
      </c>
    </row>
    <row r="132" spans="1:99" s="77" customFormat="1" x14ac:dyDescent="0.2">
      <c r="A132" s="74"/>
      <c r="B132" s="1993"/>
      <c r="C132" s="1994" t="s">
        <v>38</v>
      </c>
      <c r="D132" s="2129">
        <v>0.42137103007476745</v>
      </c>
      <c r="E132" s="1650">
        <f>D132+(F132-D132)/($F$72-$D$72)</f>
        <v>0.46283253754276654</v>
      </c>
      <c r="F132" s="2129">
        <v>0.50429404501076569</v>
      </c>
      <c r="G132" s="2129">
        <v>0.78893446894330199</v>
      </c>
      <c r="H132" s="2129">
        <v>0.73023872511197774</v>
      </c>
      <c r="I132" s="1650">
        <f t="shared" ref="I132" si="120">H132+($K132-$H132)/($K$72-$H$72)</f>
        <v>0.74855950700254681</v>
      </c>
      <c r="J132" s="1650">
        <f t="shared" ref="J132" si="121">I132+($K132-$H132)/($K$72-$H$72)</f>
        <v>0.76688028889311588</v>
      </c>
      <c r="K132" s="2129">
        <v>0.78520107078368506</v>
      </c>
      <c r="L132" s="1635">
        <f t="shared" si="118"/>
        <v>0.82076066229394617</v>
      </c>
      <c r="M132" s="1674">
        <f t="shared" si="104"/>
        <v>0.94783362811703409</v>
      </c>
      <c r="N132" s="2045">
        <f>(L132/D132)^(1/9)-1</f>
        <v>7.6892689655238877E-2</v>
      </c>
      <c r="O132" s="74"/>
      <c r="P132" s="1629" t="s">
        <v>38</v>
      </c>
      <c r="Q132" s="1630">
        <f t="shared" ref="Q132:Y132" si="122">D132*1000000000/Q134</f>
        <v>62.092704869140647</v>
      </c>
      <c r="R132" s="1630">
        <f t="shared" si="122"/>
        <v>67.23452763696352</v>
      </c>
      <c r="S132" s="1630">
        <f t="shared" si="122"/>
        <v>72.023671261225459</v>
      </c>
      <c r="T132" s="1630">
        <f t="shared" si="122"/>
        <v>111.09399768602567</v>
      </c>
      <c r="U132" s="1630">
        <f t="shared" si="122"/>
        <v>101.70610182131981</v>
      </c>
      <c r="V132" s="1630">
        <f t="shared" si="122"/>
        <v>103.08476529699641</v>
      </c>
      <c r="W132" s="1630">
        <f t="shared" si="122"/>
        <v>104.24030514324961</v>
      </c>
      <c r="X132" s="1630">
        <f t="shared" si="122"/>
        <v>105.26101543008626</v>
      </c>
      <c r="Y132" s="2418">
        <f t="shared" si="122"/>
        <v>108.49983360630732</v>
      </c>
      <c r="Z132" s="1674">
        <f>(Y132-Q132)/Q132</f>
        <v>0.74738455725143449</v>
      </c>
      <c r="AA132" s="2045">
        <f>(Y132/Q132)^(1/9)-1</f>
        <v>6.3976546507663379E-2</v>
      </c>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row>
    <row r="133" spans="1:99" x14ac:dyDescent="0.2">
      <c r="B133" s="1993"/>
      <c r="C133" s="1994" t="s">
        <v>117</v>
      </c>
      <c r="D133" s="1657">
        <f>SUM(D130:D132)</f>
        <v>13.654829064292111</v>
      </c>
      <c r="E133" s="1657">
        <f>SUM(E130:E132)</f>
        <v>15.058677394272021</v>
      </c>
      <c r="F133" s="1657">
        <f>SUM(F130:F132)</f>
        <v>16.462525724251936</v>
      </c>
      <c r="G133" s="1657">
        <f t="shared" ref="G133:K133" si="123">SUM(G130:G132)</f>
        <v>15.774587918751875</v>
      </c>
      <c r="H133" s="1657">
        <f t="shared" si="123"/>
        <v>14.998308078543403</v>
      </c>
      <c r="I133" s="1657">
        <f t="shared" si="123"/>
        <v>15.299710601898438</v>
      </c>
      <c r="J133" s="1657">
        <f t="shared" si="123"/>
        <v>15.601113125253473</v>
      </c>
      <c r="K133" s="1657">
        <f t="shared" si="123"/>
        <v>15.799692183521666</v>
      </c>
      <c r="L133" s="1657">
        <f>SUM(L130:L132)</f>
        <v>16.221156981583238</v>
      </c>
      <c r="M133" s="1674">
        <f t="shared" si="104"/>
        <v>0.18794288124793676</v>
      </c>
      <c r="N133" s="2045">
        <f>(L133/D133)^(1/9)-1</f>
        <v>1.9320169348782334E-2</v>
      </c>
      <c r="P133" s="1629" t="s">
        <v>117</v>
      </c>
      <c r="Q133" s="253">
        <f>SUM(Q130:Q132)</f>
        <v>2012.1584319102567</v>
      </c>
      <c r="R133" s="253">
        <f t="shared" ref="R133" si="124">SUM(R130:R132)</f>
        <v>2187.5364831016154</v>
      </c>
      <c r="S133" s="253">
        <f t="shared" ref="S133" si="125">SUM(S130:S132)</f>
        <v>2351.1908431670586</v>
      </c>
      <c r="T133" s="253">
        <f t="shared" ref="T133" si="126">SUM(T130:T132)</f>
        <v>2221.3024056244813</v>
      </c>
      <c r="U133" s="253">
        <f t="shared" ref="U133" si="127">SUM(U130:U132)</f>
        <v>2088.9325588011575</v>
      </c>
      <c r="V133" s="253">
        <f t="shared" ref="V133" si="128">SUM(V130:V132)</f>
        <v>2106.936137681439</v>
      </c>
      <c r="W133" s="253">
        <f t="shared" ref="W133" si="129">SUM(W130:W132)</f>
        <v>2120.624061283494</v>
      </c>
      <c r="X133" s="253">
        <f t="shared" ref="X133" si="130">SUM(X130:X132)</f>
        <v>2118.0455613240651</v>
      </c>
      <c r="Y133" s="253">
        <f>SUM(Y130:Y132)</f>
        <v>2144.3435513643685</v>
      </c>
      <c r="Z133" s="1674">
        <f>(Y133-Q133)/Q133</f>
        <v>6.5693196598153036E-2</v>
      </c>
      <c r="AA133" s="2045">
        <f>(Y133/Q133)^(1/9)-1</f>
        <v>7.094545248079509E-3</v>
      </c>
    </row>
    <row r="134" spans="1:99" x14ac:dyDescent="0.2">
      <c r="B134" s="1995"/>
      <c r="C134" s="1996" t="s">
        <v>116</v>
      </c>
      <c r="D134" s="81">
        <f>SUM(D131:D132)/D133</f>
        <v>0.63029607339107918</v>
      </c>
      <c r="E134" s="81">
        <f>SUM(E131:E132)/E133</f>
        <v>0.61747328116251132</v>
      </c>
      <c r="F134" s="81">
        <f t="shared" ref="F134:K134" si="131">SUM(F131:F132)/F133</f>
        <v>0.6068374261946381</v>
      </c>
      <c r="G134" s="81">
        <f t="shared" si="131"/>
        <v>0.6574070258539324</v>
      </c>
      <c r="H134" s="81">
        <f t="shared" si="131"/>
        <v>0.68349746749944196</v>
      </c>
      <c r="I134" s="81">
        <f t="shared" si="131"/>
        <v>0.67121783362172849</v>
      </c>
      <c r="J134" s="81">
        <f t="shared" si="131"/>
        <v>0.65941266750883454</v>
      </c>
      <c r="K134" s="81">
        <f t="shared" si="131"/>
        <v>0.65227249487579708</v>
      </c>
      <c r="L134" s="81">
        <f>SUM(L131:L132)/L133</f>
        <v>0.63750547984712858</v>
      </c>
      <c r="M134" s="1674">
        <f>L134-D134</f>
        <v>7.2094064560493942E-3</v>
      </c>
      <c r="N134" s="2047"/>
      <c r="O134" s="1633"/>
      <c r="P134" s="1629" t="s">
        <v>1075</v>
      </c>
      <c r="Q134" s="2536">
        <f>Q87</f>
        <v>6786160</v>
      </c>
      <c r="R134" s="2536">
        <f t="shared" ref="R134:Y134" si="132">R87</f>
        <v>6883852</v>
      </c>
      <c r="S134" s="2536">
        <f t="shared" si="132"/>
        <v>7001782</v>
      </c>
      <c r="T134" s="2536">
        <f t="shared" si="132"/>
        <v>7101504</v>
      </c>
      <c r="U134" s="2536">
        <f t="shared" si="132"/>
        <v>7179891</v>
      </c>
      <c r="V134" s="2536">
        <f t="shared" si="132"/>
        <v>7261592</v>
      </c>
      <c r="W134" s="2536">
        <f t="shared" si="132"/>
        <v>7356850</v>
      </c>
      <c r="X134" s="2536">
        <f t="shared" si="132"/>
        <v>7459562</v>
      </c>
      <c r="Y134" s="2536">
        <f t="shared" si="132"/>
        <v>7564626</v>
      </c>
      <c r="Z134" s="1639"/>
      <c r="AA134" s="2046"/>
      <c r="AC134" s="76"/>
      <c r="AY134" s="76"/>
      <c r="AZ134" s="76"/>
      <c r="BA134" s="76"/>
    </row>
    <row r="135" spans="1:99" x14ac:dyDescent="0.2">
      <c r="B135" s="2000" t="s">
        <v>5</v>
      </c>
      <c r="C135" s="2001" t="s">
        <v>113</v>
      </c>
      <c r="D135" s="2128">
        <v>0.26498030173416509</v>
      </c>
      <c r="E135" s="1651">
        <f>D135+(F135-D135)/($F$72-$D$72)</f>
        <v>0.26791349622582222</v>
      </c>
      <c r="F135" s="2128">
        <v>0.27084669071747935</v>
      </c>
      <c r="G135" s="2128">
        <v>0.27724522865507673</v>
      </c>
      <c r="H135" s="2128">
        <v>0.28917683592812593</v>
      </c>
      <c r="I135" s="1651">
        <f t="shared" ref="I135:I137" si="133">H135+($K135-$H135)/($K$72-$H$72)</f>
        <v>0.34694582453918948</v>
      </c>
      <c r="J135" s="1651">
        <f t="shared" ref="J135:J137" si="134">I135+($K135-$H135)/($K$72-$H$72)</f>
        <v>0.40471481315025304</v>
      </c>
      <c r="K135" s="2128">
        <v>0.46248380176131665</v>
      </c>
      <c r="L135" s="1660">
        <f>I16/1000</f>
        <v>0.36759793527423562</v>
      </c>
      <c r="M135" s="259">
        <f t="shared" si="104"/>
        <v>0.38726513959146713</v>
      </c>
      <c r="N135" s="2045">
        <f>(L135/D135)^(1/9)-1</f>
        <v>3.7039973700794926E-2</v>
      </c>
      <c r="O135" s="76"/>
      <c r="P135" s="1631" t="s">
        <v>113</v>
      </c>
      <c r="Q135" s="2417">
        <f t="shared" ref="Q135:Y135" si="135">D135*1000000000/Q139</f>
        <v>1255.65823528598</v>
      </c>
      <c r="R135" s="2417">
        <f t="shared" si="135"/>
        <v>1236.8016334091451</v>
      </c>
      <c r="S135" s="2417">
        <f t="shared" si="135"/>
        <v>1217.1462692785533</v>
      </c>
      <c r="T135" s="2417">
        <f t="shared" si="135"/>
        <v>1217.1462692785535</v>
      </c>
      <c r="U135" s="2417">
        <f t="shared" si="135"/>
        <v>1255.65823528598</v>
      </c>
      <c r="V135" s="2417">
        <f t="shared" si="135"/>
        <v>1490.9383400265122</v>
      </c>
      <c r="W135" s="2417">
        <f t="shared" si="135"/>
        <v>1691.2869238269789</v>
      </c>
      <c r="X135" s="2417">
        <f t="shared" si="135"/>
        <v>1904.4794999230633</v>
      </c>
      <c r="Y135" s="2420">
        <f t="shared" si="135"/>
        <v>1511.5606057552936</v>
      </c>
      <c r="Z135" s="259">
        <f>(Y135-Q135)/Q135</f>
        <v>0.20379938049865221</v>
      </c>
      <c r="AA135" s="2044">
        <f>(Y135/Q135)^(1/9)-1</f>
        <v>2.0823025314958832E-2</v>
      </c>
    </row>
    <row r="136" spans="1:99" x14ac:dyDescent="0.2">
      <c r="B136" s="2002"/>
      <c r="C136" s="2001" t="s">
        <v>114</v>
      </c>
      <c r="D136" s="2129">
        <v>2.8067260578728149E-2</v>
      </c>
      <c r="E136" s="1650">
        <f>D136+(F136-D136)/($F$72-$D$72)</f>
        <v>2.883182207234665E-2</v>
      </c>
      <c r="F136" s="2129">
        <v>2.9596383565965154E-2</v>
      </c>
      <c r="G136" s="2129">
        <v>3.029557461962306E-2</v>
      </c>
      <c r="H136" s="2129">
        <v>3.0630207431303347E-2</v>
      </c>
      <c r="I136" s="1650">
        <f t="shared" si="133"/>
        <v>3.9097906907077387E-2</v>
      </c>
      <c r="J136" s="1650">
        <f t="shared" si="134"/>
        <v>4.7565606382851428E-2</v>
      </c>
      <c r="K136" s="2129">
        <v>5.6033305858625468E-2</v>
      </c>
      <c r="L136" s="1635">
        <f t="shared" ref="L136:L137" si="136">I17/1000</f>
        <v>0.1288763836096127</v>
      </c>
      <c r="M136" s="1674">
        <f t="shared" si="104"/>
        <v>3.5916979766556421</v>
      </c>
      <c r="N136" s="2045">
        <f>(L136/D136)^(1/9)-1</f>
        <v>0.18454779997074922</v>
      </c>
      <c r="P136" s="1629" t="s">
        <v>114</v>
      </c>
      <c r="Q136" s="1630">
        <f t="shared" ref="Q136:Y136" si="137">D136*1000000000/Q139</f>
        <v>133.0019124325479</v>
      </c>
      <c r="R136" s="1630">
        <f t="shared" si="137"/>
        <v>133.09984429893476</v>
      </c>
      <c r="S136" s="1630">
        <f t="shared" si="137"/>
        <v>133.0019124325479</v>
      </c>
      <c r="T136" s="1630">
        <f t="shared" si="137"/>
        <v>133.00191243254793</v>
      </c>
      <c r="U136" s="1630">
        <f t="shared" si="137"/>
        <v>133.0019124325479</v>
      </c>
      <c r="V136" s="1630">
        <f t="shared" si="137"/>
        <v>168.01634232080113</v>
      </c>
      <c r="W136" s="1630">
        <f t="shared" si="137"/>
        <v>198.77475566813806</v>
      </c>
      <c r="X136" s="1630">
        <f t="shared" si="137"/>
        <v>230.74166471184924</v>
      </c>
      <c r="Y136" s="2418">
        <f t="shared" si="137"/>
        <v>529.93895172770658</v>
      </c>
      <c r="Z136" s="1674">
        <f>(Y136-Q136)/Q136</f>
        <v>2.9844461033330316</v>
      </c>
      <c r="AA136" s="2045">
        <f>(Y136/Q136)^(1/9)-1</f>
        <v>0.16602416441200685</v>
      </c>
    </row>
    <row r="137" spans="1:99" s="77" customFormat="1" x14ac:dyDescent="0.2">
      <c r="A137" s="74"/>
      <c r="B137" s="2002"/>
      <c r="C137" s="2001" t="s">
        <v>38</v>
      </c>
      <c r="D137" s="2129">
        <v>1.42430458063234E-2</v>
      </c>
      <c r="E137" s="1650">
        <f>D137+(F137-D137)/($F$72-$D$72)</f>
        <v>1.7978514666343336E-2</v>
      </c>
      <c r="F137" s="2129">
        <v>2.1713983526363268E-2</v>
      </c>
      <c r="G137" s="2129">
        <v>2.2762650569920523E-2</v>
      </c>
      <c r="H137" s="2129">
        <v>1.6973957470409265E-2</v>
      </c>
      <c r="I137" s="1650">
        <f t="shared" si="133"/>
        <v>1.6926727485045041E-2</v>
      </c>
      <c r="J137" s="1650">
        <f t="shared" si="134"/>
        <v>1.6879497499680818E-2</v>
      </c>
      <c r="K137" s="2129">
        <v>1.6832267514316598E-2</v>
      </c>
      <c r="L137" s="1635">
        <f t="shared" si="136"/>
        <v>1.4043853522580496E-2</v>
      </c>
      <c r="M137" s="1674">
        <f t="shared" si="104"/>
        <v>-1.3985230859432402E-2</v>
      </c>
      <c r="N137" s="2045">
        <f>(L137/D137)^(1/9)-1</f>
        <v>-1.5636590589790389E-3</v>
      </c>
      <c r="O137" s="74"/>
      <c r="P137" s="1629" t="s">
        <v>38</v>
      </c>
      <c r="Q137" s="1630">
        <f t="shared" ref="Q137:Y137" si="138">D137*1000000000/Q139</f>
        <v>67.493310428061548</v>
      </c>
      <c r="R137" s="1630">
        <f t="shared" si="138"/>
        <v>82.996402267324669</v>
      </c>
      <c r="S137" s="1630">
        <f t="shared" si="138"/>
        <v>97.579534644775293</v>
      </c>
      <c r="T137" s="1630">
        <f t="shared" si="138"/>
        <v>99.931296760164372</v>
      </c>
      <c r="U137" s="1630">
        <f t="shared" si="138"/>
        <v>73.703999888880404</v>
      </c>
      <c r="V137" s="1630">
        <f t="shared" si="138"/>
        <v>72.739618677219639</v>
      </c>
      <c r="W137" s="1630">
        <f t="shared" si="138"/>
        <v>70.538741045244834</v>
      </c>
      <c r="X137" s="1630">
        <f t="shared" si="138"/>
        <v>69.314229592804296</v>
      </c>
      <c r="Y137" s="2418">
        <f t="shared" si="138"/>
        <v>57.748245299293544</v>
      </c>
      <c r="Z137" s="1674">
        <f>(Y137-Q137)/Q137</f>
        <v>-0.14438564454702343</v>
      </c>
      <c r="AA137" s="2045">
        <f>(Y137/Q137)^(1/9)-1</f>
        <v>-1.7176934360028429E-2</v>
      </c>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row>
    <row r="138" spans="1:99" x14ac:dyDescent="0.2">
      <c r="B138" s="2002"/>
      <c r="C138" s="2001" t="s">
        <v>117</v>
      </c>
      <c r="D138" s="1657">
        <f t="shared" ref="D138:L138" si="139">SUM(D135:D137)</f>
        <v>0.30729060811921666</v>
      </c>
      <c r="E138" s="1657">
        <f t="shared" si="139"/>
        <v>0.31472383296451217</v>
      </c>
      <c r="F138" s="1657">
        <f t="shared" si="139"/>
        <v>0.3221570578098078</v>
      </c>
      <c r="G138" s="1657">
        <f t="shared" si="139"/>
        <v>0.33030345384462034</v>
      </c>
      <c r="H138" s="1657">
        <f t="shared" si="139"/>
        <v>0.33678100082983853</v>
      </c>
      <c r="I138" s="1657">
        <f t="shared" si="139"/>
        <v>0.40297045893131189</v>
      </c>
      <c r="J138" s="1657">
        <f t="shared" si="139"/>
        <v>0.46915991703278531</v>
      </c>
      <c r="K138" s="1657">
        <f t="shared" si="139"/>
        <v>0.53534937513425862</v>
      </c>
      <c r="L138" s="1657">
        <f t="shared" si="139"/>
        <v>0.51051817240642883</v>
      </c>
      <c r="M138" s="1674">
        <f t="shared" si="104"/>
        <v>0.66135299588579644</v>
      </c>
      <c r="N138" s="2045">
        <f>(L138/D138)^(1/9)-1</f>
        <v>5.8024607864611388E-2</v>
      </c>
      <c r="P138" s="1629" t="s">
        <v>117</v>
      </c>
      <c r="Q138" s="253">
        <f>SUM(Q135:Q137)</f>
        <v>1456.1534581465894</v>
      </c>
      <c r="R138" s="253">
        <f t="shared" ref="R138" si="140">SUM(R135:R137)</f>
        <v>1452.8978799754045</v>
      </c>
      <c r="S138" s="253">
        <f t="shared" ref="S138" si="141">SUM(S135:S137)</f>
        <v>1447.7277163558765</v>
      </c>
      <c r="T138" s="253">
        <f t="shared" ref="T138" si="142">SUM(T135:T137)</f>
        <v>1450.0794784712657</v>
      </c>
      <c r="U138" s="253">
        <f t="shared" ref="U138" si="143">SUM(U135:U137)</f>
        <v>1462.3641476074083</v>
      </c>
      <c r="V138" s="253">
        <f t="shared" ref="V138" si="144">SUM(V135:V137)</f>
        <v>1731.6943010245329</v>
      </c>
      <c r="W138" s="253">
        <f t="shared" ref="W138" si="145">SUM(W135:W137)</f>
        <v>1960.6004205403619</v>
      </c>
      <c r="X138" s="253">
        <f t="shared" ref="X138" si="146">SUM(X135:X137)</f>
        <v>2204.5353942277166</v>
      </c>
      <c r="Y138" s="253">
        <f>SUM(Y135:Y137)</f>
        <v>2099.2478027822935</v>
      </c>
      <c r="Z138" s="1674">
        <f>(Y138-Q138)/Q138</f>
        <v>0.44163912878677142</v>
      </c>
      <c r="AA138" s="2045">
        <f>(Y138/Q138)^(1/9)-1</f>
        <v>4.1479507490654655E-2</v>
      </c>
    </row>
    <row r="139" spans="1:99" x14ac:dyDescent="0.2">
      <c r="B139" s="2002"/>
      <c r="C139" s="2003" t="s">
        <v>116</v>
      </c>
      <c r="D139" s="81">
        <f t="shared" ref="D139:L139" si="147">SUM(D136:D137)/D138</f>
        <v>0.13768825101428683</v>
      </c>
      <c r="E139" s="81">
        <f t="shared" si="147"/>
        <v>0.14873464236173131</v>
      </c>
      <c r="F139" s="1653">
        <f t="shared" si="147"/>
        <v>0.15927128041571753</v>
      </c>
      <c r="G139" s="1653">
        <f t="shared" si="147"/>
        <v>0.16063478771403633</v>
      </c>
      <c r="H139" s="1653">
        <f t="shared" si="147"/>
        <v>0.14135050606897218</v>
      </c>
      <c r="I139" s="1653">
        <f t="shared" si="147"/>
        <v>0.13902913513983434</v>
      </c>
      <c r="J139" s="1653">
        <f t="shared" si="147"/>
        <v>0.13736276596286626</v>
      </c>
      <c r="K139" s="1653">
        <f t="shared" si="147"/>
        <v>0.13610844946754319</v>
      </c>
      <c r="L139" s="81">
        <f t="shared" si="147"/>
        <v>0.27995132172966591</v>
      </c>
      <c r="M139" s="1674">
        <f>L139-D139</f>
        <v>0.14226307071537908</v>
      </c>
      <c r="N139" s="2046"/>
      <c r="P139" s="1629" t="s">
        <v>1075</v>
      </c>
      <c r="Q139" s="2536">
        <f>Q92</f>
        <v>211029</v>
      </c>
      <c r="R139" s="2536">
        <f t="shared" ref="R139:Y139" si="148">R92</f>
        <v>216618</v>
      </c>
      <c r="S139" s="2536">
        <f t="shared" si="148"/>
        <v>222526</v>
      </c>
      <c r="T139" s="2536">
        <f t="shared" si="148"/>
        <v>227783</v>
      </c>
      <c r="U139" s="2536">
        <f t="shared" si="148"/>
        <v>230299</v>
      </c>
      <c r="V139" s="2536">
        <f t="shared" si="148"/>
        <v>232703</v>
      </c>
      <c r="W139" s="2536">
        <f t="shared" si="148"/>
        <v>239294</v>
      </c>
      <c r="X139" s="2536">
        <f t="shared" si="148"/>
        <v>242840</v>
      </c>
      <c r="Y139" s="2536">
        <f t="shared" si="148"/>
        <v>243191</v>
      </c>
      <c r="Z139" s="1639"/>
      <c r="AA139" s="2046"/>
    </row>
    <row r="140" spans="1:99" x14ac:dyDescent="0.2">
      <c r="B140" s="2406" t="s">
        <v>1358</v>
      </c>
      <c r="C140" s="2407" t="s">
        <v>113</v>
      </c>
      <c r="D140" s="2128">
        <v>4.4025410376931671</v>
      </c>
      <c r="E140" s="1651">
        <f>D140+(F140-D140)/($F$72-$D$72)</f>
        <v>4.7149693744223509</v>
      </c>
      <c r="F140" s="2128">
        <v>5.0273977111515356</v>
      </c>
      <c r="G140" s="2128">
        <v>4.7973301320048938</v>
      </c>
      <c r="H140" s="2128">
        <v>4.1264539394072584</v>
      </c>
      <c r="I140" s="1651">
        <f t="shared" ref="I140:I142" si="149">H140+($K140-$H140)/($K$72-$H$72)</f>
        <v>4.4396155712818581</v>
      </c>
      <c r="J140" s="1651">
        <f t="shared" ref="J140:J142" si="150">I140+($K140-$H140)/($K$72-$H$72)</f>
        <v>4.7527772031564579</v>
      </c>
      <c r="K140" s="2128">
        <v>5.0659388350310577</v>
      </c>
      <c r="L140" s="1660">
        <f>I20/1000</f>
        <v>5.4658523923763189</v>
      </c>
      <c r="M140" s="259">
        <f t="shared" si="104"/>
        <v>0.2415221903849199</v>
      </c>
      <c r="N140" s="2044">
        <f>(L140/D140)^(1/9)-1</f>
        <v>2.4328809128671747E-2</v>
      </c>
      <c r="O140" s="1632"/>
      <c r="P140" s="1631" t="s">
        <v>113</v>
      </c>
      <c r="Q140" s="2417">
        <f t="shared" ref="Q140:Y140" si="151">D140*1000000000/Q144</f>
        <v>1085.4805934874648</v>
      </c>
      <c r="R140" s="2417">
        <f t="shared" si="151"/>
        <v>1133.4088241612001</v>
      </c>
      <c r="S140" s="2417">
        <f t="shared" si="151"/>
        <v>1175.8479108661168</v>
      </c>
      <c r="T140" s="2417">
        <f t="shared" si="151"/>
        <v>1098.4271687818334</v>
      </c>
      <c r="U140" s="2417">
        <f t="shared" si="151"/>
        <v>930.03463680288507</v>
      </c>
      <c r="V140" s="2417">
        <f t="shared" si="151"/>
        <v>982.51906756219194</v>
      </c>
      <c r="W140" s="2417">
        <f t="shared" si="151"/>
        <v>1031.2203866957129</v>
      </c>
      <c r="X140" s="2417">
        <f t="shared" si="151"/>
        <v>1081.2918530806426</v>
      </c>
      <c r="Y140" s="2420">
        <f t="shared" si="151"/>
        <v>1150.9342575539351</v>
      </c>
      <c r="Z140" s="259">
        <f>(Y140-Q140)/Q140</f>
        <v>6.0299248516437129E-2</v>
      </c>
      <c r="AA140" s="2044">
        <f>(Y140/Q140)^(1/9)-1</f>
        <v>6.5268944110257188E-3</v>
      </c>
      <c r="AY140" s="77"/>
      <c r="AZ140" s="77"/>
      <c r="BA140" s="77"/>
    </row>
    <row r="141" spans="1:99" x14ac:dyDescent="0.2">
      <c r="B141" s="2426"/>
      <c r="C141" s="2427" t="s">
        <v>114</v>
      </c>
      <c r="D141" s="2129">
        <v>3.9314160614836746</v>
      </c>
      <c r="E141" s="1650">
        <f>D141+(F141-D141)/($F$72-$D$72)</f>
        <v>3.8677395649709632</v>
      </c>
      <c r="F141" s="2129">
        <v>3.8040630684582517</v>
      </c>
      <c r="G141" s="2129">
        <v>3.4271249227550067</v>
      </c>
      <c r="H141" s="2129">
        <v>4.0059435334764482</v>
      </c>
      <c r="I141" s="1650">
        <f t="shared" si="149"/>
        <v>4.2962812648282469</v>
      </c>
      <c r="J141" s="1650">
        <f t="shared" si="150"/>
        <v>4.5866189961800456</v>
      </c>
      <c r="K141" s="2129">
        <v>4.8769567275318444</v>
      </c>
      <c r="L141" s="1635">
        <f t="shared" ref="L141:L142" si="152">I21/1000</f>
        <v>4.6413983412112687</v>
      </c>
      <c r="M141" s="1674">
        <f t="shared" si="104"/>
        <v>0.18059199754595659</v>
      </c>
      <c r="N141" s="2045">
        <f>(L141/D141)^(1/9)-1</f>
        <v>1.8617405339492077E-2</v>
      </c>
      <c r="P141" s="1629" t="s">
        <v>114</v>
      </c>
      <c r="Q141" s="1630">
        <f t="shared" ref="Q141:Y141" si="153">D141*1000000000/Q144</f>
        <v>969.32108142290315</v>
      </c>
      <c r="R141" s="1630">
        <f t="shared" si="153"/>
        <v>929.74732270293032</v>
      </c>
      <c r="S141" s="1630">
        <f t="shared" si="153"/>
        <v>889.72463863914879</v>
      </c>
      <c r="T141" s="1630">
        <f t="shared" si="153"/>
        <v>784.69628363687559</v>
      </c>
      <c r="U141" s="1630">
        <f t="shared" si="153"/>
        <v>902.87357957152074</v>
      </c>
      <c r="V141" s="1630">
        <f t="shared" si="153"/>
        <v>950.79814784170048</v>
      </c>
      <c r="W141" s="1630">
        <f t="shared" si="153"/>
        <v>995.16867984585565</v>
      </c>
      <c r="X141" s="1630">
        <f t="shared" si="153"/>
        <v>1040.9548454950277</v>
      </c>
      <c r="Y141" s="2418">
        <f t="shared" si="153"/>
        <v>977.33051871377165</v>
      </c>
      <c r="Z141" s="1674">
        <f>(Y141-Q141)/Q141</f>
        <v>8.2629352073011232E-3</v>
      </c>
      <c r="AA141" s="2045">
        <f>(Y141/Q141)^(1/9)-1</f>
        <v>9.1474969009341933E-4</v>
      </c>
      <c r="CU141" s="2075"/>
    </row>
    <row r="142" spans="1:99" x14ac:dyDescent="0.2">
      <c r="B142" s="2426"/>
      <c r="C142" s="2427" t="s">
        <v>38</v>
      </c>
      <c r="D142" s="2129">
        <v>0.14076174515465595</v>
      </c>
      <c r="E142" s="1650">
        <f>D142+(F142-D142)/($F$72-$D$72)</f>
        <v>0.1482678956441498</v>
      </c>
      <c r="F142" s="2129">
        <v>0.15577404613364365</v>
      </c>
      <c r="G142" s="2129">
        <v>0.17541745237172768</v>
      </c>
      <c r="H142" s="2129">
        <v>0.19000528650218637</v>
      </c>
      <c r="I142" s="1650">
        <f t="shared" si="149"/>
        <v>0.29003891711578622</v>
      </c>
      <c r="J142" s="1650">
        <f t="shared" si="150"/>
        <v>0.3900725477293861</v>
      </c>
      <c r="K142" s="2129">
        <v>0.49010617834298592</v>
      </c>
      <c r="L142" s="1635">
        <f t="shared" si="152"/>
        <v>0.38985952475065444</v>
      </c>
      <c r="M142" s="1674">
        <f t="shared" si="104"/>
        <v>1.7696411714867057</v>
      </c>
      <c r="N142" s="2045">
        <f>(L142/D142)^(1/9)-1</f>
        <v>0.11984565012923865</v>
      </c>
      <c r="P142" s="1629" t="s">
        <v>38</v>
      </c>
      <c r="Q142" s="1630">
        <f t="shared" ref="Q142:Y142" si="154">D142*1000000000/Q144</f>
        <v>34.70589856236024</v>
      </c>
      <c r="R142" s="1630">
        <f t="shared" si="154"/>
        <v>35.641406744763763</v>
      </c>
      <c r="S142" s="1630">
        <f t="shared" si="154"/>
        <v>36.43367746838797</v>
      </c>
      <c r="T142" s="1630">
        <f t="shared" si="154"/>
        <v>40.164693748744156</v>
      </c>
      <c r="U142" s="1630">
        <f t="shared" si="154"/>
        <v>42.824056736732317</v>
      </c>
      <c r="V142" s="1630">
        <f t="shared" si="154"/>
        <v>64.187712162445308</v>
      </c>
      <c r="W142" s="1630">
        <f t="shared" si="154"/>
        <v>84.63488741734686</v>
      </c>
      <c r="X142" s="1630">
        <f t="shared" si="154"/>
        <v>104.60999136471222</v>
      </c>
      <c r="Y142" s="2418">
        <f t="shared" si="154"/>
        <v>82.091986840893767</v>
      </c>
      <c r="Z142" s="1674">
        <f>(Y142-Q142)/Q142</f>
        <v>1.3653612279592553</v>
      </c>
      <c r="AA142" s="2045">
        <f>(Y142/Q142)^(1/9)-1</f>
        <v>0.10038373850197013</v>
      </c>
    </row>
    <row r="143" spans="1:99" x14ac:dyDescent="0.2">
      <c r="B143" s="2426"/>
      <c r="C143" s="2427" t="s">
        <v>117</v>
      </c>
      <c r="D143" s="1657">
        <f t="shared" ref="D143:L143" si="155">SUM(D140:D142)</f>
        <v>8.4747188443314982</v>
      </c>
      <c r="E143" s="1657">
        <f t="shared" si="155"/>
        <v>8.7309768350374632</v>
      </c>
      <c r="F143" s="1657">
        <f t="shared" si="155"/>
        <v>8.9872348257434318</v>
      </c>
      <c r="G143" s="1657">
        <f t="shared" si="155"/>
        <v>8.3998725071316276</v>
      </c>
      <c r="H143" s="1657">
        <f t="shared" si="155"/>
        <v>8.3224027593858931</v>
      </c>
      <c r="I143" s="1657">
        <f t="shared" si="155"/>
        <v>9.025935753225891</v>
      </c>
      <c r="J143" s="1657">
        <f t="shared" si="155"/>
        <v>9.7294687470658889</v>
      </c>
      <c r="K143" s="1657">
        <f t="shared" si="155"/>
        <v>10.433001740905889</v>
      </c>
      <c r="L143" s="1657">
        <f t="shared" si="155"/>
        <v>10.497110258338243</v>
      </c>
      <c r="M143" s="1674">
        <f t="shared" si="104"/>
        <v>0.23863817209221816</v>
      </c>
      <c r="N143" s="2045">
        <f>(L143/D143)^(1/9)-1</f>
        <v>2.406414858136241E-2</v>
      </c>
      <c r="P143" s="1629" t="s">
        <v>117</v>
      </c>
      <c r="Q143" s="253">
        <f>SUM(Q140:Q142)</f>
        <v>2089.5075734727284</v>
      </c>
      <c r="R143" s="253">
        <f t="shared" ref="R143:X143" si="156">SUM(R140:R142)</f>
        <v>2098.7975536088938</v>
      </c>
      <c r="S143" s="253">
        <f t="shared" si="156"/>
        <v>2102.0062269736536</v>
      </c>
      <c r="T143" s="253">
        <f t="shared" si="156"/>
        <v>1923.2881461674531</v>
      </c>
      <c r="U143" s="253">
        <f t="shared" si="156"/>
        <v>1875.7322731111381</v>
      </c>
      <c r="V143" s="253">
        <f t="shared" si="156"/>
        <v>1997.5049275663378</v>
      </c>
      <c r="W143" s="253">
        <f t="shared" si="156"/>
        <v>2111.0239539589156</v>
      </c>
      <c r="X143" s="253">
        <f t="shared" si="156"/>
        <v>2226.8566899403822</v>
      </c>
      <c r="Y143" s="253">
        <f>SUM(Y140:Y142)</f>
        <v>2210.3567631086007</v>
      </c>
      <c r="Z143" s="1674">
        <f>(Y143-Q143)/Q143</f>
        <v>5.783620560657883E-2</v>
      </c>
      <c r="AA143" s="2045">
        <f>(Y143/Q143)^(1/9)-1</f>
        <v>6.2668334263280556E-3</v>
      </c>
    </row>
    <row r="144" spans="1:99" x14ac:dyDescent="0.2">
      <c r="B144" s="2408"/>
      <c r="C144" s="2409" t="s">
        <v>116</v>
      </c>
      <c r="D144" s="81">
        <f t="shared" ref="D144:L144" si="157">SUM(D141:D142)/D143</f>
        <v>0.48050889727888679</v>
      </c>
      <c r="E144" s="81">
        <f t="shared" si="157"/>
        <v>0.45997229594045547</v>
      </c>
      <c r="F144" s="81">
        <f t="shared" si="157"/>
        <v>0.44060683751682589</v>
      </c>
      <c r="G144" s="81">
        <f t="shared" si="157"/>
        <v>0.42888060170771847</v>
      </c>
      <c r="H144" s="81">
        <f t="shared" si="157"/>
        <v>0.50417516927386152</v>
      </c>
      <c r="I144" s="81">
        <f t="shared" si="157"/>
        <v>0.50812683663351699</v>
      </c>
      <c r="J144" s="81">
        <f t="shared" si="157"/>
        <v>0.51150701783283392</v>
      </c>
      <c r="K144" s="81">
        <f t="shared" si="157"/>
        <v>0.5144313246715525</v>
      </c>
      <c r="L144" s="81">
        <f t="shared" si="157"/>
        <v>0.47929932544677317</v>
      </c>
      <c r="M144" s="1674">
        <f>L144-D144</f>
        <v>-1.2095718321136206E-3</v>
      </c>
      <c r="N144" s="2047"/>
      <c r="O144" s="1633"/>
      <c r="P144" s="1629" t="s">
        <v>1075</v>
      </c>
      <c r="Q144" s="2536">
        <f>Q97</f>
        <v>4055845</v>
      </c>
      <c r="R144" s="2536">
        <f t="shared" ref="R144:Y144" si="158">R97</f>
        <v>4159990</v>
      </c>
      <c r="S144" s="2536">
        <f t="shared" si="158"/>
        <v>4275551</v>
      </c>
      <c r="T144" s="2536">
        <f t="shared" si="158"/>
        <v>4367454</v>
      </c>
      <c r="U144" s="2536">
        <f t="shared" si="158"/>
        <v>4436882</v>
      </c>
      <c r="V144" s="2536">
        <f t="shared" si="158"/>
        <v>4518605</v>
      </c>
      <c r="W144" s="2536">
        <f t="shared" si="158"/>
        <v>4608886</v>
      </c>
      <c r="X144" s="2536">
        <f t="shared" si="158"/>
        <v>4685080</v>
      </c>
      <c r="Y144" s="2536">
        <f t="shared" si="158"/>
        <v>4749057</v>
      </c>
      <c r="Z144" s="1640"/>
      <c r="AA144" s="2047"/>
      <c r="AC144" s="2075"/>
      <c r="AN144" s="2075"/>
    </row>
    <row r="145" spans="2:53" x14ac:dyDescent="0.2">
      <c r="B145" s="2011" t="s">
        <v>1359</v>
      </c>
      <c r="C145" s="2012" t="s">
        <v>113</v>
      </c>
      <c r="D145" s="2128">
        <v>0.69868947641149148</v>
      </c>
      <c r="E145" s="1651">
        <f>D145+(F145-D145)/($F$72-$D$72)</f>
        <v>0.68891413631100828</v>
      </c>
      <c r="F145" s="2128">
        <v>0.67913879621052498</v>
      </c>
      <c r="G145" s="2128">
        <v>0.65927919291381021</v>
      </c>
      <c r="H145" s="2128">
        <v>0.78651741802020048</v>
      </c>
      <c r="I145" s="1651">
        <f t="shared" ref="I145:I147" si="159">H145+($K145-$H145)/($K$72-$H$72)</f>
        <v>0.86017009060690863</v>
      </c>
      <c r="J145" s="1651">
        <f t="shared" ref="J145:J147" si="160">I145+($K145-$H145)/($K$72-$H$72)</f>
        <v>0.93382276319361679</v>
      </c>
      <c r="K145" s="2128">
        <v>1.0074754357803251</v>
      </c>
      <c r="L145" s="1660">
        <f>I24/1000</f>
        <v>0.96778534280928685</v>
      </c>
      <c r="M145" s="259">
        <f t="shared" si="104"/>
        <v>0.3851437233316965</v>
      </c>
      <c r="N145" s="2045">
        <f>(L145/D145)^(1/9)-1</f>
        <v>3.6863648348983036E-2</v>
      </c>
      <c r="O145" s="76"/>
      <c r="P145" s="1631" t="s">
        <v>113</v>
      </c>
      <c r="Q145" s="2417">
        <f t="shared" ref="Q145:Y145" si="161">D145*1000000000/Q149</f>
        <v>447.5049487039592</v>
      </c>
      <c r="R145" s="2417">
        <f t="shared" si="161"/>
        <v>436.43898456752521</v>
      </c>
      <c r="S145" s="2417">
        <f t="shared" si="161"/>
        <v>425.02490563153987</v>
      </c>
      <c r="T145" s="2417">
        <f t="shared" si="161"/>
        <v>407.3200012071153</v>
      </c>
      <c r="U145" s="2417">
        <f t="shared" si="161"/>
        <v>481.79239833590844</v>
      </c>
      <c r="V145" s="2417">
        <f t="shared" si="161"/>
        <v>522.28031714781355</v>
      </c>
      <c r="W145" s="2417">
        <f t="shared" si="161"/>
        <v>561.80029394447035</v>
      </c>
      <c r="X145" s="2417">
        <f t="shared" si="161"/>
        <v>600.87842861260503</v>
      </c>
      <c r="Y145" s="2420">
        <f t="shared" si="161"/>
        <v>572.11071308567125</v>
      </c>
      <c r="Z145" s="1674">
        <f>(Y145-Q145)/Q145</f>
        <v>0.27844555628398937</v>
      </c>
      <c r="AA145" s="2045">
        <f>(Y145/Q145)^(1/9)-1</f>
        <v>2.766977121386649E-2</v>
      </c>
    </row>
    <row r="146" spans="2:53" x14ac:dyDescent="0.2">
      <c r="B146" s="2013"/>
      <c r="C146" s="2012" t="s">
        <v>114</v>
      </c>
      <c r="D146" s="2129">
        <v>2.1575805384524789</v>
      </c>
      <c r="E146" s="1650">
        <f>D146+(F146-D146)/($F$72-$D$72)</f>
        <v>2.2476253323645992</v>
      </c>
      <c r="F146" s="2129">
        <v>2.3376701262767199</v>
      </c>
      <c r="G146" s="2129">
        <v>2.3798361747559857</v>
      </c>
      <c r="H146" s="2129">
        <v>2.948252356464649</v>
      </c>
      <c r="I146" s="1650">
        <f t="shared" si="159"/>
        <v>3.0283444932450307</v>
      </c>
      <c r="J146" s="1650">
        <f t="shared" si="160"/>
        <v>3.1084366300254125</v>
      </c>
      <c r="K146" s="2129">
        <v>3.1885287668057938</v>
      </c>
      <c r="L146" s="1635">
        <f t="shared" ref="L146:L147" si="162">I25/1000</f>
        <v>3.1582971812369096</v>
      </c>
      <c r="M146" s="1674">
        <f t="shared" si="104"/>
        <v>0.46381427017421706</v>
      </c>
      <c r="N146" s="2045">
        <f>(L146/D146)^(1/9)-1</f>
        <v>4.3247447338486733E-2</v>
      </c>
      <c r="P146" s="1629" t="s">
        <v>114</v>
      </c>
      <c r="Q146" s="1630">
        <f t="shared" ref="Q146:Y146" si="163">D146*1000000000/Q149</f>
        <v>1381.9128536812136</v>
      </c>
      <c r="R146" s="1630">
        <f t="shared" si="163"/>
        <v>1423.9094047311062</v>
      </c>
      <c r="S146" s="1630">
        <f t="shared" si="163"/>
        <v>1462.9822804445391</v>
      </c>
      <c r="T146" s="1630">
        <f t="shared" si="163"/>
        <v>1470.3252946450439</v>
      </c>
      <c r="U146" s="1630">
        <f t="shared" si="163"/>
        <v>1805.9937913340846</v>
      </c>
      <c r="V146" s="1630">
        <f t="shared" si="163"/>
        <v>1838.7581010273111</v>
      </c>
      <c r="W146" s="1630">
        <f t="shared" si="163"/>
        <v>1870.0771509185811</v>
      </c>
      <c r="X146" s="1630">
        <f t="shared" si="163"/>
        <v>1901.7021030397698</v>
      </c>
      <c r="Y146" s="2418">
        <f t="shared" si="163"/>
        <v>1867.0417628447003</v>
      </c>
      <c r="Z146" s="1674">
        <f>(Y146-Q146)/Q146</f>
        <v>0.35105607989040283</v>
      </c>
      <c r="AA146" s="2045">
        <f>(Y146/Q146)^(1/9)-1</f>
        <v>3.3996965013615377E-2</v>
      </c>
    </row>
    <row r="147" spans="2:53" x14ac:dyDescent="0.2">
      <c r="B147" s="2013"/>
      <c r="C147" s="2012" t="s">
        <v>38</v>
      </c>
      <c r="D147" s="2129">
        <v>0.11589876978747329</v>
      </c>
      <c r="E147" s="1650">
        <f>D147+(F147-D147)/($F$72-$D$72)</f>
        <v>0.10694963551270836</v>
      </c>
      <c r="F147" s="2129">
        <v>9.8000501237943446E-2</v>
      </c>
      <c r="G147" s="2129">
        <v>9.5728037683534162E-2</v>
      </c>
      <c r="H147" s="2129">
        <v>0.12510925266383544</v>
      </c>
      <c r="I147" s="1650">
        <f t="shared" si="159"/>
        <v>0.14133407063101786</v>
      </c>
      <c r="J147" s="1650">
        <f t="shared" si="160"/>
        <v>0.15755888859820028</v>
      </c>
      <c r="K147" s="2129">
        <v>0.1737837065653827</v>
      </c>
      <c r="L147" s="1635">
        <f t="shared" si="162"/>
        <v>0.14942237642766357</v>
      </c>
      <c r="M147" s="1674">
        <f t="shared" si="104"/>
        <v>0.28924902914555017</v>
      </c>
      <c r="N147" s="2045">
        <f>(L147/D147)^(1/9)-1</f>
        <v>2.8631088382741421E-2</v>
      </c>
      <c r="P147" s="1629" t="s">
        <v>38</v>
      </c>
      <c r="Q147" s="1630">
        <f t="shared" ref="Q147:Y147" si="164">D147*1000000000/Q149</f>
        <v>74.232223011255556</v>
      </c>
      <c r="R147" s="1630">
        <f t="shared" si="164"/>
        <v>67.754438271478847</v>
      </c>
      <c r="S147" s="1630">
        <f t="shared" si="164"/>
        <v>61.331577614053273</v>
      </c>
      <c r="T147" s="1630">
        <f t="shared" si="164"/>
        <v>59.14329595702781</v>
      </c>
      <c r="U147" s="1630">
        <f t="shared" si="164"/>
        <v>76.63744694510288</v>
      </c>
      <c r="V147" s="1630">
        <f t="shared" si="164"/>
        <v>85.815589310803944</v>
      </c>
      <c r="W147" s="1630">
        <f t="shared" si="164"/>
        <v>94.789539746612618</v>
      </c>
      <c r="X147" s="1630">
        <f t="shared" si="164"/>
        <v>103.6480660579104</v>
      </c>
      <c r="Y147" s="2418">
        <f t="shared" si="164"/>
        <v>88.331718354854445</v>
      </c>
      <c r="Z147" s="1674">
        <f>(Y147-Q147)/Q147</f>
        <v>0.18993766819378471</v>
      </c>
      <c r="AA147" s="2045">
        <f>(Y147/Q147)^(1/9)-1</f>
        <v>1.951020941373649E-2</v>
      </c>
    </row>
    <row r="148" spans="2:53" x14ac:dyDescent="0.2">
      <c r="B148" s="2013"/>
      <c r="C148" s="2012" t="s">
        <v>117</v>
      </c>
      <c r="D148" s="1657">
        <f t="shared" ref="D148:L148" si="165">SUM(D145:D147)</f>
        <v>2.9721687846514437</v>
      </c>
      <c r="E148" s="1657">
        <f t="shared" si="165"/>
        <v>3.0434891041883159</v>
      </c>
      <c r="F148" s="1657">
        <f t="shared" si="165"/>
        <v>3.1148094237251884</v>
      </c>
      <c r="G148" s="1657">
        <f t="shared" si="165"/>
        <v>3.1348434053533301</v>
      </c>
      <c r="H148" s="1657">
        <f t="shared" si="165"/>
        <v>3.8598790271486849</v>
      </c>
      <c r="I148" s="1657">
        <f t="shared" si="165"/>
        <v>4.029848654482957</v>
      </c>
      <c r="J148" s="1657">
        <f t="shared" si="165"/>
        <v>4.1998182818172296</v>
      </c>
      <c r="K148" s="1657">
        <f t="shared" si="165"/>
        <v>4.3697879091515013</v>
      </c>
      <c r="L148" s="1657">
        <f t="shared" si="165"/>
        <v>4.2755049004738606</v>
      </c>
      <c r="M148" s="1674">
        <f t="shared" si="104"/>
        <v>0.43851349309398774</v>
      </c>
      <c r="N148" s="2045">
        <f>(L148/D148)^(1/9)-1</f>
        <v>4.1228371547412213E-2</v>
      </c>
      <c r="P148" s="1629" t="s">
        <v>117</v>
      </c>
      <c r="Q148" s="253">
        <f>SUM(Q145:Q147)</f>
        <v>1903.6500253964284</v>
      </c>
      <c r="R148" s="253">
        <f t="shared" ref="R148" si="166">SUM(R145:R147)</f>
        <v>1928.1028275701103</v>
      </c>
      <c r="S148" s="253">
        <f t="shared" ref="S148" si="167">SUM(S145:S147)</f>
        <v>1949.3387636901323</v>
      </c>
      <c r="T148" s="253">
        <f t="shared" ref="T148" si="168">SUM(T145:T147)</f>
        <v>1936.7885918091868</v>
      </c>
      <c r="U148" s="253">
        <f t="shared" ref="U148" si="169">SUM(U145:U147)</f>
        <v>2364.4236366150958</v>
      </c>
      <c r="V148" s="253">
        <f t="shared" ref="V148" si="170">SUM(V145:V147)</f>
        <v>2446.8540074859284</v>
      </c>
      <c r="W148" s="253">
        <f t="shared" ref="W148" si="171">SUM(W145:W147)</f>
        <v>2526.6669846096643</v>
      </c>
      <c r="X148" s="253">
        <f t="shared" ref="X148" si="172">SUM(X145:X147)</f>
        <v>2606.2285977102852</v>
      </c>
      <c r="Y148" s="253">
        <f>SUM(Y145:Y147)</f>
        <v>2527.4841942852258</v>
      </c>
      <c r="Z148" s="1674">
        <f>(Y148-Q148)/Q148</f>
        <v>0.3277042316425185</v>
      </c>
      <c r="AA148" s="2045">
        <f>(Y148/Q148)^(1/9)-1</f>
        <v>3.199579238153305E-2</v>
      </c>
      <c r="AY148" s="77"/>
      <c r="AZ148" s="77"/>
      <c r="BA148" s="77"/>
    </row>
    <row r="149" spans="2:53" x14ac:dyDescent="0.2">
      <c r="B149" s="2013"/>
      <c r="C149" s="2014" t="s">
        <v>116</v>
      </c>
      <c r="D149" s="81">
        <f t="shared" ref="D149:L149" si="173">SUM(D146:D147)/D148</f>
        <v>0.76492267867841524</v>
      </c>
      <c r="E149" s="81">
        <f t="shared" si="173"/>
        <v>0.77364330453394592</v>
      </c>
      <c r="F149" s="1653">
        <f t="shared" si="173"/>
        <v>0.78196457509162731</v>
      </c>
      <c r="G149" s="1653">
        <f t="shared" si="173"/>
        <v>0.78969310180279895</v>
      </c>
      <c r="H149" s="1653">
        <f t="shared" si="173"/>
        <v>0.79623262478223167</v>
      </c>
      <c r="I149" s="1653">
        <f t="shared" si="173"/>
        <v>0.7865502741275352</v>
      </c>
      <c r="J149" s="1653">
        <f t="shared" si="173"/>
        <v>0.77765162668191468</v>
      </c>
      <c r="K149" s="1653">
        <f t="shared" si="173"/>
        <v>0.76944523241725249</v>
      </c>
      <c r="L149" s="81">
        <f t="shared" si="173"/>
        <v>0.77364419750705327</v>
      </c>
      <c r="M149" s="1674">
        <f>L149-D149</f>
        <v>8.7215188286380307E-3</v>
      </c>
      <c r="N149" s="2046"/>
      <c r="P149" s="1629" t="s">
        <v>1075</v>
      </c>
      <c r="Q149" s="2536">
        <f>Q102</f>
        <v>1561300</v>
      </c>
      <c r="R149" s="2536">
        <f t="shared" ref="R149:Y149" si="174">R102</f>
        <v>1578489</v>
      </c>
      <c r="S149" s="2536">
        <f t="shared" si="174"/>
        <v>1597880</v>
      </c>
      <c r="T149" s="2536">
        <f t="shared" si="174"/>
        <v>1618578</v>
      </c>
      <c r="U149" s="2536">
        <f t="shared" si="174"/>
        <v>1632482</v>
      </c>
      <c r="V149" s="2536">
        <f t="shared" si="174"/>
        <v>1646951</v>
      </c>
      <c r="W149" s="2536">
        <f t="shared" si="174"/>
        <v>1662197</v>
      </c>
      <c r="X149" s="2536">
        <f t="shared" si="174"/>
        <v>1676671</v>
      </c>
      <c r="Y149" s="2536">
        <f t="shared" si="174"/>
        <v>1691605</v>
      </c>
      <c r="Z149" s="1639"/>
      <c r="AA149" s="2046"/>
    </row>
    <row r="150" spans="2:53" x14ac:dyDescent="0.2">
      <c r="B150" s="2023" t="s">
        <v>8</v>
      </c>
      <c r="C150" s="2024" t="s">
        <v>113</v>
      </c>
      <c r="D150" s="2128">
        <v>0.42319597630968958</v>
      </c>
      <c r="E150" s="1651">
        <f>D150+(F150-D150)/($F$72-$D$72)</f>
        <v>0.38312269978357089</v>
      </c>
      <c r="F150" s="2128">
        <v>0.34304942325745219</v>
      </c>
      <c r="G150" s="2128">
        <v>0.35484902852120842</v>
      </c>
      <c r="H150" s="2128">
        <v>0.40231362644370122</v>
      </c>
      <c r="I150" s="1651">
        <f t="shared" ref="I150:I152" si="175">H150+($K150-$H150)/($K$72-$H$72)</f>
        <v>0.40031711032412887</v>
      </c>
      <c r="J150" s="1651">
        <f t="shared" ref="J150:J152" si="176">I150+($K150-$H150)/($K$72-$H$72)</f>
        <v>0.39832059420455651</v>
      </c>
      <c r="K150" s="2128">
        <v>0.3963240780849841</v>
      </c>
      <c r="L150" s="1660">
        <f>I28/1000</f>
        <v>0.46992197236926575</v>
      </c>
      <c r="M150" s="259">
        <f t="shared" si="104"/>
        <v>0.11041219358234791</v>
      </c>
      <c r="N150" s="2044">
        <f>(L150/D150)^(1/9)-1</f>
        <v>1.1704781293678801E-2</v>
      </c>
      <c r="O150" s="1632"/>
      <c r="P150" s="1631" t="s">
        <v>113</v>
      </c>
      <c r="Q150" s="2417">
        <f t="shared" ref="Q150:Y150" si="177">D150*1000000000/Q154</f>
        <v>861.0031765250086</v>
      </c>
      <c r="R150" s="2417">
        <f t="shared" si="177"/>
        <v>772.64599902304872</v>
      </c>
      <c r="S150" s="2417">
        <f t="shared" si="177"/>
        <v>683.67317409322163</v>
      </c>
      <c r="T150" s="2417">
        <f t="shared" si="177"/>
        <v>700.64433099727012</v>
      </c>
      <c r="U150" s="2417">
        <f t="shared" si="177"/>
        <v>788.51165174895721</v>
      </c>
      <c r="V150" s="2417">
        <f t="shared" si="177"/>
        <v>781.95488241707858</v>
      </c>
      <c r="W150" s="2417">
        <f t="shared" si="177"/>
        <v>777.24883009816381</v>
      </c>
      <c r="X150" s="2417">
        <f t="shared" si="177"/>
        <v>771.13653148759045</v>
      </c>
      <c r="Y150" s="2420">
        <f t="shared" si="177"/>
        <v>911.9492413442922</v>
      </c>
      <c r="Z150" s="259">
        <f>(Y150-Q150)/Q150</f>
        <v>5.9170588690393565E-2</v>
      </c>
      <c r="AA150" s="2044">
        <f>(Y150/Q150)^(1/9)-1</f>
        <v>6.4077913177034151E-3</v>
      </c>
    </row>
    <row r="151" spans="2:53" x14ac:dyDescent="0.2">
      <c r="B151" s="2020"/>
      <c r="C151" s="2025" t="s">
        <v>114</v>
      </c>
      <c r="D151" s="2129">
        <v>9.9100802242837849E-2</v>
      </c>
      <c r="E151" s="1650">
        <f>D151+(F151-D151)/($F$72-$D$72)</f>
        <v>0.10056004213686026</v>
      </c>
      <c r="F151" s="2129">
        <v>0.10201928203088269</v>
      </c>
      <c r="G151" s="2129">
        <v>0.16107436081011506</v>
      </c>
      <c r="H151" s="2129">
        <v>0.17456432888216061</v>
      </c>
      <c r="I151" s="1650">
        <f t="shared" si="175"/>
        <v>0.24826208781753328</v>
      </c>
      <c r="J151" s="1650">
        <f t="shared" si="176"/>
        <v>0.32195984675290595</v>
      </c>
      <c r="K151" s="2129">
        <v>0.39565760568827857</v>
      </c>
      <c r="L151" s="1635">
        <f t="shared" ref="L151:L152" si="178">I29/1000</f>
        <v>0.42346602621456086</v>
      </c>
      <c r="M151" s="1674">
        <f t="shared" si="104"/>
        <v>3.2730837352546795</v>
      </c>
      <c r="N151" s="2045">
        <f>(L151/D151)^(1/9)-1</f>
        <v>0.17512043381033604</v>
      </c>
      <c r="O151" s="76"/>
      <c r="P151" s="1629" t="s">
        <v>114</v>
      </c>
      <c r="Q151" s="1630">
        <f t="shared" ref="Q151:Y151" si="179">D151*1000000000/Q154</f>
        <v>201.62314932980243</v>
      </c>
      <c r="R151" s="1630">
        <f t="shared" si="179"/>
        <v>202.80008013758024</v>
      </c>
      <c r="S151" s="1630">
        <f t="shared" si="179"/>
        <v>203.31719465512899</v>
      </c>
      <c r="T151" s="1630">
        <f t="shared" si="179"/>
        <v>318.03902138588177</v>
      </c>
      <c r="U151" s="1630">
        <f t="shared" si="179"/>
        <v>342.13608055003948</v>
      </c>
      <c r="V151" s="1630">
        <f t="shared" si="179"/>
        <v>484.93993057352617</v>
      </c>
      <c r="W151" s="1630">
        <f t="shared" si="179"/>
        <v>628.24498122426644</v>
      </c>
      <c r="X151" s="1630">
        <f t="shared" si="179"/>
        <v>769.83976139274512</v>
      </c>
      <c r="Y151" s="2418">
        <f t="shared" si="179"/>
        <v>821.79498735588004</v>
      </c>
      <c r="Z151" s="1674">
        <f>(Y151-Q151)/Q151</f>
        <v>3.0758959974960001</v>
      </c>
      <c r="AA151" s="2045">
        <f>(Y151/Q151)^(1/9)-1</f>
        <v>0.16896784733100989</v>
      </c>
    </row>
    <row r="152" spans="2:53" x14ac:dyDescent="0.2">
      <c r="B152" s="2020"/>
      <c r="C152" s="2025" t="s">
        <v>38</v>
      </c>
      <c r="D152" s="2129">
        <v>4.3037288014425454E-2</v>
      </c>
      <c r="E152" s="1650">
        <f>D152+(F152-D152)/($F$72-$D$72)</f>
        <v>5.3568127657031298E-2</v>
      </c>
      <c r="F152" s="2129">
        <v>6.4098967299637141E-2</v>
      </c>
      <c r="G152" s="2129">
        <v>4.5169692014439732E-2</v>
      </c>
      <c r="H152" s="2129">
        <v>5.4918515533834401E-2</v>
      </c>
      <c r="I152" s="1650">
        <f t="shared" si="175"/>
        <v>5.5326885095402734E-2</v>
      </c>
      <c r="J152" s="1650">
        <f t="shared" si="176"/>
        <v>5.5735254656971066E-2</v>
      </c>
      <c r="K152" s="2129">
        <v>5.6143624218539405E-2</v>
      </c>
      <c r="L152" s="1635">
        <f t="shared" si="178"/>
        <v>5.3225150797666647E-2</v>
      </c>
      <c r="M152" s="1674">
        <f t="shared" si="104"/>
        <v>0.23672176508488113</v>
      </c>
      <c r="N152" s="2045">
        <f>(L152/D152)^(1/9)-1</f>
        <v>2.3887980684559773E-2</v>
      </c>
      <c r="P152" s="1629" t="s">
        <v>38</v>
      </c>
      <c r="Q152" s="1630">
        <f t="shared" ref="Q152:Y152" si="180">D152*1000000000/Q154</f>
        <v>87.560477329126186</v>
      </c>
      <c r="R152" s="1630">
        <f t="shared" si="180"/>
        <v>108.03118565603721</v>
      </c>
      <c r="S152" s="1630">
        <f t="shared" si="180"/>
        <v>127.74469641638893</v>
      </c>
      <c r="T152" s="1630">
        <f t="shared" si="180"/>
        <v>89.186910767936197</v>
      </c>
      <c r="U152" s="1630">
        <f t="shared" si="180"/>
        <v>107.63714313625012</v>
      </c>
      <c r="V152" s="1630">
        <f t="shared" si="180"/>
        <v>108.07214284258187</v>
      </c>
      <c r="W152" s="1630">
        <f t="shared" si="180"/>
        <v>108.75702162441303</v>
      </c>
      <c r="X152" s="1630">
        <f t="shared" si="180"/>
        <v>109.239892398724</v>
      </c>
      <c r="Y152" s="2418">
        <f t="shared" si="180"/>
        <v>103.29084134041275</v>
      </c>
      <c r="Z152" s="1674">
        <f>(Y152-Q152)/Q152</f>
        <v>0.17965141912324875</v>
      </c>
      <c r="AA152" s="2045">
        <f>(Y152/Q152)^(1/9)-1</f>
        <v>1.8527203044196527E-2</v>
      </c>
    </row>
    <row r="153" spans="2:53" x14ac:dyDescent="0.2">
      <c r="B153" s="2020"/>
      <c r="C153" s="2025" t="s">
        <v>117</v>
      </c>
      <c r="D153" s="1657">
        <f t="shared" ref="D153:L153" si="181">SUM(D150:D152)</f>
        <v>0.56533406656695284</v>
      </c>
      <c r="E153" s="1657">
        <f t="shared" si="181"/>
        <v>0.53725086957746249</v>
      </c>
      <c r="F153" s="1657">
        <f t="shared" si="181"/>
        <v>0.50916767258797202</v>
      </c>
      <c r="G153" s="1657">
        <f t="shared" si="181"/>
        <v>0.5610930813457633</v>
      </c>
      <c r="H153" s="1657">
        <f t="shared" si="181"/>
        <v>0.63179647085969626</v>
      </c>
      <c r="I153" s="1657">
        <f t="shared" si="181"/>
        <v>0.70390608323706494</v>
      </c>
      <c r="J153" s="1657">
        <f t="shared" si="181"/>
        <v>0.77601569561443351</v>
      </c>
      <c r="K153" s="1657">
        <f t="shared" si="181"/>
        <v>0.84812530799180208</v>
      </c>
      <c r="L153" s="1657">
        <f t="shared" si="181"/>
        <v>0.94661314938149332</v>
      </c>
      <c r="M153" s="1674">
        <f t="shared" si="104"/>
        <v>0.67443146515103103</v>
      </c>
      <c r="N153" s="2045">
        <f>(L153/D153)^(1/9)-1</f>
        <v>5.8946825920504597E-2</v>
      </c>
      <c r="P153" s="1629" t="s">
        <v>117</v>
      </c>
      <c r="Q153" s="253">
        <f>SUM(Q150:Q152)</f>
        <v>1150.1868031839372</v>
      </c>
      <c r="R153" s="253">
        <f t="shared" ref="R153" si="182">SUM(R150:R152)</f>
        <v>1083.4772648166661</v>
      </c>
      <c r="S153" s="253">
        <f t="shared" ref="S153" si="183">SUM(S150:S152)</f>
        <v>1014.7350651647396</v>
      </c>
      <c r="T153" s="253">
        <f t="shared" ref="T153" si="184">SUM(T150:T152)</f>
        <v>1107.8702631510882</v>
      </c>
      <c r="U153" s="253">
        <f t="shared" ref="U153" si="185">SUM(U150:U152)</f>
        <v>1238.2848754352469</v>
      </c>
      <c r="V153" s="253">
        <f t="shared" ref="V153" si="186">SUM(V150:V152)</f>
        <v>1374.9669558331866</v>
      </c>
      <c r="W153" s="253">
        <f t="shared" ref="W153" si="187">SUM(W150:W152)</f>
        <v>1514.2508329468433</v>
      </c>
      <c r="X153" s="253">
        <f t="shared" ref="X153" si="188">SUM(X150:X152)</f>
        <v>1650.2161852790596</v>
      </c>
      <c r="Y153" s="253">
        <f>SUM(Y150:Y152)</f>
        <v>1837.035070040585</v>
      </c>
      <c r="Z153" s="1674">
        <f>(Y153-Q153)/Q153</f>
        <v>0.59716236089243968</v>
      </c>
      <c r="AA153" s="2045">
        <f>(Y153/Q153)^(1/9)-1</f>
        <v>5.3402490432814975E-2</v>
      </c>
      <c r="AY153" s="77"/>
      <c r="AZ153" s="77"/>
      <c r="BA153" s="77"/>
    </row>
    <row r="154" spans="2:53" x14ac:dyDescent="0.2">
      <c r="B154" s="2021"/>
      <c r="C154" s="2026" t="s">
        <v>116</v>
      </c>
      <c r="D154" s="81">
        <f t="shared" ref="D154:L154" si="189">SUM(D151:D152)/D153</f>
        <v>0.25142318261556562</v>
      </c>
      <c r="E154" s="81">
        <f t="shared" si="189"/>
        <v>0.28688305319098023</v>
      </c>
      <c r="F154" s="81">
        <f t="shared" si="189"/>
        <v>0.32625450961209357</v>
      </c>
      <c r="G154" s="81">
        <f t="shared" si="189"/>
        <v>0.36757546952795289</v>
      </c>
      <c r="H154" s="81">
        <f t="shared" si="189"/>
        <v>0.36322273865147392</v>
      </c>
      <c r="I154" s="1653">
        <f t="shared" si="189"/>
        <v>0.43129187279759851</v>
      </c>
      <c r="J154" s="1653">
        <f t="shared" si="189"/>
        <v>0.48671064714847767</v>
      </c>
      <c r="K154" s="1653">
        <f t="shared" si="189"/>
        <v>0.53270575190899161</v>
      </c>
      <c r="L154" s="81">
        <f t="shared" si="189"/>
        <v>0.50357548627302751</v>
      </c>
      <c r="M154" s="1674">
        <f>L154-D154</f>
        <v>0.25215230365746188</v>
      </c>
      <c r="N154" s="2047"/>
      <c r="O154" s="1633"/>
      <c r="P154" s="1629" t="s">
        <v>1075</v>
      </c>
      <c r="Q154" s="2536">
        <f>Q107</f>
        <v>491515</v>
      </c>
      <c r="R154" s="2536">
        <f t="shared" ref="R154:Y154" si="190">R107</f>
        <v>495858</v>
      </c>
      <c r="S154" s="2536">
        <f t="shared" si="190"/>
        <v>501774</v>
      </c>
      <c r="T154" s="2536">
        <f t="shared" si="190"/>
        <v>506461</v>
      </c>
      <c r="U154" s="2536">
        <f t="shared" si="190"/>
        <v>510219</v>
      </c>
      <c r="V154" s="2536">
        <f t="shared" si="190"/>
        <v>511944</v>
      </c>
      <c r="W154" s="2536">
        <f t="shared" si="190"/>
        <v>512475</v>
      </c>
      <c r="X154" s="2536">
        <f t="shared" si="190"/>
        <v>513948</v>
      </c>
      <c r="Y154" s="2536">
        <f t="shared" si="190"/>
        <v>515294</v>
      </c>
      <c r="Z154" s="1640"/>
      <c r="AA154" s="2047"/>
      <c r="AN154" s="2075"/>
    </row>
    <row r="155" spans="2:53" x14ac:dyDescent="0.2">
      <c r="B155" s="2027" t="s">
        <v>1360</v>
      </c>
      <c r="C155" s="2028" t="s">
        <v>113</v>
      </c>
      <c r="D155" s="2128">
        <v>4.4748520304000587</v>
      </c>
      <c r="E155" s="1651">
        <f>D155+(F155-D155)/($F$72-$D$72)</f>
        <v>4.4401776152522299</v>
      </c>
      <c r="F155" s="2128">
        <v>4.4055032001044019</v>
      </c>
      <c r="G155" s="2128">
        <v>4.4671470712115342</v>
      </c>
      <c r="H155" s="2128">
        <v>4.4414263085069514</v>
      </c>
      <c r="I155" s="1651">
        <f t="shared" ref="I155:I157" si="191">H155+($K155-$H155)/($K$72-$H$72)</f>
        <v>4.114832035446752</v>
      </c>
      <c r="J155" s="1651">
        <f t="shared" ref="J155:J157" si="192">I155+($K155-$H155)/($K$72-$H$72)</f>
        <v>3.7882377623865526</v>
      </c>
      <c r="K155" s="2128">
        <v>3.4616434893263537</v>
      </c>
      <c r="L155" s="1660">
        <f>I32/1000</f>
        <v>4.0143936715423081</v>
      </c>
      <c r="M155" s="259">
        <f t="shared" si="104"/>
        <v>-0.10289912509500006</v>
      </c>
      <c r="N155" s="2044">
        <f>(L155/D155)^(1/9)-1</f>
        <v>-1.199272544446206E-2</v>
      </c>
      <c r="O155" s="1632"/>
      <c r="P155" s="1631" t="s">
        <v>113</v>
      </c>
      <c r="Q155" s="2417">
        <f t="shared" ref="Q155:Y155" si="193">D155*1000000000/Q159</f>
        <v>876.74034410503577</v>
      </c>
      <c r="R155" s="2417">
        <f t="shared" si="193"/>
        <v>853.96192967909235</v>
      </c>
      <c r="S155" s="2417">
        <f t="shared" si="193"/>
        <v>829.14867169828108</v>
      </c>
      <c r="T155" s="2417">
        <f t="shared" si="193"/>
        <v>824.31109388247978</v>
      </c>
      <c r="U155" s="2417">
        <f t="shared" si="193"/>
        <v>808.16227572864568</v>
      </c>
      <c r="V155" s="2417">
        <f t="shared" si="193"/>
        <v>737.07241077239962</v>
      </c>
      <c r="W155" s="2417">
        <f t="shared" si="193"/>
        <v>666.8843286009851</v>
      </c>
      <c r="X155" s="2417">
        <f t="shared" si="193"/>
        <v>598.40569296385206</v>
      </c>
      <c r="Y155" s="2420">
        <f t="shared" si="193"/>
        <v>681.95976620320505</v>
      </c>
      <c r="Z155" s="259">
        <f>(Y155-Q155)/Q155</f>
        <v>-0.22216449740391495</v>
      </c>
      <c r="AA155" s="2044">
        <f>(Y155/Q155)^(1/9)-1</f>
        <v>-2.7529539995834851E-2</v>
      </c>
    </row>
    <row r="156" spans="2:53" x14ac:dyDescent="0.2">
      <c r="B156" s="2029"/>
      <c r="C156" s="2028" t="s">
        <v>114</v>
      </c>
      <c r="D156" s="2129">
        <v>5.9787974022576558</v>
      </c>
      <c r="E156" s="1650">
        <f>D156+(F156-D156)/($F$72-$D$72)</f>
        <v>5.9990605400883643</v>
      </c>
      <c r="F156" s="2129">
        <v>6.0193236779190729</v>
      </c>
      <c r="G156" s="2129">
        <v>7.3079428380347968</v>
      </c>
      <c r="H156" s="2129">
        <v>7.4383412967863958</v>
      </c>
      <c r="I156" s="1650">
        <f t="shared" si="191"/>
        <v>7.5656165107720028</v>
      </c>
      <c r="J156" s="1650">
        <f t="shared" si="192"/>
        <v>7.6928917247576099</v>
      </c>
      <c r="K156" s="2129">
        <v>7.8201669387432178</v>
      </c>
      <c r="L156" s="1635">
        <f t="shared" ref="L156:L157" si="194">I33/1000</f>
        <v>8.4115052978861762</v>
      </c>
      <c r="M156" s="1674">
        <f t="shared" si="104"/>
        <v>0.40688916716092516</v>
      </c>
      <c r="N156" s="2045">
        <f>(L156/D156)^(1/9)-1</f>
        <v>3.8659794006871806E-2</v>
      </c>
      <c r="O156" s="76"/>
      <c r="P156" s="1629" t="s">
        <v>114</v>
      </c>
      <c r="Q156" s="1630">
        <f t="shared" ref="Q156:Y156" si="195">D156*1000000000/Q159</f>
        <v>1171.4025081005955</v>
      </c>
      <c r="R156" s="1630">
        <f t="shared" si="195"/>
        <v>1153.7757628158624</v>
      </c>
      <c r="S156" s="1630">
        <f t="shared" si="195"/>
        <v>1132.8817629619102</v>
      </c>
      <c r="T156" s="1630">
        <f t="shared" si="195"/>
        <v>1348.5157884486941</v>
      </c>
      <c r="U156" s="1630">
        <f t="shared" si="195"/>
        <v>1353.4811595417582</v>
      </c>
      <c r="V156" s="1630">
        <f t="shared" si="195"/>
        <v>1355.1967984444725</v>
      </c>
      <c r="W156" s="1630">
        <f t="shared" si="195"/>
        <v>1354.2626557930287</v>
      </c>
      <c r="X156" s="1630">
        <f t="shared" si="195"/>
        <v>1351.8527920338533</v>
      </c>
      <c r="Y156" s="2418">
        <f t="shared" si="195"/>
        <v>1428.9351408228031</v>
      </c>
      <c r="Z156" s="1674">
        <f>(Y156-Q156)/Q156</f>
        <v>0.21984982185140731</v>
      </c>
      <c r="AA156" s="2045">
        <f>(Y156/Q156)^(1/9)-1</f>
        <v>2.2326448072034211E-2</v>
      </c>
    </row>
    <row r="157" spans="2:53" x14ac:dyDescent="0.2">
      <c r="B157" s="2029"/>
      <c r="C157" s="2028" t="s">
        <v>38</v>
      </c>
      <c r="D157" s="2129">
        <v>0.36520418831315682</v>
      </c>
      <c r="E157" s="1650">
        <f>D157+(F157-D157)/($F$72-$D$72)</f>
        <v>0.36467146269902911</v>
      </c>
      <c r="F157" s="2129">
        <v>0.36413873708490141</v>
      </c>
      <c r="G157" s="2129">
        <v>0.39057638505155323</v>
      </c>
      <c r="H157" s="2129">
        <v>0.6213022549125875</v>
      </c>
      <c r="I157" s="1650">
        <f t="shared" si="191"/>
        <v>0.77599139579813392</v>
      </c>
      <c r="J157" s="1650">
        <f t="shared" si="192"/>
        <v>0.93068053668368034</v>
      </c>
      <c r="K157" s="2129">
        <v>1.0853696775692268</v>
      </c>
      <c r="L157" s="1635">
        <f t="shared" si="194"/>
        <v>0.61748131164311604</v>
      </c>
      <c r="M157" s="1674">
        <f t="shared" si="104"/>
        <v>0.69078376262660923</v>
      </c>
      <c r="N157" s="2045">
        <f>(L157/D157)^(1/9)-1</f>
        <v>6.0090929896804868E-2</v>
      </c>
      <c r="P157" s="1629" t="s">
        <v>38</v>
      </c>
      <c r="Q157" s="1630">
        <f t="shared" ref="Q157:Y157" si="196">D157*1000000000/Q159</f>
        <v>71.55303539760888</v>
      </c>
      <c r="R157" s="1630">
        <f t="shared" si="196"/>
        <v>70.135830809027155</v>
      </c>
      <c r="S157" s="1630">
        <f t="shared" si="196"/>
        <v>68.533635422323741</v>
      </c>
      <c r="T157" s="1630">
        <f t="shared" si="196"/>
        <v>72.072050029727961</v>
      </c>
      <c r="U157" s="1630">
        <f t="shared" si="196"/>
        <v>113.05220651387737</v>
      </c>
      <c r="V157" s="1630">
        <f t="shared" si="196"/>
        <v>139.00004761129244</v>
      </c>
      <c r="W157" s="1630">
        <f t="shared" si="196"/>
        <v>163.83772713814383</v>
      </c>
      <c r="X157" s="1630">
        <f t="shared" si="196"/>
        <v>187.62515436104567</v>
      </c>
      <c r="Y157" s="2418">
        <f t="shared" si="196"/>
        <v>104.89688988603963</v>
      </c>
      <c r="Z157" s="1674">
        <f>(Y157-Q157)/Q157</f>
        <v>0.46600195649484655</v>
      </c>
      <c r="AA157" s="2045">
        <f>(Y157/Q157)^(1/9)-1</f>
        <v>4.3420570670139824E-2</v>
      </c>
    </row>
    <row r="158" spans="2:53" x14ac:dyDescent="0.2">
      <c r="B158" s="2029"/>
      <c r="C158" s="2028" t="s">
        <v>117</v>
      </c>
      <c r="D158" s="1657">
        <f t="shared" ref="D158:L158" si="197">SUM(D155:D157)</f>
        <v>10.818853620970872</v>
      </c>
      <c r="E158" s="1657">
        <f t="shared" si="197"/>
        <v>10.803909618039622</v>
      </c>
      <c r="F158" s="1657">
        <f t="shared" si="197"/>
        <v>10.788965615108376</v>
      </c>
      <c r="G158" s="1657">
        <f t="shared" si="197"/>
        <v>12.165666294297884</v>
      </c>
      <c r="H158" s="1657">
        <f t="shared" si="197"/>
        <v>12.501069860205934</v>
      </c>
      <c r="I158" s="1657">
        <f t="shared" si="197"/>
        <v>12.456439942016889</v>
      </c>
      <c r="J158" s="1657">
        <f t="shared" si="197"/>
        <v>12.411810023827844</v>
      </c>
      <c r="K158" s="1657">
        <f t="shared" si="197"/>
        <v>12.367180105638798</v>
      </c>
      <c r="L158" s="1657">
        <f t="shared" si="197"/>
        <v>13.043380281071601</v>
      </c>
      <c r="M158" s="1674">
        <f t="shared" si="104"/>
        <v>0.20561574618116538</v>
      </c>
      <c r="N158" s="2045">
        <f>(L158/D158)^(1/9)-1</f>
        <v>2.0994052858973378E-2</v>
      </c>
      <c r="P158" s="1629" t="s">
        <v>117</v>
      </c>
      <c r="Q158" s="253">
        <f>SUM(Q155:Q157)</f>
        <v>2119.69588760324</v>
      </c>
      <c r="R158" s="253">
        <f t="shared" ref="R158" si="198">SUM(R155:R157)</f>
        <v>2077.873523303982</v>
      </c>
      <c r="S158" s="253">
        <f t="shared" ref="S158" si="199">SUM(S155:S157)</f>
        <v>2030.5640700825149</v>
      </c>
      <c r="T158" s="253">
        <f t="shared" ref="T158" si="200">SUM(T155:T157)</f>
        <v>2244.8989323609017</v>
      </c>
      <c r="U158" s="253">
        <f t="shared" ref="U158" si="201">SUM(U155:U157)</f>
        <v>2274.6956417842812</v>
      </c>
      <c r="V158" s="253">
        <f t="shared" ref="V158" si="202">SUM(V155:V157)</f>
        <v>2231.2692568281645</v>
      </c>
      <c r="W158" s="253">
        <f t="shared" ref="W158" si="203">SUM(W155:W157)</f>
        <v>2184.9847115321577</v>
      </c>
      <c r="X158" s="253">
        <f t="shared" ref="X158" si="204">SUM(X155:X157)</f>
        <v>2137.8836393587512</v>
      </c>
      <c r="Y158" s="253">
        <f>SUM(Y155:Y157)</f>
        <v>2215.7917969120481</v>
      </c>
      <c r="Z158" s="1674">
        <f>(Y158-Q158)/Q158</f>
        <v>4.53347623453026E-2</v>
      </c>
      <c r="AA158" s="2045">
        <f>(Y158/Q158)^(1/9)-1</f>
        <v>4.9385078585981734E-3</v>
      </c>
    </row>
    <row r="159" spans="2:53" x14ac:dyDescent="0.2">
      <c r="B159" s="2029"/>
      <c r="C159" s="2030" t="s">
        <v>116</v>
      </c>
      <c r="D159" s="1653">
        <f t="shared" ref="D159:L159" si="205">SUM(D156:D157)/D158</f>
        <v>0.58638390099611204</v>
      </c>
      <c r="E159" s="81">
        <f t="shared" si="205"/>
        <v>0.58902121803774377</v>
      </c>
      <c r="F159" s="81">
        <f t="shared" si="205"/>
        <v>0.59166584107607723</v>
      </c>
      <c r="G159" s="81">
        <f t="shared" si="205"/>
        <v>0.6328070355418749</v>
      </c>
      <c r="H159" s="81">
        <f t="shared" si="205"/>
        <v>0.6447163036305289</v>
      </c>
      <c r="I159" s="1653">
        <f t="shared" si="205"/>
        <v>0.66966227472690742</v>
      </c>
      <c r="J159" s="1653">
        <f t="shared" si="205"/>
        <v>0.69478764538661142</v>
      </c>
      <c r="K159" s="1653">
        <f t="shared" si="205"/>
        <v>0.72009435782793985</v>
      </c>
      <c r="L159" s="81">
        <f t="shared" si="205"/>
        <v>0.69222750659444099</v>
      </c>
      <c r="M159" s="1674">
        <f>L159-D159</f>
        <v>0.10584360559832895</v>
      </c>
      <c r="N159" s="2047"/>
      <c r="O159" s="1633"/>
      <c r="P159" s="1629" t="s">
        <v>1075</v>
      </c>
      <c r="Q159" s="2536">
        <f>Q112</f>
        <v>5103965</v>
      </c>
      <c r="R159" s="2536">
        <f t="shared" ref="R159:Y159" si="206">R112</f>
        <v>5199503</v>
      </c>
      <c r="S159" s="2536">
        <f t="shared" si="206"/>
        <v>5313285</v>
      </c>
      <c r="T159" s="2536">
        <f t="shared" si="206"/>
        <v>5419249</v>
      </c>
      <c r="U159" s="2536">
        <f t="shared" si="206"/>
        <v>5495711</v>
      </c>
      <c r="V159" s="2536">
        <f t="shared" si="206"/>
        <v>5582670</v>
      </c>
      <c r="W159" s="2536">
        <f t="shared" si="206"/>
        <v>5680502</v>
      </c>
      <c r="X159" s="2536">
        <f t="shared" si="206"/>
        <v>5784777</v>
      </c>
      <c r="Y159" s="2536">
        <f t="shared" si="206"/>
        <v>5886555</v>
      </c>
      <c r="Z159" s="1640"/>
      <c r="AA159" s="2047"/>
    </row>
    <row r="160" spans="2:53" x14ac:dyDescent="0.2">
      <c r="B160" s="2034" t="s">
        <v>1361</v>
      </c>
      <c r="C160" s="2035" t="s">
        <v>113</v>
      </c>
      <c r="D160" s="2128">
        <v>3.725062449008897</v>
      </c>
      <c r="E160" s="1651">
        <f>D160+(F160-D160)/($F$72-$D$72)</f>
        <v>3.7804241457649983</v>
      </c>
      <c r="F160" s="2128">
        <v>3.8357858425211</v>
      </c>
      <c r="G160" s="1651">
        <f>F160+(H160-F160)/($F$72-$D$72)</f>
        <v>3.7487132148511595</v>
      </c>
      <c r="H160" s="2128">
        <v>3.6616405871812194</v>
      </c>
      <c r="I160" s="1651">
        <f t="shared" ref="I160:I162" si="207">H160+($K160-$H160)/($K$72-$H$72)</f>
        <v>3.7514885050006512</v>
      </c>
      <c r="J160" s="1651">
        <f t="shared" ref="J160:J162" si="208">I160+($K160-$H160)/($K$72-$H$72)</f>
        <v>3.841336422820083</v>
      </c>
      <c r="K160" s="2128">
        <v>3.9311843406395148</v>
      </c>
      <c r="L160" s="1660">
        <f>I36/1000</f>
        <v>3.4951999813011225</v>
      </c>
      <c r="M160" s="259">
        <f t="shared" si="104"/>
        <v>-6.1707010514396213E-2</v>
      </c>
      <c r="N160" s="2044">
        <f>(L160/D160)^(1/9)-1</f>
        <v>-7.0520195669733221E-3</v>
      </c>
      <c r="P160" s="1631" t="s">
        <v>113</v>
      </c>
      <c r="Q160" s="2417">
        <f t="shared" ref="Q160:Y160" si="209">D160*1000000000/Q164</f>
        <v>1793.5970136792087</v>
      </c>
      <c r="R160" s="2417">
        <f t="shared" si="209"/>
        <v>1770.6854902351556</v>
      </c>
      <c r="S160" s="2417">
        <f t="shared" si="209"/>
        <v>1736.4920189888942</v>
      </c>
      <c r="T160" s="2417">
        <f t="shared" si="209"/>
        <v>1655.9771100088303</v>
      </c>
      <c r="U160" s="2417">
        <f t="shared" si="209"/>
        <v>1578.9310541288528</v>
      </c>
      <c r="V160" s="2417">
        <f t="shared" si="209"/>
        <v>1568.6155937135813</v>
      </c>
      <c r="W160" s="2417">
        <f t="shared" si="209"/>
        <v>1549.2345744757556</v>
      </c>
      <c r="X160" s="2417">
        <f t="shared" si="209"/>
        <v>1549.9266433890962</v>
      </c>
      <c r="Y160" s="2420">
        <f t="shared" si="209"/>
        <v>1358.4570603665031</v>
      </c>
      <c r="Z160" s="259">
        <f>(Y160-Q160)/Q160</f>
        <v>-0.24260742518750195</v>
      </c>
      <c r="AA160" s="2044">
        <f>(Y160/Q160)^(1/9)-1</f>
        <v>-3.0403080530726712E-2</v>
      </c>
    </row>
    <row r="161" spans="2:29" x14ac:dyDescent="0.2">
      <c r="B161" s="2036"/>
      <c r="C161" s="2037" t="s">
        <v>114</v>
      </c>
      <c r="D161" s="2129">
        <v>1.6708881897779484</v>
      </c>
      <c r="E161" s="1650">
        <f>D161+(F161-D161)/($F$72-$D$72)</f>
        <v>1.6947845562511368</v>
      </c>
      <c r="F161" s="2129">
        <v>1.7186809227243252</v>
      </c>
      <c r="G161" s="2129">
        <v>2.0752598381328289</v>
      </c>
      <c r="H161" s="2129">
        <v>2.2803064367666255</v>
      </c>
      <c r="I161" s="1650">
        <f t="shared" si="207"/>
        <v>2.5347391787615141</v>
      </c>
      <c r="J161" s="1650">
        <f t="shared" si="208"/>
        <v>2.7891719207564027</v>
      </c>
      <c r="K161" s="2129">
        <v>3.0436046627512914</v>
      </c>
      <c r="L161" s="1635">
        <f>I37/1000</f>
        <v>3.0243687996342783</v>
      </c>
      <c r="M161" s="1674">
        <f t="shared" si="104"/>
        <v>0.81003661294428075</v>
      </c>
      <c r="N161" s="2045">
        <f>(L161/D161)^(1/9)-1</f>
        <v>6.8149222884627214E-2</v>
      </c>
      <c r="P161" s="1629" t="s">
        <v>114</v>
      </c>
      <c r="Q161" s="1630">
        <f t="shared" ref="Q161:Y161" si="210">D161*1000000000/Q164</f>
        <v>804.52344313716208</v>
      </c>
      <c r="R161" s="1630">
        <f t="shared" si="210"/>
        <v>793.80786576297055</v>
      </c>
      <c r="S161" s="1630">
        <f t="shared" si="210"/>
        <v>778.06108787806807</v>
      </c>
      <c r="T161" s="1630">
        <f t="shared" si="210"/>
        <v>916.73664863292095</v>
      </c>
      <c r="U161" s="1630">
        <f t="shared" si="210"/>
        <v>983.28783511557276</v>
      </c>
      <c r="V161" s="1630">
        <f t="shared" si="210"/>
        <v>1059.8543475482081</v>
      </c>
      <c r="W161" s="1630">
        <f t="shared" si="210"/>
        <v>1124.8901679432931</v>
      </c>
      <c r="X161" s="1630">
        <f t="shared" si="210"/>
        <v>1199.9854369520872</v>
      </c>
      <c r="Y161" s="2418">
        <f t="shared" si="210"/>
        <v>1175.4621111796673</v>
      </c>
      <c r="Z161" s="1674">
        <f>(Y161-Q161)/Q161</f>
        <v>0.46106632591844116</v>
      </c>
      <c r="AA161" s="2045">
        <f>(Y161/Q161)^(1/9)-1</f>
        <v>4.3029661625146876E-2</v>
      </c>
    </row>
    <row r="162" spans="2:29" x14ac:dyDescent="0.2">
      <c r="B162" s="2036"/>
      <c r="C162" s="2037" t="s">
        <v>38</v>
      </c>
      <c r="D162" s="2129">
        <v>0.22309840141008735</v>
      </c>
      <c r="E162" s="1650">
        <f>D162+(F162-D162)/($F$72-$D$72)</f>
        <v>0.22847238494767175</v>
      </c>
      <c r="F162" s="2129">
        <v>0.23384636848525617</v>
      </c>
      <c r="G162" s="2129">
        <v>0.16668020628572622</v>
      </c>
      <c r="H162" s="2129">
        <v>0.19349040538415005</v>
      </c>
      <c r="I162" s="1650">
        <f t="shared" si="207"/>
        <v>0.20959077944035998</v>
      </c>
      <c r="J162" s="1650">
        <f t="shared" si="208"/>
        <v>0.2256911534965699</v>
      </c>
      <c r="K162" s="2129">
        <v>0.2417915275527798</v>
      </c>
      <c r="L162" s="1635">
        <f>I38/1000</f>
        <v>0.22948561010201246</v>
      </c>
      <c r="M162" s="1674">
        <f t="shared" si="104"/>
        <v>2.8629558309494499E-2</v>
      </c>
      <c r="N162" s="2045">
        <f>(L162/D162)^(1/9)-1</f>
        <v>3.1413002858071692E-3</v>
      </c>
      <c r="P162" s="1629" t="s">
        <v>38</v>
      </c>
      <c r="Q162" s="1630">
        <f t="shared" ref="Q162:Y162" si="211">D162*1000000000/Q164</f>
        <v>107.42064918460707</v>
      </c>
      <c r="R162" s="1630">
        <f t="shared" si="211"/>
        <v>107.01252593560474</v>
      </c>
      <c r="S162" s="1630">
        <f t="shared" si="211"/>
        <v>105.86418773507157</v>
      </c>
      <c r="T162" s="1630">
        <f t="shared" si="211"/>
        <v>73.630227355674563</v>
      </c>
      <c r="U162" s="1630">
        <f t="shared" si="211"/>
        <v>83.434734366487703</v>
      </c>
      <c r="V162" s="1630">
        <f t="shared" si="211"/>
        <v>87.636511344894942</v>
      </c>
      <c r="W162" s="1630">
        <f t="shared" si="211"/>
        <v>91.022628498003186</v>
      </c>
      <c r="X162" s="1630">
        <f t="shared" si="211"/>
        <v>95.329828933648344</v>
      </c>
      <c r="Y162" s="2418">
        <f t="shared" si="211"/>
        <v>89.192706844643169</v>
      </c>
      <c r="Z162" s="1674">
        <f>(Y162-Q162)/Q162</f>
        <v>-0.16968750867105997</v>
      </c>
      <c r="AA162" s="2045">
        <f>(Y162/Q162)^(1/9)-1</f>
        <v>-2.0449475988310706E-2</v>
      </c>
    </row>
    <row r="163" spans="2:29" x14ac:dyDescent="0.2">
      <c r="B163" s="2036"/>
      <c r="C163" s="2037" t="s">
        <v>117</v>
      </c>
      <c r="D163" s="1657">
        <f t="shared" ref="D163:L163" si="212">SUM(D160:D162)</f>
        <v>5.6190490401969333</v>
      </c>
      <c r="E163" s="1657">
        <f t="shared" si="212"/>
        <v>5.7036810869638073</v>
      </c>
      <c r="F163" s="1657">
        <f t="shared" si="212"/>
        <v>5.7883131337306812</v>
      </c>
      <c r="G163" s="1657">
        <f t="shared" si="212"/>
        <v>5.990653259269715</v>
      </c>
      <c r="H163" s="1657">
        <f t="shared" si="212"/>
        <v>6.1354374293319953</v>
      </c>
      <c r="I163" s="1657">
        <f t="shared" si="212"/>
        <v>6.4958184632025251</v>
      </c>
      <c r="J163" s="1657">
        <f t="shared" si="212"/>
        <v>6.8561994970730549</v>
      </c>
      <c r="K163" s="1657">
        <f t="shared" si="212"/>
        <v>7.2165805309435864</v>
      </c>
      <c r="L163" s="1657">
        <f t="shared" si="212"/>
        <v>6.7490543910374141</v>
      </c>
      <c r="M163" s="1674">
        <f t="shared" si="104"/>
        <v>0.20110259632133004</v>
      </c>
      <c r="N163" s="2045">
        <f>(L163/D163)^(1/9)-1</f>
        <v>2.0568674679447563E-2</v>
      </c>
      <c r="P163" s="1629" t="s">
        <v>117</v>
      </c>
      <c r="Q163" s="253">
        <f>SUM(Q160:Q162)</f>
        <v>2705.5411060009778</v>
      </c>
      <c r="R163" s="253">
        <f t="shared" ref="R163" si="213">SUM(R160:R162)</f>
        <v>2671.505881933731</v>
      </c>
      <c r="S163" s="253">
        <f t="shared" ref="S163" si="214">SUM(S160:S162)</f>
        <v>2620.417294602034</v>
      </c>
      <c r="T163" s="253">
        <f t="shared" ref="T163" si="215">SUM(T160:T162)</f>
        <v>2646.3439859974255</v>
      </c>
      <c r="U163" s="253">
        <f t="shared" ref="U163" si="216">SUM(U160:U162)</f>
        <v>2645.6536236109132</v>
      </c>
      <c r="V163" s="253">
        <f t="shared" ref="V163" si="217">SUM(V160:V162)</f>
        <v>2716.1064526066843</v>
      </c>
      <c r="W163" s="253">
        <f t="shared" ref="W163" si="218">SUM(W160:W162)</f>
        <v>2765.1473709170518</v>
      </c>
      <c r="X163" s="253">
        <f t="shared" ref="X163" si="219">SUM(X160:X162)</f>
        <v>2845.2419092748319</v>
      </c>
      <c r="Y163" s="253">
        <f>SUM(Y160:Y162)</f>
        <v>2623.1118783908132</v>
      </c>
      <c r="Z163" s="1674">
        <f>(Y163-Q163)/Q163</f>
        <v>-3.0466817682915228E-2</v>
      </c>
      <c r="AA163" s="2045">
        <f>(Y163/Q163)^(1/9)-1</f>
        <v>-3.4319394612285503E-3</v>
      </c>
    </row>
    <row r="164" spans="2:29" x14ac:dyDescent="0.2">
      <c r="B164" s="2038"/>
      <c r="C164" s="2039" t="s">
        <v>116</v>
      </c>
      <c r="D164" s="81">
        <f t="shared" ref="D164:L164" si="220">SUM(D161:D162)/D163</f>
        <v>0.33706532504682613</v>
      </c>
      <c r="E164" s="81">
        <f t="shared" si="220"/>
        <v>0.33719573585461449</v>
      </c>
      <c r="F164" s="81">
        <f t="shared" si="220"/>
        <v>0.3373223331390745</v>
      </c>
      <c r="G164" s="81">
        <f t="shared" si="220"/>
        <v>0.37423966091668887</v>
      </c>
      <c r="H164" s="81">
        <f t="shared" si="220"/>
        <v>0.40319812085837109</v>
      </c>
      <c r="I164" s="81">
        <f t="shared" si="220"/>
        <v>0.42247639365969636</v>
      </c>
      <c r="J164" s="81">
        <f t="shared" si="220"/>
        <v>0.43972802651673604</v>
      </c>
      <c r="K164" s="81">
        <f t="shared" si="220"/>
        <v>0.45525663799036092</v>
      </c>
      <c r="L164" s="81">
        <f t="shared" si="220"/>
        <v>0.48212004544774939</v>
      </c>
      <c r="M164" s="1674">
        <f>L164-D164</f>
        <v>0.14505472040092326</v>
      </c>
      <c r="N164" s="2046"/>
      <c r="O164" s="1640"/>
      <c r="P164" s="1634" t="s">
        <v>1075</v>
      </c>
      <c r="Q164" s="2536">
        <f>Q117</f>
        <v>2076867</v>
      </c>
      <c r="R164" s="2536">
        <f t="shared" ref="R164:Y164" si="221">R117</f>
        <v>2135006</v>
      </c>
      <c r="S164" s="2536">
        <f t="shared" si="221"/>
        <v>2208928</v>
      </c>
      <c r="T164" s="2536">
        <f t="shared" si="221"/>
        <v>2263747</v>
      </c>
      <c r="U164" s="2536">
        <f t="shared" si="221"/>
        <v>2319063</v>
      </c>
      <c r="V164" s="2536">
        <f t="shared" si="221"/>
        <v>2391592</v>
      </c>
      <c r="W164" s="2536">
        <f t="shared" si="221"/>
        <v>2479506</v>
      </c>
      <c r="X164" s="2536">
        <f t="shared" si="221"/>
        <v>2536368</v>
      </c>
      <c r="Y164" s="2536">
        <f t="shared" si="221"/>
        <v>2572919</v>
      </c>
      <c r="Z164" s="1639"/>
      <c r="AA164" s="2046"/>
    </row>
    <row r="165" spans="2:29" x14ac:dyDescent="0.2">
      <c r="B165" s="1641" t="s">
        <v>433</v>
      </c>
      <c r="C165" s="1631" t="s">
        <v>113</v>
      </c>
      <c r="D165" s="1652">
        <f t="shared" ref="D165:E167" si="222">SUMIF($C$125:$C$164,$C165,D$125:D$164)</f>
        <v>19.199545570315927</v>
      </c>
      <c r="E165" s="1652">
        <f t="shared" si="222"/>
        <v>20.20015613068108</v>
      </c>
      <c r="F165" s="1652">
        <f t="shared" ref="F165:L168" si="223">SUMIF($C$125:$C$164,$C165,F$125:F$164)</f>
        <v>21.200766691046226</v>
      </c>
      <c r="G165" s="1652">
        <f t="shared" si="223"/>
        <v>19.866375444182339</v>
      </c>
      <c r="H165" s="1652">
        <f t="shared" si="223"/>
        <v>18.662828806071019</v>
      </c>
      <c r="I165" s="1652">
        <f t="shared" si="223"/>
        <v>19.134318601929532</v>
      </c>
      <c r="J165" s="1652">
        <f t="shared" si="223"/>
        <v>19.605808397788039</v>
      </c>
      <c r="K165" s="1652">
        <f t="shared" si="223"/>
        <v>19.974474728559709</v>
      </c>
      <c r="L165" s="2422">
        <f t="shared" si="223"/>
        <v>20.851354552573728</v>
      </c>
      <c r="M165" s="259">
        <f t="shared" si="104"/>
        <v>8.6033754091119408E-2</v>
      </c>
      <c r="N165" s="2044">
        <f>(L165/D165)^(1/9)-1</f>
        <v>9.2124314112540517E-3</v>
      </c>
      <c r="P165" s="1631" t="s">
        <v>113</v>
      </c>
      <c r="Q165" s="2530">
        <f t="shared" ref="Q165:Y167" si="224">D165*1000000000/Q$122</f>
        <v>930.77211605994285</v>
      </c>
      <c r="R165" s="2530">
        <f t="shared" si="224"/>
        <v>961.17433520110967</v>
      </c>
      <c r="S165" s="2530">
        <f t="shared" si="224"/>
        <v>987.20138254631593</v>
      </c>
      <c r="T165" s="2530">
        <f t="shared" si="224"/>
        <v>908.56663193096938</v>
      </c>
      <c r="U165" s="2530">
        <f t="shared" si="224"/>
        <v>841.71180061503378</v>
      </c>
      <c r="V165" s="2530">
        <f t="shared" si="224"/>
        <v>849.64766460592716</v>
      </c>
      <c r="W165" s="2530">
        <f t="shared" si="224"/>
        <v>855.37198128040916</v>
      </c>
      <c r="X165" s="2530">
        <f t="shared" si="224"/>
        <v>857.79861779605562</v>
      </c>
      <c r="Y165" s="2531">
        <f t="shared" si="224"/>
        <v>883.00048858615935</v>
      </c>
      <c r="Z165" s="259"/>
      <c r="AA165" s="2044">
        <f>(Y165/Q165)^(1/9)-1</f>
        <v>-5.8371991964757397E-3</v>
      </c>
    </row>
    <row r="166" spans="2:29" x14ac:dyDescent="0.2">
      <c r="B166" s="1639"/>
      <c r="C166" s="1629" t="s">
        <v>114</v>
      </c>
      <c r="D166" s="253">
        <f t="shared" si="222"/>
        <v>22.57463206136239</v>
      </c>
      <c r="E166" s="253">
        <f t="shared" si="222"/>
        <v>23.309008490774552</v>
      </c>
      <c r="F166" s="253">
        <f t="shared" si="223"/>
        <v>24.043384920186718</v>
      </c>
      <c r="G166" s="253">
        <f t="shared" si="223"/>
        <v>25.51240248866393</v>
      </c>
      <c r="H166" s="253">
        <f t="shared" si="223"/>
        <v>27.069408769962674</v>
      </c>
      <c r="I166" s="253">
        <f t="shared" si="223"/>
        <v>27.902715669941152</v>
      </c>
      <c r="J166" s="253">
        <f t="shared" si="223"/>
        <v>28.736022569919633</v>
      </c>
      <c r="K166" s="253">
        <f t="shared" si="223"/>
        <v>29.569329469898111</v>
      </c>
      <c r="L166" s="254">
        <f t="shared" si="223"/>
        <v>29.855358424866658</v>
      </c>
      <c r="M166" s="1674">
        <f>(L166-D166)/D166</f>
        <v>0.3225180522860257</v>
      </c>
      <c r="N166" s="2045">
        <f>(L166/D166)^(1/9)-1</f>
        <v>3.1547112318795811E-2</v>
      </c>
      <c r="O166" s="77"/>
      <c r="P166" s="1629" t="s">
        <v>114</v>
      </c>
      <c r="Q166" s="2532">
        <f t="shared" si="224"/>
        <v>1094.392467575635</v>
      </c>
      <c r="R166" s="2532">
        <f t="shared" si="224"/>
        <v>1109.1013651270162</v>
      </c>
      <c r="S166" s="2532">
        <f t="shared" si="224"/>
        <v>1119.5662487208972</v>
      </c>
      <c r="T166" s="2532">
        <f t="shared" si="224"/>
        <v>1166.7814124785709</v>
      </c>
      <c r="U166" s="2532">
        <f t="shared" si="224"/>
        <v>1220.8567647546456</v>
      </c>
      <c r="V166" s="2532">
        <f t="shared" si="224"/>
        <v>1239.0029505800123</v>
      </c>
      <c r="W166" s="2532">
        <f t="shared" si="224"/>
        <v>1253.7095161311413</v>
      </c>
      <c r="X166" s="2532">
        <f t="shared" si="224"/>
        <v>1269.8471570903594</v>
      </c>
      <c r="Y166" s="2533">
        <f t="shared" si="224"/>
        <v>1264.2965716976987</v>
      </c>
      <c r="Z166" s="1674"/>
      <c r="AA166" s="2045">
        <f>(Y166/Q166)^(1/9)-1</f>
        <v>1.6164421309768695E-2</v>
      </c>
    </row>
    <row r="167" spans="2:29" x14ac:dyDescent="0.2">
      <c r="B167" s="1639"/>
      <c r="C167" s="1629" t="s">
        <v>38</v>
      </c>
      <c r="D167" s="1656">
        <f t="shared" si="222"/>
        <v>1.3680336551714096</v>
      </c>
      <c r="E167" s="1656">
        <f t="shared" si="222"/>
        <v>1.4228168500479004</v>
      </c>
      <c r="F167" s="1656">
        <f t="shared" si="223"/>
        <v>1.4776000449243909</v>
      </c>
      <c r="G167" s="1656">
        <f t="shared" si="223"/>
        <v>1.7193217859195711</v>
      </c>
      <c r="H167" s="1656">
        <f t="shared" si="223"/>
        <v>1.9661091943209188</v>
      </c>
      <c r="I167" s="1656">
        <f t="shared" si="223"/>
        <v>2.2734567438777846</v>
      </c>
      <c r="J167" s="1656">
        <f t="shared" si="223"/>
        <v>2.5808042934346513</v>
      </c>
      <c r="K167" s="1656">
        <f t="shared" si="223"/>
        <v>2.8881518429915176</v>
      </c>
      <c r="L167" s="1656">
        <f t="shared" si="223"/>
        <v>2.3112814754915849</v>
      </c>
      <c r="M167" s="1674">
        <f t="shared" si="104"/>
        <v>0.68949167789442267</v>
      </c>
      <c r="N167" s="2045">
        <f>(L167/D167)^(1/9)-1</f>
        <v>6.000088666259118E-2</v>
      </c>
      <c r="P167" s="1629" t="s">
        <v>38</v>
      </c>
      <c r="Q167" s="2532">
        <f t="shared" si="224"/>
        <v>66.320714487835588</v>
      </c>
      <c r="R167" s="2532">
        <f t="shared" si="224"/>
        <v>67.701211372350798</v>
      </c>
      <c r="S167" s="2532">
        <f t="shared" si="224"/>
        <v>68.803587552138339</v>
      </c>
      <c r="T167" s="2532">
        <f t="shared" si="224"/>
        <v>78.631273662752307</v>
      </c>
      <c r="U167" s="2532">
        <f t="shared" si="224"/>
        <v>88.673444275462458</v>
      </c>
      <c r="V167" s="2532">
        <f t="shared" si="224"/>
        <v>100.95145028177623</v>
      </c>
      <c r="W167" s="2532">
        <f t="shared" si="224"/>
        <v>112.59661611409216</v>
      </c>
      <c r="X167" s="2532">
        <f t="shared" si="224"/>
        <v>124.03092910177845</v>
      </c>
      <c r="Y167" s="2533">
        <f t="shared" si="224"/>
        <v>97.876743065946314</v>
      </c>
      <c r="Z167" s="1674"/>
      <c r="AA167" s="2045">
        <f>(Y167/Q167)^(1/9)-1</f>
        <v>4.4193885785847931E-2</v>
      </c>
      <c r="AC167" s="2539"/>
    </row>
    <row r="168" spans="2:29" x14ac:dyDescent="0.2">
      <c r="B168" s="1639"/>
      <c r="C168" s="1629" t="s">
        <v>117</v>
      </c>
      <c r="D168" s="253">
        <f>SUMIF($C$125:$C$164,$C168,D$125:D$164)</f>
        <v>43.142211286849736</v>
      </c>
      <c r="E168" s="253">
        <f t="shared" ref="E168" si="225">SUMIF($C$125:$C$164,$C168,E$125:E$164)</f>
        <v>44.931981471503526</v>
      </c>
      <c r="F168" s="253">
        <f t="shared" si="223"/>
        <v>46.721751656157331</v>
      </c>
      <c r="G168" s="253">
        <f t="shared" si="223"/>
        <v>47.09809971876583</v>
      </c>
      <c r="H168" s="253">
        <f t="shared" si="223"/>
        <v>47.698346770354625</v>
      </c>
      <c r="I168" s="253">
        <f t="shared" si="223"/>
        <v>49.310491015748468</v>
      </c>
      <c r="J168" s="253">
        <f t="shared" si="223"/>
        <v>50.922635261142325</v>
      </c>
      <c r="K168" s="253">
        <f t="shared" si="223"/>
        <v>52.43195604144934</v>
      </c>
      <c r="L168" s="253">
        <f t="shared" si="223"/>
        <v>53.017994452931958</v>
      </c>
      <c r="M168" s="1674">
        <f t="shared" si="104"/>
        <v>0.2289123081897399</v>
      </c>
      <c r="N168" s="2045">
        <f>(L168/D168)^(1/9)-1</f>
        <v>2.3167568977045638E-2</v>
      </c>
      <c r="P168" s="1629" t="s">
        <v>117</v>
      </c>
      <c r="Q168" s="253">
        <f>SUM(Q165:Q167)</f>
        <v>2091.4852981234135</v>
      </c>
      <c r="R168" s="253">
        <f t="shared" ref="R168" si="226">SUM(R165:R167)</f>
        <v>2137.9769117004766</v>
      </c>
      <c r="S168" s="253">
        <f t="shared" ref="S168" si="227">SUM(S165:S167)</f>
        <v>2175.5712188193511</v>
      </c>
      <c r="T168" s="253">
        <f t="shared" ref="T168" si="228">SUM(T165:T167)</f>
        <v>2153.9793180722927</v>
      </c>
      <c r="U168" s="253">
        <f t="shared" ref="U168" si="229">SUM(U165:U167)</f>
        <v>2151.2420096451415</v>
      </c>
      <c r="V168" s="253">
        <f t="shared" ref="V168" si="230">SUM(V165:V167)</f>
        <v>2189.6020654677154</v>
      </c>
      <c r="W168" s="253">
        <f t="shared" ref="W168" si="231">SUM(W165:W167)</f>
        <v>2221.6781135256429</v>
      </c>
      <c r="X168" s="253">
        <f t="shared" ref="X168" si="232">SUM(X165:X167)</f>
        <v>2251.6767039881934</v>
      </c>
      <c r="Y168" s="253">
        <f>SUM(Y165:Y167)</f>
        <v>2245.1738033498045</v>
      </c>
      <c r="Z168" s="1674">
        <f>(Y168-Q168)/Q168</f>
        <v>7.3482947914713118E-2</v>
      </c>
      <c r="AA168" s="2045">
        <f>(Y168/Q168)^(1/9)-1</f>
        <v>7.909835834202017E-3</v>
      </c>
    </row>
    <row r="169" spans="2:29" x14ac:dyDescent="0.2">
      <c r="B169" s="1640"/>
      <c r="C169" s="1634" t="s">
        <v>116</v>
      </c>
      <c r="D169" s="1653">
        <f>SUM(D166:D167)/D168</f>
        <v>0.55497075839114007</v>
      </c>
      <c r="E169" s="1653">
        <f t="shared" ref="E169:L169" si="233">SUM(E166:E167)/E168</f>
        <v>0.55042810334344394</v>
      </c>
      <c r="F169" s="1653">
        <f t="shared" si="233"/>
        <v>0.54623347927812049</v>
      </c>
      <c r="G169" s="1653">
        <f t="shared" si="233"/>
        <v>0.57819157115023168</v>
      </c>
      <c r="H169" s="1653">
        <f t="shared" si="233"/>
        <v>0.60873216642237349</v>
      </c>
      <c r="I169" s="1653">
        <f t="shared" si="233"/>
        <v>0.61196252140708685</v>
      </c>
      <c r="J169" s="1653">
        <f t="shared" si="233"/>
        <v>0.61498833873688585</v>
      </c>
      <c r="K169" s="1653">
        <f t="shared" si="233"/>
        <v>0.61904006188956262</v>
      </c>
      <c r="L169" s="1653">
        <f t="shared" si="233"/>
        <v>0.60671174442320663</v>
      </c>
      <c r="M169" s="1674">
        <f>L169-D169</f>
        <v>5.174098603206656E-2</v>
      </c>
      <c r="N169" s="2239">
        <f>(L169/D169)^(1/9)-1</f>
        <v>9.9534726367227488E-3</v>
      </c>
      <c r="O169" s="1633"/>
      <c r="P169" s="1634" t="s">
        <v>1075</v>
      </c>
      <c r="Q169" s="2536">
        <f>Q122</f>
        <v>20627547</v>
      </c>
      <c r="R169" s="2536">
        <f t="shared" ref="R169:Y169" si="234">R122</f>
        <v>21016121</v>
      </c>
      <c r="S169" s="2536">
        <f t="shared" si="234"/>
        <v>21475625</v>
      </c>
      <c r="T169" s="2536">
        <f t="shared" si="234"/>
        <v>21865623</v>
      </c>
      <c r="U169" s="2536">
        <f t="shared" si="234"/>
        <v>22172469</v>
      </c>
      <c r="V169" s="2536">
        <f t="shared" si="234"/>
        <v>22520298</v>
      </c>
      <c r="W169" s="2536">
        <f t="shared" si="234"/>
        <v>22920798</v>
      </c>
      <c r="X169" s="2536">
        <f t="shared" si="234"/>
        <v>23285739</v>
      </c>
      <c r="Y169" s="2536">
        <f t="shared" si="234"/>
        <v>23614205</v>
      </c>
      <c r="Z169" s="1666">
        <f>(Y169-Q169)/Q169</f>
        <v>0.14478978038445386</v>
      </c>
      <c r="AA169" s="2239">
        <f>(Y169/Q169)^(1/9)-1</f>
        <v>1.5137994094695628E-2</v>
      </c>
    </row>
    <row r="170" spans="2:29" ht="15.75" x14ac:dyDescent="0.25">
      <c r="B170" s="2434" t="s">
        <v>1078</v>
      </c>
      <c r="C170" s="1643"/>
      <c r="D170" s="2270" t="s">
        <v>1080</v>
      </c>
      <c r="E170" s="2270"/>
      <c r="F170" s="2270"/>
      <c r="G170" s="2270"/>
      <c r="H170" s="2270"/>
      <c r="I170" s="2270"/>
      <c r="J170" s="2270"/>
      <c r="K170" s="2270"/>
      <c r="L170" s="2270"/>
      <c r="M170" s="2807" t="s">
        <v>1102</v>
      </c>
      <c r="N170" s="2801" t="s">
        <v>1103</v>
      </c>
      <c r="O170" s="1643"/>
      <c r="P170" s="1643"/>
      <c r="Q170" s="1672" t="s">
        <v>1301</v>
      </c>
      <c r="R170" s="1672"/>
      <c r="S170" s="1672"/>
      <c r="T170" s="1672"/>
      <c r="U170" s="1672"/>
      <c r="V170" s="1672"/>
      <c r="W170" s="1672"/>
      <c r="X170" s="1672"/>
      <c r="Y170" s="1673"/>
      <c r="Z170" s="2807" t="s">
        <v>1102</v>
      </c>
      <c r="AA170" s="2801" t="s">
        <v>1103</v>
      </c>
    </row>
    <row r="171" spans="2:29" ht="15.75" x14ac:dyDescent="0.25">
      <c r="B171" s="2435" t="s">
        <v>1365</v>
      </c>
      <c r="C171" s="930"/>
      <c r="D171" s="1628" t="s">
        <v>1067</v>
      </c>
      <c r="E171" s="1628" t="s">
        <v>1068</v>
      </c>
      <c r="F171" s="1628" t="s">
        <v>1069</v>
      </c>
      <c r="G171" s="1628" t="s">
        <v>1070</v>
      </c>
      <c r="H171" s="1628" t="s">
        <v>1071</v>
      </c>
      <c r="I171" s="1628" t="s">
        <v>1072</v>
      </c>
      <c r="J171" s="1628" t="s">
        <v>1073</v>
      </c>
      <c r="K171" s="1628" t="s">
        <v>876</v>
      </c>
      <c r="L171" s="1628" t="s">
        <v>958</v>
      </c>
      <c r="M171" s="2808"/>
      <c r="N171" s="2802"/>
      <c r="O171" s="2151" t="s">
        <v>1150</v>
      </c>
      <c r="P171" s="930"/>
      <c r="Q171" s="1628" t="s">
        <v>1067</v>
      </c>
      <c r="R171" s="1628" t="s">
        <v>1068</v>
      </c>
      <c r="S171" s="1628" t="s">
        <v>1069</v>
      </c>
      <c r="T171" s="1628" t="s">
        <v>1070</v>
      </c>
      <c r="U171" s="1628" t="s">
        <v>1071</v>
      </c>
      <c r="V171" s="1628" t="s">
        <v>1072</v>
      </c>
      <c r="W171" s="1628" t="s">
        <v>1073</v>
      </c>
      <c r="X171" s="1628" t="s">
        <v>876</v>
      </c>
      <c r="Y171" s="1647" t="s">
        <v>958</v>
      </c>
      <c r="Z171" s="2808"/>
      <c r="AA171" s="2802"/>
    </row>
    <row r="172" spans="2:29" x14ac:dyDescent="0.2">
      <c r="B172" s="1658" t="s">
        <v>1338</v>
      </c>
      <c r="C172" s="2273"/>
      <c r="D172" s="2274"/>
      <c r="E172" s="2274"/>
      <c r="F172" s="2274"/>
      <c r="G172" s="2274"/>
      <c r="H172" s="2274"/>
      <c r="I172" s="2274"/>
      <c r="J172" s="2274"/>
      <c r="K172" s="2274"/>
      <c r="L172" s="2274"/>
      <c r="M172" s="2275"/>
      <c r="N172" s="2276"/>
      <c r="O172" s="1643"/>
      <c r="P172" s="1643"/>
      <c r="Q172" s="2277"/>
      <c r="R172" s="2277"/>
      <c r="S172" s="2277"/>
      <c r="T172" s="2277"/>
      <c r="U172" s="2277"/>
      <c r="V172" s="2277"/>
      <c r="W172" s="2277"/>
      <c r="X172" s="2277"/>
      <c r="Y172" s="2278"/>
      <c r="Z172" s="941"/>
      <c r="AA172" s="942"/>
    </row>
    <row r="173" spans="2:29" x14ac:dyDescent="0.2">
      <c r="B173" s="2279" t="s">
        <v>16</v>
      </c>
      <c r="C173" s="2280" t="s">
        <v>113</v>
      </c>
      <c r="D173" s="2129">
        <v>7.2064071387219784</v>
      </c>
      <c r="E173" s="1650">
        <f t="shared" ref="E173:E175" si="235">D173+(F173-D173)/($F$72-$D$72)</f>
        <v>7.1633077836186514</v>
      </c>
      <c r="F173" s="2129">
        <v>7.1202084285153244</v>
      </c>
      <c r="G173" s="2129">
        <v>7.0393159962822054</v>
      </c>
      <c r="H173" s="2129">
        <v>6.5467555381955806</v>
      </c>
      <c r="I173" s="1650">
        <f t="shared" ref="I173:I175" si="236">H173+($K173-$H173)/($K$72-$H$72)</f>
        <v>6.365195342831071</v>
      </c>
      <c r="J173" s="1650">
        <f>I173+($K173-$H173)/($K$72-$H$72)</f>
        <v>6.1836351474665614</v>
      </c>
      <c r="K173" s="2129">
        <v>6.0020749521020527</v>
      </c>
      <c r="L173" s="1650">
        <f>D46</f>
        <v>6.4861293658881785</v>
      </c>
      <c r="M173" s="2283">
        <f t="shared" ref="M173:M191" si="237">(L173-D173)/D173</f>
        <v>-9.9949636340077461E-2</v>
      </c>
      <c r="N173" s="2284">
        <f t="shared" ref="N173:N192" si="238">(L173/D173)^(1/9)-1</f>
        <v>-1.1632321666206757E-2</v>
      </c>
      <c r="O173" s="930"/>
      <c r="P173" s="930"/>
      <c r="Q173" s="2312">
        <f t="shared" ref="Q173:Y175" si="239">D173*1000000000/Q$122</f>
        <v>349.35841565271812</v>
      </c>
      <c r="R173" s="2312">
        <f t="shared" si="239"/>
        <v>340.84823662837931</v>
      </c>
      <c r="S173" s="2312">
        <f t="shared" si="239"/>
        <v>331.548368371832</v>
      </c>
      <c r="T173" s="2312">
        <f t="shared" si="239"/>
        <v>321.93530439458345</v>
      </c>
      <c r="U173" s="2312">
        <f t="shared" si="239"/>
        <v>295.26506670031114</v>
      </c>
      <c r="V173" s="2312">
        <f t="shared" si="239"/>
        <v>282.64258949109245</v>
      </c>
      <c r="W173" s="2312">
        <f t="shared" si="239"/>
        <v>269.78271644235775</v>
      </c>
      <c r="X173" s="2312">
        <f t="shared" si="239"/>
        <v>257.75754645802965</v>
      </c>
      <c r="Y173" s="2313">
        <f>L173*1000000000/Y$122</f>
        <v>274.67066394520498</v>
      </c>
      <c r="Z173" s="2283">
        <f t="shared" ref="Z173:Z180" si="240">(Y173-Q173)/Q173</f>
        <v>-0.21378546604629947</v>
      </c>
      <c r="AA173" s="2284">
        <f>(Y173/Q173)^(1/9)-1</f>
        <v>-2.6371110052654689E-2</v>
      </c>
    </row>
    <row r="174" spans="2:29" x14ac:dyDescent="0.2">
      <c r="B174" s="1644"/>
      <c r="C174" s="2280" t="s">
        <v>114</v>
      </c>
      <c r="D174" s="2129">
        <v>4.7102429690200704</v>
      </c>
      <c r="E174" s="1650">
        <f t="shared" si="235"/>
        <v>4.9717873259801362</v>
      </c>
      <c r="F174" s="2129">
        <v>5.2333316829402019</v>
      </c>
      <c r="G174" s="2129">
        <v>5.4041706916590488</v>
      </c>
      <c r="H174" s="2129">
        <v>5.6894107048106051</v>
      </c>
      <c r="I174" s="1650">
        <f t="shared" si="236"/>
        <v>5.6367387627353533</v>
      </c>
      <c r="J174" s="1650">
        <f t="shared" ref="J174:J175" si="241">I174+($K174-$H174)/($K$72-$H$72)</f>
        <v>5.5840668206601016</v>
      </c>
      <c r="K174" s="2129">
        <v>5.531394878584849</v>
      </c>
      <c r="L174" s="1650">
        <f>D47</f>
        <v>5.6051962954849195</v>
      </c>
      <c r="M174" s="2283">
        <f t="shared" si="237"/>
        <v>0.19000152059056885</v>
      </c>
      <c r="N174" s="2284">
        <f t="shared" si="238"/>
        <v>1.9516287847710423E-2</v>
      </c>
      <c r="O174" s="2285"/>
      <c r="P174" s="930"/>
      <c r="Q174" s="2312">
        <f t="shared" si="239"/>
        <v>228.34721787423732</v>
      </c>
      <c r="R174" s="2312">
        <f t="shared" si="239"/>
        <v>236.57017039348679</v>
      </c>
      <c r="S174" s="2312">
        <f>F174*1000000000/S$122</f>
        <v>243.68704905865147</v>
      </c>
      <c r="T174" s="2312">
        <f t="shared" si="239"/>
        <v>247.15374867933326</v>
      </c>
      <c r="U174" s="2312">
        <f t="shared" si="239"/>
        <v>256.59797764563814</v>
      </c>
      <c r="V174" s="2312">
        <f t="shared" si="239"/>
        <v>250.29592249335926</v>
      </c>
      <c r="W174" s="2312">
        <f t="shared" si="239"/>
        <v>243.62445062602541</v>
      </c>
      <c r="X174" s="2312">
        <f t="shared" si="239"/>
        <v>237.54431322041569</v>
      </c>
      <c r="Y174" s="2313">
        <f t="shared" si="239"/>
        <v>237.36544573424851</v>
      </c>
      <c r="Z174" s="2283">
        <f t="shared" si="240"/>
        <v>3.9493486909825203E-2</v>
      </c>
      <c r="AA174" s="2284">
        <f>(Y174/Q174)^(1/9)-1</f>
        <v>4.3130035310317005E-3</v>
      </c>
    </row>
    <row r="175" spans="2:29" x14ac:dyDescent="0.2">
      <c r="B175" s="1644"/>
      <c r="C175" s="2280" t="s">
        <v>38</v>
      </c>
      <c r="D175" s="2129">
        <v>0.88201596995414489</v>
      </c>
      <c r="E175" s="1650">
        <f t="shared" si="235"/>
        <v>0.89244726300940869</v>
      </c>
      <c r="F175" s="2129">
        <v>0.90287855606467238</v>
      </c>
      <c r="G175" s="2129">
        <v>1.0721048241097335</v>
      </c>
      <c r="H175" s="2129">
        <v>1.2263532551872192</v>
      </c>
      <c r="I175" s="1650">
        <f t="shared" si="236"/>
        <v>1.3429570972978417</v>
      </c>
      <c r="J175" s="1650">
        <f t="shared" si="241"/>
        <v>1.4595609394084643</v>
      </c>
      <c r="K175" s="2129">
        <v>1.5761647815190869</v>
      </c>
      <c r="L175" s="1650">
        <f>D48</f>
        <v>1.2532137416276181</v>
      </c>
      <c r="M175" s="2283">
        <f t="shared" si="237"/>
        <v>0.42085153139888321</v>
      </c>
      <c r="N175" s="2284">
        <f t="shared" si="238"/>
        <v>3.9800101574008595E-2</v>
      </c>
      <c r="O175" s="930"/>
      <c r="P175" s="930"/>
      <c r="Q175" s="2312">
        <f t="shared" si="239"/>
        <v>42.759130300570632</v>
      </c>
      <c r="R175" s="2312">
        <f t="shared" si="239"/>
        <v>42.46488983430428</v>
      </c>
      <c r="S175" s="2312">
        <f t="shared" si="239"/>
        <v>42.042015357628586</v>
      </c>
      <c r="T175" s="2312">
        <f t="shared" si="239"/>
        <v>49.031524238286437</v>
      </c>
      <c r="U175" s="2312">
        <f t="shared" si="239"/>
        <v>55.309729159491404</v>
      </c>
      <c r="V175" s="2312">
        <f t="shared" si="239"/>
        <v>59.633185018148595</v>
      </c>
      <c r="W175" s="2312">
        <f t="shared" si="239"/>
        <v>63.678452181658962</v>
      </c>
      <c r="X175" s="2312">
        <f t="shared" si="239"/>
        <v>67.68798626142322</v>
      </c>
      <c r="Y175" s="2313">
        <f t="shared" si="239"/>
        <v>53.070333793901511</v>
      </c>
      <c r="Z175" s="2283">
        <f t="shared" si="240"/>
        <v>0.24114623989892689</v>
      </c>
      <c r="AA175" s="2284">
        <f>(Y175/Q175)^(1/9)-1</f>
        <v>2.4294339905292173E-2</v>
      </c>
    </row>
    <row r="176" spans="2:29" x14ac:dyDescent="0.2">
      <c r="B176" s="1644"/>
      <c r="C176" s="2280" t="s">
        <v>117</v>
      </c>
      <c r="D176" s="2286">
        <f>SUM(D173:D175)</f>
        <v>12.798666077696193</v>
      </c>
      <c r="E176" s="2286">
        <f t="shared" ref="E176:K176" si="242">SUM(E173:E175)</f>
        <v>13.027542372608195</v>
      </c>
      <c r="F176" s="2286">
        <f t="shared" si="242"/>
        <v>13.256418667520199</v>
      </c>
      <c r="G176" s="2286">
        <f t="shared" si="242"/>
        <v>13.515591512050987</v>
      </c>
      <c r="H176" s="2286">
        <f t="shared" si="242"/>
        <v>13.462519498193403</v>
      </c>
      <c r="I176" s="2286">
        <f t="shared" si="242"/>
        <v>13.344891202864265</v>
      </c>
      <c r="J176" s="2286">
        <f t="shared" si="242"/>
        <v>13.227262907535126</v>
      </c>
      <c r="K176" s="2286">
        <f t="shared" si="242"/>
        <v>13.109634612205987</v>
      </c>
      <c r="L176" s="2286">
        <f>SUM(L173:L175)</f>
        <v>13.344539403000717</v>
      </c>
      <c r="M176" s="2283">
        <f t="shared" si="237"/>
        <v>4.2650798293409523E-2</v>
      </c>
      <c r="N176" s="2284">
        <f t="shared" si="238"/>
        <v>4.6514863847104682E-3</v>
      </c>
      <c r="O176" s="930"/>
      <c r="P176" s="930"/>
      <c r="Q176" s="2318">
        <f>SUM(Q173:Q175)</f>
        <v>620.4647638275261</v>
      </c>
      <c r="R176" s="2318">
        <f t="shared" ref="R176:Y176" si="243">SUM(R173:R175)</f>
        <v>619.88329685617032</v>
      </c>
      <c r="S176" s="2318">
        <f t="shared" si="243"/>
        <v>617.27743278811204</v>
      </c>
      <c r="T176" s="2318">
        <f t="shared" si="243"/>
        <v>618.12057731220318</v>
      </c>
      <c r="U176" s="2318">
        <f t="shared" si="243"/>
        <v>607.17277350544066</v>
      </c>
      <c r="V176" s="2318">
        <f t="shared" si="243"/>
        <v>592.57169700260033</v>
      </c>
      <c r="W176" s="2318">
        <f t="shared" si="243"/>
        <v>577.0856192500421</v>
      </c>
      <c r="X176" s="2318">
        <f t="shared" si="243"/>
        <v>562.98984593986859</v>
      </c>
      <c r="Y176" s="2318">
        <f t="shared" si="243"/>
        <v>565.10644347335506</v>
      </c>
      <c r="Z176" s="2283">
        <f>(Y176-Q176)/Q176</f>
        <v>-8.922073191179522E-2</v>
      </c>
      <c r="AA176" s="2284">
        <f>(Y176/Q176)^(1/9)-1</f>
        <v>-1.0330130259124992E-2</v>
      </c>
    </row>
    <row r="177" spans="2:89" x14ac:dyDescent="0.2">
      <c r="B177" s="2281"/>
      <c r="C177" s="2282" t="s">
        <v>116</v>
      </c>
      <c r="D177" s="2287">
        <f>SUM(D174:D175)/D176</f>
        <v>0.43694076437541074</v>
      </c>
      <c r="E177" s="2287">
        <f t="shared" ref="E177:L177" si="244">SUM(E174:E175)/E176</f>
        <v>0.45014127924233255</v>
      </c>
      <c r="F177" s="2287">
        <f t="shared" si="244"/>
        <v>0.4628859719133131</v>
      </c>
      <c r="G177" s="2287">
        <f t="shared" si="244"/>
        <v>0.47917070518107202</v>
      </c>
      <c r="H177" s="2287">
        <f t="shared" si="244"/>
        <v>0.51370502831404496</v>
      </c>
      <c r="I177" s="2287">
        <f t="shared" si="244"/>
        <v>0.52302381142943422</v>
      </c>
      <c r="J177" s="2287">
        <f t="shared" si="244"/>
        <v>0.53250833595029312</v>
      </c>
      <c r="K177" s="2287">
        <f t="shared" si="244"/>
        <v>0.54216306330050579</v>
      </c>
      <c r="L177" s="2287">
        <f t="shared" si="244"/>
        <v>0.51394880182753433</v>
      </c>
      <c r="M177" s="2288">
        <f>L177-D177</f>
        <v>7.700803745212359E-2</v>
      </c>
      <c r="N177" s="2289">
        <f t="shared" si="238"/>
        <v>1.8199859205608959E-2</v>
      </c>
      <c r="O177" s="2290"/>
      <c r="P177" s="2290"/>
      <c r="Q177" s="2319"/>
      <c r="R177" s="2319"/>
      <c r="S177" s="2319"/>
      <c r="T177" s="2319"/>
      <c r="U177" s="2319"/>
      <c r="V177" s="2319"/>
      <c r="W177" s="2319"/>
      <c r="X177" s="2319"/>
      <c r="Y177" s="2319"/>
      <c r="Z177" s="2288"/>
      <c r="AA177" s="2291"/>
    </row>
    <row r="178" spans="2:89" x14ac:dyDescent="0.2">
      <c r="B178" s="2279" t="s">
        <v>1353</v>
      </c>
      <c r="C178" s="2273" t="s">
        <v>113</v>
      </c>
      <c r="D178" s="2129">
        <v>16.608734022877979</v>
      </c>
      <c r="E178" s="1650">
        <f t="shared" ref="E178:E180" si="245">D178+(F178-D178)/($F$72-$D$72)</f>
        <v>16.691405122786335</v>
      </c>
      <c r="F178" s="2129">
        <v>16.774076222694688</v>
      </c>
      <c r="G178" s="2129">
        <v>15.74303243477133</v>
      </c>
      <c r="H178" s="2129">
        <v>14.0511372958075</v>
      </c>
      <c r="I178" s="1650">
        <f t="shared" ref="I178:I180" si="246">H178+($K178-$H178)/($K$72-$H$72)</f>
        <v>13.389347367783161</v>
      </c>
      <c r="J178" s="1650">
        <f t="shared" ref="J178:J180" si="247">I178+($K178-$H178)/($K$72-$H$72)</f>
        <v>12.727557439758822</v>
      </c>
      <c r="K178" s="2129">
        <v>12.065767511734485</v>
      </c>
      <c r="L178" s="1650">
        <f>E46</f>
        <v>13.173716404586006</v>
      </c>
      <c r="M178" s="2275">
        <f t="shared" ref="M178:M181" si="248">(L178-D178)/D178</f>
        <v>-0.20681995470337172</v>
      </c>
      <c r="N178" s="2276">
        <f t="shared" ref="N178:N182" si="249">(L178/D178)^(1/9)-1</f>
        <v>-2.541642757987983E-2</v>
      </c>
      <c r="O178" s="1643"/>
      <c r="P178" s="930"/>
      <c r="Q178" s="2316">
        <f t="shared" ref="Q178:Q180" si="250">D178*1000000000/Q$122</f>
        <v>805.17252113777658</v>
      </c>
      <c r="R178" s="2316">
        <f t="shared" ref="R178:R180" si="251">E178*1000000000/R$122</f>
        <v>794.2191198264577</v>
      </c>
      <c r="S178" s="2316">
        <f t="shared" ref="S178:S180" si="252">F178*1000000000/S$122</f>
        <v>781.07511295688437</v>
      </c>
      <c r="T178" s="2316">
        <f t="shared" ref="T178:T180" si="253">G178*1000000000/T$122</f>
        <v>719.99011575253678</v>
      </c>
      <c r="U178" s="2316">
        <f t="shared" ref="U178:U180" si="254">H178*1000000000/U$122</f>
        <v>633.72001087508568</v>
      </c>
      <c r="V178" s="2316">
        <f t="shared" ref="V178:V180" si="255">I178*1000000000/V$122</f>
        <v>594.54574569942019</v>
      </c>
      <c r="W178" s="2316">
        <f t="shared" ref="W178:W180" si="256">J178*1000000000/W$122</f>
        <v>555.28422002405068</v>
      </c>
      <c r="X178" s="2316">
        <f t="shared" ref="X178:X180" si="257">K178*1000000000/X$122</f>
        <v>518.16124503218407</v>
      </c>
      <c r="Y178" s="2317">
        <f t="shared" ref="Y178:Y180" si="258">L178*1000000000/Y$122</f>
        <v>557.87253496723713</v>
      </c>
      <c r="Z178" s="2283">
        <f t="shared" si="240"/>
        <v>-0.30713912817228756</v>
      </c>
      <c r="AA178" s="2276">
        <f>(Y178/Q178)^(1/9)-1</f>
        <v>-3.9949663898396492E-2</v>
      </c>
    </row>
    <row r="179" spans="2:89" x14ac:dyDescent="0.2">
      <c r="B179" s="1644"/>
      <c r="C179" s="2280" t="s">
        <v>114</v>
      </c>
      <c r="D179" s="2129">
        <v>12.656871474465341</v>
      </c>
      <c r="E179" s="1650">
        <f t="shared" si="245"/>
        <v>12.892006177830385</v>
      </c>
      <c r="F179" s="2129">
        <v>13.127140881195432</v>
      </c>
      <c r="G179" s="2129">
        <v>14.773296589737146</v>
      </c>
      <c r="H179" s="2129">
        <v>16.038544285510923</v>
      </c>
      <c r="I179" s="1650">
        <f t="shared" si="246"/>
        <v>16.8447501563599</v>
      </c>
      <c r="J179" s="1650">
        <f t="shared" si="247"/>
        <v>17.650956027208878</v>
      </c>
      <c r="K179" s="2129">
        <v>18.457161898057858</v>
      </c>
      <c r="L179" s="1650">
        <f>E47</f>
        <v>16.830768348021198</v>
      </c>
      <c r="M179" s="2283">
        <f t="shared" si="248"/>
        <v>0.32977318936804439</v>
      </c>
      <c r="N179" s="2284">
        <f t="shared" si="249"/>
        <v>3.2174352762267766E-2</v>
      </c>
      <c r="O179" s="2285"/>
      <c r="P179" s="930"/>
      <c r="Q179" s="2312">
        <f t="shared" si="250"/>
        <v>613.59072285547768</v>
      </c>
      <c r="R179" s="2312">
        <f t="shared" si="251"/>
        <v>613.43414314327492</v>
      </c>
      <c r="S179" s="2312">
        <f t="shared" si="252"/>
        <v>611.25768778302995</v>
      </c>
      <c r="T179" s="2312">
        <f t="shared" si="253"/>
        <v>675.64032315645181</v>
      </c>
      <c r="U179" s="2312">
        <f t="shared" si="254"/>
        <v>723.35400651641112</v>
      </c>
      <c r="V179" s="2312">
        <f t="shared" si="255"/>
        <v>747.98078410684889</v>
      </c>
      <c r="W179" s="2312">
        <f t="shared" si="256"/>
        <v>770.08470766196172</v>
      </c>
      <c r="X179" s="2312">
        <f t="shared" si="257"/>
        <v>792.63801325170982</v>
      </c>
      <c r="Y179" s="2313">
        <f t="shared" si="258"/>
        <v>712.73914781468181</v>
      </c>
      <c r="Z179" s="2283">
        <f t="shared" si="240"/>
        <v>0.1615872295099173</v>
      </c>
      <c r="AA179" s="2284">
        <f>(Y179/Q179)^(1/9)-1</f>
        <v>1.6782308185366634E-2</v>
      </c>
    </row>
    <row r="180" spans="2:89" x14ac:dyDescent="0.2">
      <c r="B180" s="1644"/>
      <c r="C180" s="2280" t="s">
        <v>38</v>
      </c>
      <c r="D180" s="2129">
        <v>0.59876642708826955</v>
      </c>
      <c r="E180" s="1650">
        <f t="shared" si="245"/>
        <v>0.65806679272779567</v>
      </c>
      <c r="F180" s="2129">
        <v>0.7173671583673219</v>
      </c>
      <c r="G180" s="2129">
        <v>0.77462305247122831</v>
      </c>
      <c r="H180" s="2129">
        <v>0.87314145721102543</v>
      </c>
      <c r="I180" s="1650">
        <f t="shared" si="246"/>
        <v>0.96259359947733436</v>
      </c>
      <c r="J180" s="1650">
        <f t="shared" si="247"/>
        <v>1.0520457417436433</v>
      </c>
      <c r="K180" s="2129">
        <v>1.1414978840099523</v>
      </c>
      <c r="L180" s="1650">
        <f>E48</f>
        <v>0.89206217119992681</v>
      </c>
      <c r="M180" s="2283">
        <f t="shared" si="248"/>
        <v>0.48983331536793046</v>
      </c>
      <c r="N180" s="2284">
        <f t="shared" si="249"/>
        <v>4.5291743882736046E-2</v>
      </c>
      <c r="O180" s="930"/>
      <c r="P180" s="930"/>
      <c r="Q180" s="2312">
        <f t="shared" si="250"/>
        <v>29.027514860989996</v>
      </c>
      <c r="R180" s="2312">
        <f t="shared" si="251"/>
        <v>31.312476395039585</v>
      </c>
      <c r="S180" s="2312">
        <f t="shared" si="252"/>
        <v>33.403784912770725</v>
      </c>
      <c r="T180" s="2312">
        <f t="shared" si="253"/>
        <v>35.426525577214441</v>
      </c>
      <c r="U180" s="2312">
        <f t="shared" si="254"/>
        <v>39.379532212268536</v>
      </c>
      <c r="V180" s="2312">
        <f t="shared" si="255"/>
        <v>42.743377528900126</v>
      </c>
      <c r="W180" s="2312">
        <f t="shared" si="256"/>
        <v>45.899176012268128</v>
      </c>
      <c r="X180" s="2312">
        <f t="shared" si="257"/>
        <v>49.021329493126771</v>
      </c>
      <c r="Y180" s="2313">
        <f t="shared" si="258"/>
        <v>37.776506606931164</v>
      </c>
      <c r="Z180" s="2283">
        <f t="shared" si="240"/>
        <v>0.30140340252478576</v>
      </c>
      <c r="AA180" s="2284">
        <f>(Y180/Q180)^(1/9)-1</f>
        <v>2.9704089457248228E-2</v>
      </c>
    </row>
    <row r="181" spans="2:89" x14ac:dyDescent="0.2">
      <c r="B181" s="1644"/>
      <c r="C181" s="2280" t="s">
        <v>117</v>
      </c>
      <c r="D181" s="2286">
        <f>SUM(D178:D180)</f>
        <v>29.864371924431588</v>
      </c>
      <c r="E181" s="2286">
        <f t="shared" ref="E181:K181" si="259">SUM(E178:E180)</f>
        <v>30.241478093344515</v>
      </c>
      <c r="F181" s="2286">
        <f t="shared" si="259"/>
        <v>30.618584262257439</v>
      </c>
      <c r="G181" s="2286">
        <f t="shared" si="259"/>
        <v>31.290952076979703</v>
      </c>
      <c r="H181" s="2286">
        <f t="shared" si="259"/>
        <v>30.96282303852945</v>
      </c>
      <c r="I181" s="2286">
        <f t="shared" si="259"/>
        <v>31.196691123620393</v>
      </c>
      <c r="J181" s="2286">
        <f t="shared" si="259"/>
        <v>31.430559208711344</v>
      </c>
      <c r="K181" s="2286">
        <f t="shared" si="259"/>
        <v>31.664427293802294</v>
      </c>
      <c r="L181" s="2286">
        <f>SUM(L178:L180)</f>
        <v>30.896546923807133</v>
      </c>
      <c r="M181" s="2283">
        <f t="shared" si="248"/>
        <v>3.4562086287545153E-2</v>
      </c>
      <c r="N181" s="2284">
        <f t="shared" si="249"/>
        <v>3.7824947727584934E-3</v>
      </c>
      <c r="O181" s="930"/>
      <c r="P181" s="930"/>
      <c r="Q181" s="2318">
        <f>SUM(Q178:Q180)</f>
        <v>1447.7907588542444</v>
      </c>
      <c r="R181" s="2318">
        <f t="shared" ref="R181:Y181" si="260">SUM(R178:R180)</f>
        <v>1438.9657393647722</v>
      </c>
      <c r="S181" s="2318">
        <f t="shared" si="260"/>
        <v>1425.7365856526851</v>
      </c>
      <c r="T181" s="2318">
        <f t="shared" si="260"/>
        <v>1431.0569644862032</v>
      </c>
      <c r="U181" s="2318">
        <f t="shared" si="260"/>
        <v>1396.4535496037654</v>
      </c>
      <c r="V181" s="2318">
        <f t="shared" si="260"/>
        <v>1385.2699073351691</v>
      </c>
      <c r="W181" s="2318">
        <f t="shared" si="260"/>
        <v>1371.2681036982804</v>
      </c>
      <c r="X181" s="2318">
        <f t="shared" si="260"/>
        <v>1359.8205877770206</v>
      </c>
      <c r="Y181" s="2318">
        <f t="shared" si="260"/>
        <v>1308.3881893888502</v>
      </c>
      <c r="Z181" s="2283">
        <f>(Y181-Q181)/Q181</f>
        <v>-9.628640645262504E-2</v>
      </c>
      <c r="AA181" s="2284">
        <f>(Y181/Q181)^(1/9)-1</f>
        <v>-1.1186163248735559E-2</v>
      </c>
    </row>
    <row r="182" spans="2:89" x14ac:dyDescent="0.2">
      <c r="B182" s="2281"/>
      <c r="C182" s="2282" t="s">
        <v>116</v>
      </c>
      <c r="D182" s="2287">
        <f>SUM(D179:D180)/D181</f>
        <v>0.4438612650249435</v>
      </c>
      <c r="E182" s="2287">
        <f t="shared" ref="E182:L182" si="261">SUM(E179:E180)/E181</f>
        <v>0.44806252289435067</v>
      </c>
      <c r="F182" s="2287">
        <f t="shared" si="261"/>
        <v>0.45216029327092178</v>
      </c>
      <c r="G182" s="2287">
        <f t="shared" si="261"/>
        <v>0.49688228098520376</v>
      </c>
      <c r="H182" s="2287">
        <f t="shared" si="261"/>
        <v>0.54619327577712873</v>
      </c>
      <c r="I182" s="2287">
        <f t="shared" si="261"/>
        <v>0.57080873369786667</v>
      </c>
      <c r="J182" s="2287">
        <f t="shared" si="261"/>
        <v>0.59505787487766904</v>
      </c>
      <c r="K182" s="2287">
        <f t="shared" si="261"/>
        <v>0.61894881597633922</v>
      </c>
      <c r="L182" s="2287">
        <f t="shared" si="261"/>
        <v>0.57361848762344747</v>
      </c>
      <c r="M182" s="2288">
        <f>L182-D182</f>
        <v>0.12975722259850397</v>
      </c>
      <c r="N182" s="2289">
        <f t="shared" si="249"/>
        <v>2.8904577310610247E-2</v>
      </c>
      <c r="O182" s="2290"/>
      <c r="P182" s="2290"/>
      <c r="Q182" s="2319"/>
      <c r="R182" s="2319"/>
      <c r="S182" s="2319"/>
      <c r="T182" s="2319"/>
      <c r="U182" s="2319"/>
      <c r="V182" s="2319"/>
      <c r="W182" s="2319"/>
      <c r="X182" s="2319"/>
      <c r="Y182" s="2319"/>
      <c r="Z182" s="2281"/>
      <c r="AA182" s="2291"/>
    </row>
    <row r="183" spans="2:89" x14ac:dyDescent="0.2">
      <c r="B183" s="2279" t="s">
        <v>1354</v>
      </c>
      <c r="C183" s="2273" t="s">
        <v>113</v>
      </c>
      <c r="D183" s="2129">
        <v>6.5343970228779789</v>
      </c>
      <c r="E183" s="1650">
        <f t="shared" ref="E183:E185" si="262">D183+(F183-D183)/($F$72-$D$72)</f>
        <v>6.8698853727863343</v>
      </c>
      <c r="F183" s="2129">
        <v>7.2053737226946897</v>
      </c>
      <c r="G183" s="2129">
        <v>7.0695849347713278</v>
      </c>
      <c r="H183" s="2129">
        <v>6.3882467958075013</v>
      </c>
      <c r="I183" s="1650">
        <f t="shared" ref="I183:I185" si="263">H183+($K183-$H183)/($K$72-$H$72)</f>
        <v>6.491837867783163</v>
      </c>
      <c r="J183" s="1650">
        <f t="shared" ref="J183:J185" si="264">I183+($K183-$H183)/($K$72-$H$72)</f>
        <v>6.5954289397588246</v>
      </c>
      <c r="K183" s="2129">
        <v>6.6990200117344854</v>
      </c>
      <c r="L183" s="1650">
        <f>F46</f>
        <v>7.2354009045860064</v>
      </c>
      <c r="M183" s="2275">
        <f t="shared" si="237"/>
        <v>0.10727904644509659</v>
      </c>
      <c r="N183" s="2276">
        <f t="shared" si="238"/>
        <v>1.1387201315579576E-2</v>
      </c>
      <c r="O183" s="1643"/>
      <c r="P183" s="930"/>
      <c r="Q183" s="2316">
        <f t="shared" ref="Q183:Y185" si="265">D183*1000000000/Q$122</f>
        <v>316.78013012783242</v>
      </c>
      <c r="R183" s="2316">
        <f t="shared" si="265"/>
        <v>326.8864588658551</v>
      </c>
      <c r="S183" s="2316">
        <f t="shared" si="265"/>
        <v>335.5140408111377</v>
      </c>
      <c r="T183" s="2316">
        <f t="shared" si="265"/>
        <v>323.31962070192685</v>
      </c>
      <c r="U183" s="2316">
        <f t="shared" si="265"/>
        <v>288.11616765852744</v>
      </c>
      <c r="V183" s="2316">
        <f t="shared" si="265"/>
        <v>288.26607302368569</v>
      </c>
      <c r="W183" s="2316">
        <f t="shared" si="265"/>
        <v>287.74866127081719</v>
      </c>
      <c r="X183" s="2316">
        <f t="shared" si="265"/>
        <v>287.68767062683668</v>
      </c>
      <c r="Y183" s="2317">
        <f t="shared" si="265"/>
        <v>306.40035963887016</v>
      </c>
      <c r="Z183" s="2283">
        <f t="shared" ref="Z183:Z185" si="266">(Y183-Q183)/Q183</f>
        <v>-3.2766482180475294E-2</v>
      </c>
      <c r="AA183" s="2276">
        <f>(Y183/Q183)^(1/9)-1</f>
        <v>-3.6948600101024409E-3</v>
      </c>
    </row>
    <row r="184" spans="2:89" x14ac:dyDescent="0.2">
      <c r="B184" s="1644"/>
      <c r="C184" s="2280" t="s">
        <v>114</v>
      </c>
      <c r="D184" s="2129">
        <v>8.4738291407719775</v>
      </c>
      <c r="E184" s="1650">
        <f t="shared" si="262"/>
        <v>8.4788350109837047</v>
      </c>
      <c r="F184" s="2129">
        <v>8.483840881195432</v>
      </c>
      <c r="G184" s="2129">
        <v>9.5157865897371483</v>
      </c>
      <c r="H184" s="2129">
        <v>10.100238285510924</v>
      </c>
      <c r="I184" s="1650">
        <f t="shared" si="263"/>
        <v>11.035501323026569</v>
      </c>
      <c r="J184" s="1650">
        <f t="shared" si="264"/>
        <v>11.970764360542214</v>
      </c>
      <c r="K184" s="2129">
        <v>12.906027398057859</v>
      </c>
      <c r="L184" s="1650">
        <f>F47</f>
        <v>11.9155218480212</v>
      </c>
      <c r="M184" s="2283">
        <f t="shared" si="237"/>
        <v>0.4061555466925168</v>
      </c>
      <c r="N184" s="2284">
        <f t="shared" si="238"/>
        <v>3.859960141605101E-2</v>
      </c>
      <c r="O184" s="2285"/>
      <c r="P184" s="930"/>
      <c r="Q184" s="2312">
        <f t="shared" si="265"/>
        <v>410.80159171480631</v>
      </c>
      <c r="R184" s="2312">
        <f t="shared" si="265"/>
        <v>403.44433737242491</v>
      </c>
      <c r="S184" s="2312">
        <f t="shared" si="265"/>
        <v>395.04512121046218</v>
      </c>
      <c r="T184" s="2312">
        <f t="shared" si="265"/>
        <v>435.1939384364739</v>
      </c>
      <c r="U184" s="2312">
        <f t="shared" si="265"/>
        <v>455.53060804869875</v>
      </c>
      <c r="V184" s="2312">
        <f t="shared" si="265"/>
        <v>490.02465788980987</v>
      </c>
      <c r="W184" s="2312">
        <f t="shared" si="265"/>
        <v>522.26647434099868</v>
      </c>
      <c r="X184" s="2312">
        <f t="shared" si="265"/>
        <v>554.24598712790942</v>
      </c>
      <c r="Y184" s="2313">
        <f t="shared" si="265"/>
        <v>504.59127664984698</v>
      </c>
      <c r="Z184" s="2283">
        <f t="shared" si="266"/>
        <v>0.22830896186048116</v>
      </c>
      <c r="AA184" s="2284">
        <f>(Y184/Q184)^(1/9)-1</f>
        <v>2.3111741908821593E-2</v>
      </c>
    </row>
    <row r="185" spans="2:89" x14ac:dyDescent="0.2">
      <c r="B185" s="1644"/>
      <c r="C185" s="2280" t="s">
        <v>38</v>
      </c>
      <c r="D185" s="2129">
        <v>0.59876642708826955</v>
      </c>
      <c r="E185" s="1650">
        <f t="shared" si="262"/>
        <v>0.65806679272779567</v>
      </c>
      <c r="F185" s="2129">
        <v>0.7173671583673219</v>
      </c>
      <c r="G185" s="2129">
        <v>0.77462305247122831</v>
      </c>
      <c r="H185" s="2129">
        <v>0.87314145721102543</v>
      </c>
      <c r="I185" s="1650">
        <f t="shared" si="263"/>
        <v>0.96259359947733436</v>
      </c>
      <c r="J185" s="1650">
        <f t="shared" si="264"/>
        <v>1.0520457417436433</v>
      </c>
      <c r="K185" s="2129">
        <v>1.1414978840099523</v>
      </c>
      <c r="L185" s="1650">
        <f t="shared" ref="L185" si="267">F48</f>
        <v>0.89206217119992681</v>
      </c>
      <c r="M185" s="2283">
        <f t="shared" si="237"/>
        <v>0.48983331536793046</v>
      </c>
      <c r="N185" s="2284">
        <f t="shared" si="238"/>
        <v>4.5291743882736046E-2</v>
      </c>
      <c r="O185" s="930"/>
      <c r="P185" s="930"/>
      <c r="Q185" s="2312">
        <f t="shared" si="265"/>
        <v>29.027514860989996</v>
      </c>
      <c r="R185" s="2312">
        <f t="shared" si="265"/>
        <v>31.312476395039585</v>
      </c>
      <c r="S185" s="2312">
        <f t="shared" si="265"/>
        <v>33.403784912770725</v>
      </c>
      <c r="T185" s="2312">
        <f t="shared" si="265"/>
        <v>35.426525577214441</v>
      </c>
      <c r="U185" s="2312">
        <f t="shared" si="265"/>
        <v>39.379532212268536</v>
      </c>
      <c r="V185" s="2312">
        <f t="shared" si="265"/>
        <v>42.743377528900126</v>
      </c>
      <c r="W185" s="2312">
        <f t="shared" si="265"/>
        <v>45.899176012268128</v>
      </c>
      <c r="X185" s="2312">
        <f t="shared" si="265"/>
        <v>49.021329493126771</v>
      </c>
      <c r="Y185" s="2313">
        <f t="shared" si="265"/>
        <v>37.776506606931164</v>
      </c>
      <c r="Z185" s="2283">
        <f t="shared" si="266"/>
        <v>0.30140340252478576</v>
      </c>
      <c r="AA185" s="2284">
        <f>(Y185/Q185)^(1/9)-1</f>
        <v>2.9704089457248228E-2</v>
      </c>
    </row>
    <row r="186" spans="2:89" x14ac:dyDescent="0.2">
      <c r="B186" s="1644"/>
      <c r="C186" s="2280" t="s">
        <v>117</v>
      </c>
      <c r="D186" s="2286">
        <f>SUM(D183:D185)</f>
        <v>15.606992590738226</v>
      </c>
      <c r="E186" s="2286">
        <f t="shared" ref="E186" si="268">SUM(E183:E185)</f>
        <v>16.006787176497834</v>
      </c>
      <c r="F186" s="2286">
        <f t="shared" ref="F186" si="269">SUM(F183:F185)</f>
        <v>16.406581762257442</v>
      </c>
      <c r="G186" s="2286">
        <f t="shared" ref="G186" si="270">SUM(G183:G185)</f>
        <v>17.359994576979702</v>
      </c>
      <c r="H186" s="2286">
        <f t="shared" ref="H186" si="271">SUM(H183:H185)</f>
        <v>17.361626538529453</v>
      </c>
      <c r="I186" s="2286">
        <f t="shared" ref="I186" si="272">SUM(I183:I185)</f>
        <v>18.489932790287067</v>
      </c>
      <c r="J186" s="2286">
        <f t="shared" ref="J186" si="273">SUM(J183:J185)</f>
        <v>19.618239042044681</v>
      </c>
      <c r="K186" s="2286">
        <f t="shared" ref="K186" si="274">SUM(K183:K185)</f>
        <v>20.746545293802296</v>
      </c>
      <c r="L186" s="2286">
        <f>SUM(L183:L185)</f>
        <v>20.042984923807136</v>
      </c>
      <c r="M186" s="2283">
        <f t="shared" si="237"/>
        <v>0.28423107829892824</v>
      </c>
      <c r="N186" s="2284">
        <f t="shared" si="238"/>
        <v>2.8185474017998535E-2</v>
      </c>
      <c r="O186" s="930"/>
      <c r="P186" s="930"/>
      <c r="Q186" s="2318">
        <f>SUM(Q183:Q185)</f>
        <v>756.60923670362865</v>
      </c>
      <c r="R186" s="2318">
        <f t="shared" ref="R186" si="275">SUM(R183:R185)</f>
        <v>761.64327263331961</v>
      </c>
      <c r="S186" s="2318">
        <f t="shared" ref="S186" si="276">SUM(S183:S185)</f>
        <v>763.96294693437051</v>
      </c>
      <c r="T186" s="2318">
        <f t="shared" ref="T186" si="277">SUM(T183:T185)</f>
        <v>793.94008471561517</v>
      </c>
      <c r="U186" s="2318">
        <f t="shared" ref="U186" si="278">SUM(U183:U185)</f>
        <v>783.02630791949468</v>
      </c>
      <c r="V186" s="2318">
        <f t="shared" ref="V186" si="279">SUM(V183:V185)</f>
        <v>821.03410844239568</v>
      </c>
      <c r="W186" s="2318">
        <f t="shared" ref="W186" si="280">SUM(W183:W185)</f>
        <v>855.91431162408389</v>
      </c>
      <c r="X186" s="2318">
        <f t="shared" ref="X186" si="281">SUM(X183:X185)</f>
        <v>890.95498724787285</v>
      </c>
      <c r="Y186" s="2318">
        <f t="shared" ref="Y186" si="282">SUM(Y183:Y185)</f>
        <v>848.76814289564834</v>
      </c>
      <c r="Z186" s="2283">
        <f>(Y186-Q186)/Q186</f>
        <v>0.12180515611140925</v>
      </c>
      <c r="AA186" s="2284">
        <f>(Y186/Q186)^(1/9)-1</f>
        <v>1.2852912608141365E-2</v>
      </c>
    </row>
    <row r="187" spans="2:89" x14ac:dyDescent="0.2">
      <c r="B187" s="2281"/>
      <c r="C187" s="2282" t="s">
        <v>116</v>
      </c>
      <c r="D187" s="2287">
        <f>SUM(D184:D185)/D186</f>
        <v>0.58131606810938485</v>
      </c>
      <c r="E187" s="2287">
        <f t="shared" ref="E187:L187" si="283">SUM(E184:E185)/E186</f>
        <v>0.57081422417653382</v>
      </c>
      <c r="F187" s="2287">
        <f t="shared" si="283"/>
        <v>0.56082419683115792</v>
      </c>
      <c r="G187" s="2287">
        <f t="shared" si="283"/>
        <v>0.59276571755696406</v>
      </c>
      <c r="H187" s="2287">
        <f t="shared" si="283"/>
        <v>0.6320479085510502</v>
      </c>
      <c r="I187" s="2287">
        <f t="shared" si="283"/>
        <v>0.64889878500838105</v>
      </c>
      <c r="J187" s="2287">
        <f t="shared" si="283"/>
        <v>0.66381136830763043</v>
      </c>
      <c r="K187" s="2287">
        <f t="shared" si="283"/>
        <v>0.67710190217859012</v>
      </c>
      <c r="L187" s="2287">
        <f t="shared" si="283"/>
        <v>0.63900582013651208</v>
      </c>
      <c r="M187" s="2288">
        <f>L187-D187</f>
        <v>5.7689752027127228E-2</v>
      </c>
      <c r="N187" s="2289">
        <f t="shared" si="238"/>
        <v>1.0568674315805104E-2</v>
      </c>
      <c r="O187" s="2290"/>
      <c r="P187" s="2290"/>
      <c r="Q187" s="2319"/>
      <c r="R187" s="2319"/>
      <c r="S187" s="2319"/>
      <c r="T187" s="2319"/>
      <c r="U187" s="2319"/>
      <c r="V187" s="2319"/>
      <c r="W187" s="2319"/>
      <c r="X187" s="2319"/>
      <c r="Y187" s="2319"/>
      <c r="Z187" s="2281"/>
      <c r="AA187" s="2291"/>
      <c r="AC187" s="2075" t="s">
        <v>1339</v>
      </c>
      <c r="AM187" s="2075" t="s">
        <v>1340</v>
      </c>
      <c r="AX187" s="2075" t="s">
        <v>1341</v>
      </c>
      <c r="BH187" s="2075" t="s">
        <v>1342</v>
      </c>
      <c r="BR187" s="2075" t="s">
        <v>1343</v>
      </c>
      <c r="CA187" s="2075" t="s">
        <v>1344</v>
      </c>
      <c r="CK187" s="2075" t="s">
        <v>1345</v>
      </c>
    </row>
    <row r="188" spans="2:89" x14ac:dyDescent="0.2">
      <c r="B188" s="2279" t="s">
        <v>18</v>
      </c>
      <c r="C188" s="2273" t="s">
        <v>113</v>
      </c>
      <c r="D188" s="2129">
        <v>5.4587414087159711</v>
      </c>
      <c r="E188" s="1650">
        <f t="shared" ref="E188:E190" si="284">D188+(F188-D188)/($F$72-$D$72)</f>
        <v>6.1669629742760907</v>
      </c>
      <c r="F188" s="2129">
        <v>6.8751845398362104</v>
      </c>
      <c r="G188" s="2129">
        <v>6.9642811242748222</v>
      </c>
      <c r="H188" s="2129">
        <v>5.7278264720679362</v>
      </c>
      <c r="I188" s="1650">
        <f t="shared" ref="I188:I190" si="285">H188+($K188-$H188)/($K$72-$H$72)</f>
        <v>6.2430109029530145</v>
      </c>
      <c r="J188" s="1650">
        <f t="shared" ref="J188:J190" si="286">I188+($K188-$H188)/($K$72-$H$72)</f>
        <v>6.7581953338380929</v>
      </c>
      <c r="K188" s="2129">
        <v>7.2733797647231722</v>
      </c>
      <c r="L188" s="1650">
        <f>G46</f>
        <v>7.1298242820995412</v>
      </c>
      <c r="M188" s="2275">
        <f t="shared" si="237"/>
        <v>0.30612970065139056</v>
      </c>
      <c r="N188" s="2276">
        <f t="shared" si="238"/>
        <v>3.0118928047053073E-2</v>
      </c>
      <c r="O188" s="1643"/>
      <c r="P188" s="930"/>
      <c r="Q188" s="2316">
        <f t="shared" ref="Q188:Y190" si="287">D188*1000000000/Q$122</f>
        <v>264.63357027939247</v>
      </c>
      <c r="R188" s="2316">
        <f t="shared" si="287"/>
        <v>293.43963970687503</v>
      </c>
      <c r="S188" s="2316">
        <f t="shared" si="287"/>
        <v>320.13897336334611</v>
      </c>
      <c r="T188" s="2316">
        <f t="shared" si="287"/>
        <v>318.50366780195662</v>
      </c>
      <c r="U188" s="2316">
        <f t="shared" si="287"/>
        <v>258.33056625619525</v>
      </c>
      <c r="V188" s="2316">
        <f t="shared" si="287"/>
        <v>277.21706448791281</v>
      </c>
      <c r="W188" s="2316">
        <f t="shared" si="287"/>
        <v>294.8499146425047</v>
      </c>
      <c r="X188" s="2316">
        <f t="shared" si="287"/>
        <v>312.35340071118947</v>
      </c>
      <c r="Y188" s="2317">
        <f t="shared" si="287"/>
        <v>301.92946500208421</v>
      </c>
      <c r="Z188" s="2283">
        <f t="shared" ref="Z188:Z190" si="288">(Y188-Q188)/Q188</f>
        <v>0.14093410251509592</v>
      </c>
      <c r="AA188" s="2276">
        <f>(Y188/Q188)^(1/9)-1</f>
        <v>1.4757534482509049E-2</v>
      </c>
    </row>
    <row r="189" spans="2:89" x14ac:dyDescent="0.2">
      <c r="B189" s="1644"/>
      <c r="C189" s="2280" t="s">
        <v>114</v>
      </c>
      <c r="D189" s="2129">
        <v>9.390559951570344</v>
      </c>
      <c r="E189" s="1650">
        <f t="shared" si="284"/>
        <v>9.8583861538107129</v>
      </c>
      <c r="F189" s="2129">
        <v>10.326212356051082</v>
      </c>
      <c r="G189" s="2129">
        <v>10.592445207267728</v>
      </c>
      <c r="H189" s="2129">
        <v>11.27975977964115</v>
      </c>
      <c r="I189" s="1650">
        <f t="shared" si="285"/>
        <v>11.239759350459119</v>
      </c>
      <c r="J189" s="1650">
        <f t="shared" si="286"/>
        <v>11.199758921277088</v>
      </c>
      <c r="K189" s="2129">
        <v>11.159758492095058</v>
      </c>
      <c r="L189" s="1650">
        <f>G47</f>
        <v>12.334640281360533</v>
      </c>
      <c r="M189" s="2283">
        <f t="shared" si="237"/>
        <v>0.31351488569090741</v>
      </c>
      <c r="N189" s="2284">
        <f t="shared" si="238"/>
        <v>3.0764479789051169E-2</v>
      </c>
      <c r="O189" s="2285"/>
      <c r="P189" s="930"/>
      <c r="Q189" s="2312">
        <f t="shared" si="287"/>
        <v>455.24365798659159</v>
      </c>
      <c r="R189" s="2312">
        <f t="shared" si="287"/>
        <v>469.08685736110448</v>
      </c>
      <c r="S189" s="2312">
        <f t="shared" si="287"/>
        <v>480.83407845178345</v>
      </c>
      <c r="T189" s="2312">
        <f t="shared" si="287"/>
        <v>484.43372536276365</v>
      </c>
      <c r="U189" s="2312">
        <f t="shared" si="287"/>
        <v>508.72817906030895</v>
      </c>
      <c r="V189" s="2312">
        <f t="shared" si="287"/>
        <v>499.09461013611451</v>
      </c>
      <c r="W189" s="2312">
        <f t="shared" si="287"/>
        <v>488.62866472960883</v>
      </c>
      <c r="X189" s="2312">
        <f t="shared" si="287"/>
        <v>479.25292352091805</v>
      </c>
      <c r="Y189" s="2313">
        <f t="shared" si="287"/>
        <v>522.33984931360305</v>
      </c>
      <c r="Z189" s="2283">
        <f t="shared" si="288"/>
        <v>0.14738523019465694</v>
      </c>
      <c r="AA189" s="2284">
        <f>(Y189/Q189)^(1/9)-1</f>
        <v>1.5393459593925796E-2</v>
      </c>
    </row>
    <row r="190" spans="2:89" x14ac:dyDescent="0.2">
      <c r="B190" s="1644"/>
      <c r="C190" s="2280" t="s">
        <v>38</v>
      </c>
      <c r="D190" s="2129">
        <v>7.5251258128995066E-2</v>
      </c>
      <c r="E190" s="1650">
        <f t="shared" si="284"/>
        <v>8.5052794310696039E-2</v>
      </c>
      <c r="F190" s="2129">
        <v>9.4854330492396999E-2</v>
      </c>
      <c r="G190" s="2129">
        <v>0.11009390933860967</v>
      </c>
      <c r="H190" s="2129">
        <v>0.10411448192267421</v>
      </c>
      <c r="I190" s="1650">
        <f t="shared" si="285"/>
        <v>0.12623938043594224</v>
      </c>
      <c r="J190" s="1650">
        <f t="shared" si="286"/>
        <v>0.14836427894921028</v>
      </c>
      <c r="K190" s="2129">
        <v>0.17048917746247833</v>
      </c>
      <c r="L190" s="1650">
        <f>G48</f>
        <v>0.16600556266404012</v>
      </c>
      <c r="M190" s="2283">
        <f t="shared" si="237"/>
        <v>1.2060171057801425</v>
      </c>
      <c r="N190" s="2284">
        <f t="shared" si="238"/>
        <v>9.1889686770169288E-2</v>
      </c>
      <c r="O190" s="930"/>
      <c r="P190" s="930"/>
      <c r="Q190" s="2312">
        <f t="shared" si="287"/>
        <v>3.6480953420683062</v>
      </c>
      <c r="R190" s="2312">
        <f t="shared" si="287"/>
        <v>4.0470262952281271</v>
      </c>
      <c r="S190" s="2312">
        <f t="shared" si="287"/>
        <v>4.4168367855369519</v>
      </c>
      <c r="T190" s="2312">
        <f t="shared" si="287"/>
        <v>5.0350227541474428</v>
      </c>
      <c r="U190" s="2312">
        <f t="shared" si="287"/>
        <v>4.6956647869334809</v>
      </c>
      <c r="V190" s="2312">
        <f t="shared" si="287"/>
        <v>5.6055821479778922</v>
      </c>
      <c r="W190" s="2312">
        <f t="shared" si="287"/>
        <v>6.4729107140689557</v>
      </c>
      <c r="X190" s="2312">
        <f t="shared" si="287"/>
        <v>7.3216133472284621</v>
      </c>
      <c r="Y190" s="2313">
        <f t="shared" si="287"/>
        <v>7.029902665113652</v>
      </c>
      <c r="Z190" s="2283">
        <f t="shared" si="288"/>
        <v>0.9270062884727166</v>
      </c>
      <c r="AA190" s="2284">
        <f>(Y190/Q190)^(1/9)-1</f>
        <v>7.560715205416102E-2</v>
      </c>
    </row>
    <row r="191" spans="2:89" x14ac:dyDescent="0.2">
      <c r="B191" s="1644"/>
      <c r="C191" s="2280" t="s">
        <v>117</v>
      </c>
      <c r="D191" s="2286">
        <f>SUM(D188:D190)</f>
        <v>14.92455261841531</v>
      </c>
      <c r="E191" s="2286">
        <f t="shared" ref="E191" si="289">SUM(E188:E190)</f>
        <v>16.110401922397497</v>
      </c>
      <c r="F191" s="2286">
        <f t="shared" ref="F191" si="290">SUM(F188:F190)</f>
        <v>17.296251226379688</v>
      </c>
      <c r="G191" s="2286">
        <f t="shared" ref="G191" si="291">SUM(G188:G190)</f>
        <v>17.666820240881158</v>
      </c>
      <c r="H191" s="2286">
        <f t="shared" ref="H191" si="292">SUM(H188:H190)</f>
        <v>17.111700733631761</v>
      </c>
      <c r="I191" s="2286">
        <f t="shared" ref="I191" si="293">SUM(I188:I190)</f>
        <v>17.609009633848075</v>
      </c>
      <c r="J191" s="2286">
        <f t="shared" ref="J191" si="294">SUM(J188:J190)</f>
        <v>18.106318534064389</v>
      </c>
      <c r="K191" s="2286">
        <f t="shared" ref="K191" si="295">SUM(K188:K190)</f>
        <v>18.60362743428071</v>
      </c>
      <c r="L191" s="2286">
        <f>SUM(L188:L190)</f>
        <v>19.630470126124116</v>
      </c>
      <c r="M191" s="2283">
        <f t="shared" si="237"/>
        <v>0.31531380725625263</v>
      </c>
      <c r="N191" s="2284">
        <f t="shared" si="238"/>
        <v>3.0921237878487107E-2</v>
      </c>
      <c r="O191" s="930"/>
      <c r="P191" s="930"/>
      <c r="Q191" s="2318">
        <f>SUM(Q188:Q190)</f>
        <v>723.52532360805242</v>
      </c>
      <c r="R191" s="2318">
        <f t="shared" ref="R191" si="296">SUM(R188:R190)</f>
        <v>766.57352336320764</v>
      </c>
      <c r="S191" s="2318">
        <f t="shared" ref="S191" si="297">SUM(S188:S190)</f>
        <v>805.3898886006665</v>
      </c>
      <c r="T191" s="2318">
        <f t="shared" ref="T191" si="298">SUM(T188:T190)</f>
        <v>807.9724159188678</v>
      </c>
      <c r="U191" s="2318">
        <f t="shared" ref="U191" si="299">SUM(U188:U190)</f>
        <v>771.75441010343764</v>
      </c>
      <c r="V191" s="2318">
        <f t="shared" ref="V191" si="300">SUM(V188:V190)</f>
        <v>781.9172567720052</v>
      </c>
      <c r="W191" s="2318">
        <f t="shared" ref="W191" si="301">SUM(W188:W190)</f>
        <v>789.95149008618239</v>
      </c>
      <c r="X191" s="2318">
        <f t="shared" ref="X191" si="302">SUM(X188:X190)</f>
        <v>798.92793757933589</v>
      </c>
      <c r="Y191" s="2318">
        <f t="shared" ref="Y191" si="303">SUM(Y188:Y190)</f>
        <v>831.29921698080102</v>
      </c>
      <c r="Z191" s="2283">
        <f>(Y191-Q191)/Q191</f>
        <v>0.14895662923766825</v>
      </c>
      <c r="AA191" s="2284">
        <f>(Y191/Q191)^(1/9)-1</f>
        <v>1.55478800671498E-2</v>
      </c>
    </row>
    <row r="192" spans="2:89" x14ac:dyDescent="0.2">
      <c r="B192" s="2281"/>
      <c r="C192" s="2282" t="s">
        <v>116</v>
      </c>
      <c r="D192" s="2287">
        <f>SUM(D189:D190)/D191</f>
        <v>0.63424421835060807</v>
      </c>
      <c r="E192" s="2287">
        <f t="shared" ref="E192:L192" si="304">SUM(E189:E190)/E191</f>
        <v>0.61720613774989297</v>
      </c>
      <c r="F192" s="2287">
        <f t="shared" si="304"/>
        <v>0.60250435485405085</v>
      </c>
      <c r="G192" s="2287">
        <f t="shared" si="304"/>
        <v>0.60579883480336649</v>
      </c>
      <c r="H192" s="2287">
        <f t="shared" si="304"/>
        <v>0.66526842882365722</v>
      </c>
      <c r="I192" s="2287">
        <f t="shared" si="304"/>
        <v>0.64546496181405422</v>
      </c>
      <c r="J192" s="2287">
        <f t="shared" si="304"/>
        <v>0.62674934050654552</v>
      </c>
      <c r="K192" s="2287">
        <f t="shared" si="304"/>
        <v>0.60903432460055651</v>
      </c>
      <c r="L192" s="2287">
        <f t="shared" si="304"/>
        <v>0.63679808805947979</v>
      </c>
      <c r="M192" s="2288">
        <f>L192-D192</f>
        <v>2.5538697088717255E-3</v>
      </c>
      <c r="N192" s="2289">
        <f t="shared" si="238"/>
        <v>4.4660518674066729E-4</v>
      </c>
      <c r="O192" s="2290"/>
      <c r="P192" s="2290"/>
      <c r="Q192" s="2290"/>
      <c r="R192" s="2290"/>
      <c r="S192" s="2290"/>
      <c r="T192" s="2290"/>
      <c r="U192" s="2290"/>
      <c r="V192" s="2290"/>
      <c r="W192" s="2290"/>
      <c r="X192" s="2290"/>
      <c r="Y192" s="2290"/>
      <c r="Z192" s="2281"/>
      <c r="AA192" s="2291"/>
    </row>
    <row r="193" spans="2:27" ht="15.75" x14ac:dyDescent="0.25">
      <c r="B193" s="2432" t="s">
        <v>1078</v>
      </c>
      <c r="C193" s="1632"/>
      <c r="D193" s="2292" t="s">
        <v>1080</v>
      </c>
      <c r="E193" s="2292"/>
      <c r="F193" s="2292"/>
      <c r="G193" s="2292"/>
      <c r="H193" s="2292"/>
      <c r="I193" s="2292"/>
      <c r="J193" s="2292"/>
      <c r="K193" s="2292"/>
      <c r="L193" s="2292"/>
      <c r="M193" s="2803" t="s">
        <v>1102</v>
      </c>
      <c r="N193" s="2805" t="s">
        <v>1103</v>
      </c>
      <c r="O193" s="1632"/>
      <c r="P193" s="1632"/>
      <c r="Q193" s="2293" t="s">
        <v>1301</v>
      </c>
      <c r="R193" s="2293"/>
      <c r="S193" s="2293"/>
      <c r="T193" s="2293"/>
      <c r="U193" s="2293"/>
      <c r="V193" s="2293"/>
      <c r="W193" s="2293"/>
      <c r="X193" s="2293"/>
      <c r="Y193" s="2294"/>
      <c r="Z193" s="2803" t="s">
        <v>1102</v>
      </c>
      <c r="AA193" s="2805" t="s">
        <v>1103</v>
      </c>
    </row>
    <row r="194" spans="2:27" ht="15.75" x14ac:dyDescent="0.25">
      <c r="B194" s="2436" t="s">
        <v>1366</v>
      </c>
      <c r="D194" s="1287" t="s">
        <v>1067</v>
      </c>
      <c r="E194" s="1287" t="s">
        <v>1068</v>
      </c>
      <c r="F194" s="1287" t="s">
        <v>1069</v>
      </c>
      <c r="G194" s="1287" t="s">
        <v>1070</v>
      </c>
      <c r="H194" s="1287" t="s">
        <v>1071</v>
      </c>
      <c r="I194" s="1287" t="s">
        <v>1072</v>
      </c>
      <c r="J194" s="1287" t="s">
        <v>1073</v>
      </c>
      <c r="K194" s="1287" t="s">
        <v>876</v>
      </c>
      <c r="L194" s="1287" t="s">
        <v>958</v>
      </c>
      <c r="M194" s="2804"/>
      <c r="N194" s="2806"/>
      <c r="O194" s="2295" t="s">
        <v>1150</v>
      </c>
      <c r="Q194" s="1287" t="s">
        <v>1067</v>
      </c>
      <c r="R194" s="1287" t="s">
        <v>1068</v>
      </c>
      <c r="S194" s="1287" t="s">
        <v>1069</v>
      </c>
      <c r="T194" s="1287" t="s">
        <v>1070</v>
      </c>
      <c r="U194" s="1287" t="s">
        <v>1071</v>
      </c>
      <c r="V194" s="1287" t="s">
        <v>1072</v>
      </c>
      <c r="W194" s="1287" t="s">
        <v>1073</v>
      </c>
      <c r="X194" s="1287" t="s">
        <v>876</v>
      </c>
      <c r="Y194" s="2296" t="s">
        <v>958</v>
      </c>
      <c r="Z194" s="2804"/>
      <c r="AA194" s="2806"/>
    </row>
    <row r="195" spans="2:27" x14ac:dyDescent="0.2">
      <c r="B195" s="2271" t="s">
        <v>1346</v>
      </c>
      <c r="C195" s="1631"/>
      <c r="D195" s="257"/>
      <c r="E195" s="257"/>
      <c r="F195" s="257"/>
      <c r="G195" s="257"/>
      <c r="H195" s="257"/>
      <c r="I195" s="257"/>
      <c r="J195" s="257"/>
      <c r="K195" s="257"/>
      <c r="L195" s="257"/>
      <c r="M195" s="259"/>
      <c r="N195" s="2044"/>
      <c r="O195" s="1632"/>
      <c r="P195" s="1632"/>
      <c r="Q195" s="2310"/>
      <c r="R195" s="2310"/>
      <c r="S195" s="2310"/>
      <c r="T195" s="2310"/>
      <c r="U195" s="2310"/>
      <c r="V195" s="2310"/>
      <c r="W195" s="2310"/>
      <c r="X195" s="2310"/>
      <c r="Y195" s="2311"/>
      <c r="Z195" s="1642"/>
      <c r="AA195" s="2272"/>
    </row>
    <row r="196" spans="2:27" x14ac:dyDescent="0.2">
      <c r="B196" s="2297" t="s">
        <v>25</v>
      </c>
      <c r="C196" s="1629" t="s">
        <v>113</v>
      </c>
      <c r="D196" s="2546">
        <v>5.6202674868685678</v>
      </c>
      <c r="E196" s="1649">
        <f t="shared" ref="E196:E197" si="305">D196+(F196-D196)/($F$72-$D$72)</f>
        <v>5.9119090543073085</v>
      </c>
      <c r="F196" s="2546">
        <v>6.2035506217460492</v>
      </c>
      <c r="G196" s="2546">
        <v>6.2043637734519343</v>
      </c>
      <c r="H196" s="2546">
        <v>5.0651125668095514</v>
      </c>
      <c r="I196" s="1649">
        <f t="shared" ref="I196:I197" si="306">H196+($K196-$H196)/($K$72-$H$72)</f>
        <v>5.2051599407534486</v>
      </c>
      <c r="J196" s="1649">
        <f t="shared" ref="J196:J197" si="307">I196+($K196-$H196)/($K$72-$H$72)</f>
        <v>5.3452073146973458</v>
      </c>
      <c r="K196" s="2546">
        <v>5.4852546886412421</v>
      </c>
      <c r="L196" s="1649">
        <f>D57</f>
        <v>5.193820583808944</v>
      </c>
      <c r="M196" s="1674">
        <f t="shared" ref="M196:M202" si="308">(L196-D196)/D196</f>
        <v>-7.5876620473312451E-2</v>
      </c>
      <c r="N196" s="2045">
        <f t="shared" ref="N196:N203" si="309">(L196/D196)^(1/9)-1</f>
        <v>-8.7294186091234627E-3</v>
      </c>
      <c r="Q196" s="2312">
        <f t="shared" ref="Q196:Y197" si="310">D196*1000000000/Q$122</f>
        <v>272.46417069700857</v>
      </c>
      <c r="R196" s="2312">
        <f t="shared" si="310"/>
        <v>281.30353143224232</v>
      </c>
      <c r="S196" s="2312">
        <f t="shared" si="310"/>
        <v>288.86473021139312</v>
      </c>
      <c r="T196" s="2312">
        <f t="shared" si="310"/>
        <v>283.74969116827521</v>
      </c>
      <c r="U196" s="2312">
        <f t="shared" si="310"/>
        <v>228.44152208802507</v>
      </c>
      <c r="V196" s="2312">
        <f t="shared" si="310"/>
        <v>231.13192999282018</v>
      </c>
      <c r="W196" s="2312">
        <f t="shared" si="310"/>
        <v>233.20336904052581</v>
      </c>
      <c r="X196" s="2312">
        <f t="shared" si="310"/>
        <v>235.56283477373177</v>
      </c>
      <c r="Y196" s="2313">
        <f t="shared" si="310"/>
        <v>219.94475714126068</v>
      </c>
      <c r="Z196" s="1674">
        <f t="shared" ref="Z196:Z198" si="311">(Y196-Q196)/Q196</f>
        <v>-0.19275713728302152</v>
      </c>
      <c r="AA196" s="2045">
        <f>(Y196/Q196)^(1/9)-1</f>
        <v>-2.3511495818954287E-2</v>
      </c>
    </row>
    <row r="197" spans="2:27" x14ac:dyDescent="0.2">
      <c r="B197" s="1639"/>
      <c r="C197" s="1629" t="s">
        <v>114</v>
      </c>
      <c r="D197" s="2546">
        <v>8.9353229506452667</v>
      </c>
      <c r="E197" s="1649">
        <f t="shared" si="305"/>
        <v>9.3112116369931996</v>
      </c>
      <c r="F197" s="2546">
        <v>9.6871003233411344</v>
      </c>
      <c r="G197" s="2546">
        <v>10.249584000173458</v>
      </c>
      <c r="H197" s="2546">
        <v>10.626473572124297</v>
      </c>
      <c r="I197" s="1649">
        <f t="shared" si="306"/>
        <v>10.690732187988914</v>
      </c>
      <c r="J197" s="1649">
        <f t="shared" si="307"/>
        <v>10.754990803853531</v>
      </c>
      <c r="K197" s="2546">
        <v>10.819249419718146</v>
      </c>
      <c r="L197" s="1649">
        <f>D58</f>
        <v>11.95718375031889</v>
      </c>
      <c r="M197" s="1674">
        <f t="shared" si="308"/>
        <v>0.33819267824621818</v>
      </c>
      <c r="N197" s="2045">
        <f t="shared" si="309"/>
        <v>3.2898454752070538E-2</v>
      </c>
      <c r="O197" s="77"/>
      <c r="Q197" s="2312">
        <f t="shared" si="310"/>
        <v>433.1742863388103</v>
      </c>
      <c r="R197" s="2312">
        <f t="shared" si="310"/>
        <v>443.05091491399389</v>
      </c>
      <c r="S197" s="2312">
        <f t="shared" si="310"/>
        <v>451.07419799615309</v>
      </c>
      <c r="T197" s="2312">
        <f t="shared" si="310"/>
        <v>468.75334858620118</v>
      </c>
      <c r="U197" s="2312">
        <f t="shared" si="310"/>
        <v>479.26433326501871</v>
      </c>
      <c r="V197" s="2312">
        <f t="shared" si="310"/>
        <v>474.71539621673367</v>
      </c>
      <c r="W197" s="2312">
        <f t="shared" si="310"/>
        <v>469.22409960829162</v>
      </c>
      <c r="X197" s="2312">
        <f t="shared" si="310"/>
        <v>464.62985004333103</v>
      </c>
      <c r="Y197" s="2313">
        <f t="shared" si="310"/>
        <v>506.35554956514056</v>
      </c>
      <c r="Z197" s="1674">
        <f t="shared" si="311"/>
        <v>0.16894184519782648</v>
      </c>
      <c r="AA197" s="2045">
        <f>(Y197/Q197)^(1/9)-1</f>
        <v>1.7495612183458631E-2</v>
      </c>
    </row>
    <row r="198" spans="2:27" x14ac:dyDescent="0.2">
      <c r="B198" s="1639"/>
      <c r="C198" s="1629" t="s">
        <v>117</v>
      </c>
      <c r="D198" s="1656">
        <f t="shared" ref="D198:L198" si="312">SUM(D196:D197)</f>
        <v>14.555590437513835</v>
      </c>
      <c r="E198" s="1656">
        <f t="shared" si="312"/>
        <v>15.223120691300508</v>
      </c>
      <c r="F198" s="1656">
        <f t="shared" si="312"/>
        <v>15.890650945087184</v>
      </c>
      <c r="G198" s="1656">
        <f t="shared" si="312"/>
        <v>16.453947773625394</v>
      </c>
      <c r="H198" s="1656">
        <f t="shared" si="312"/>
        <v>15.691586138933848</v>
      </c>
      <c r="I198" s="1656">
        <f t="shared" si="312"/>
        <v>15.895892128742362</v>
      </c>
      <c r="J198" s="1656">
        <f t="shared" si="312"/>
        <v>16.100198118550878</v>
      </c>
      <c r="K198" s="1656">
        <f t="shared" si="312"/>
        <v>16.304504108359389</v>
      </c>
      <c r="L198" s="1656">
        <f t="shared" si="312"/>
        <v>17.151004334127833</v>
      </c>
      <c r="M198" s="1674">
        <f t="shared" si="308"/>
        <v>0.17831045107760721</v>
      </c>
      <c r="N198" s="2045">
        <f t="shared" si="309"/>
        <v>1.8398492426479285E-2</v>
      </c>
      <c r="Q198" s="2314">
        <f>SUM(Q195:Q197)</f>
        <v>705.63845703581887</v>
      </c>
      <c r="R198" s="2314">
        <f t="shared" ref="R198" si="313">SUM(R195:R197)</f>
        <v>724.35444634623627</v>
      </c>
      <c r="S198" s="2314">
        <f t="shared" ref="S198" si="314">SUM(S195:S197)</f>
        <v>739.93892820754627</v>
      </c>
      <c r="T198" s="2314">
        <f t="shared" ref="T198" si="315">SUM(T195:T197)</f>
        <v>752.50303975447639</v>
      </c>
      <c r="U198" s="2314">
        <f t="shared" ref="U198" si="316">SUM(U195:U197)</f>
        <v>707.70585535304372</v>
      </c>
      <c r="V198" s="2314">
        <f t="shared" ref="V198" si="317">SUM(V195:V197)</f>
        <v>705.84732620955378</v>
      </c>
      <c r="W198" s="2314">
        <f t="shared" ref="W198" si="318">SUM(W195:W197)</f>
        <v>702.42746864881747</v>
      </c>
      <c r="X198" s="2314">
        <f t="shared" ref="X198" si="319">SUM(X195:X197)</f>
        <v>700.19268481706285</v>
      </c>
      <c r="Y198" s="2314">
        <f t="shared" ref="Y198" si="320">SUM(Y195:Y197)</f>
        <v>726.30030670640122</v>
      </c>
      <c r="Z198" s="1674">
        <f t="shared" si="311"/>
        <v>2.9281070872152773E-2</v>
      </c>
      <c r="AA198" s="2045">
        <f>(Y198/Q198)^(1/9)-1</f>
        <v>3.21187695737013E-3</v>
      </c>
    </row>
    <row r="199" spans="2:27" x14ac:dyDescent="0.2">
      <c r="B199" s="1640"/>
      <c r="C199" s="1634" t="s">
        <v>116</v>
      </c>
      <c r="D199" s="1653">
        <f t="shared" ref="D199:L199" si="321">SUM(D197:D197)/D198</f>
        <v>0.61387567814607069</v>
      </c>
      <c r="E199" s="1653">
        <f t="shared" si="321"/>
        <v>0.61164933431252622</v>
      </c>
      <c r="F199" s="1653">
        <f t="shared" si="321"/>
        <v>0.60961003780251277</v>
      </c>
      <c r="G199" s="1653">
        <f t="shared" si="321"/>
        <v>0.62292552165522697</v>
      </c>
      <c r="H199" s="1653">
        <f t="shared" si="321"/>
        <v>0.67720837638955877</v>
      </c>
      <c r="I199" s="1653">
        <f t="shared" si="321"/>
        <v>0.67254685055759333</v>
      </c>
      <c r="J199" s="1653">
        <f t="shared" si="321"/>
        <v>0.66800363105230842</v>
      </c>
      <c r="K199" s="1653">
        <f t="shared" si="321"/>
        <v>0.66357427050915763</v>
      </c>
      <c r="L199" s="1653">
        <f t="shared" si="321"/>
        <v>0.69717105292346948</v>
      </c>
      <c r="M199" s="1666">
        <f>L199-D199</f>
        <v>8.329537477739879E-2</v>
      </c>
      <c r="N199" s="2239">
        <f t="shared" si="309"/>
        <v>1.4238004507491908E-2</v>
      </c>
      <c r="O199" s="1633"/>
      <c r="P199" s="1633"/>
      <c r="Q199" s="2315"/>
      <c r="R199" s="2315"/>
      <c r="S199" s="2315"/>
      <c r="T199" s="2315"/>
      <c r="U199" s="2315"/>
      <c r="V199" s="2315"/>
      <c r="W199" s="2315"/>
      <c r="X199" s="2315"/>
      <c r="Y199" s="2315"/>
      <c r="Z199" s="1640"/>
      <c r="AA199" s="2047"/>
    </row>
    <row r="200" spans="2:27" x14ac:dyDescent="0.2">
      <c r="B200" s="2297" t="s">
        <v>28</v>
      </c>
      <c r="C200" s="1631" t="s">
        <v>113</v>
      </c>
      <c r="D200" s="2546">
        <v>0.560626055840588</v>
      </c>
      <c r="E200" s="1649">
        <f t="shared" ref="E200:E201" si="322">D200+(F200-D200)/($F$72-$D$72)</f>
        <v>0.5820820541281877</v>
      </c>
      <c r="F200" s="2546">
        <v>0.6035380524157874</v>
      </c>
      <c r="G200" s="2546">
        <v>0.60507369160535174</v>
      </c>
      <c r="H200" s="2546">
        <v>0.53114799981825367</v>
      </c>
      <c r="I200" s="1649">
        <f t="shared" ref="I200:I201" si="323">H200+($K200-$H200)/($K$72-$H$72)</f>
        <v>0.54077644233840039</v>
      </c>
      <c r="J200" s="1649">
        <f t="shared" ref="J200:J201" si="324">I200+($K200-$H200)/($K$72-$H$72)</f>
        <v>0.55040488485854711</v>
      </c>
      <c r="K200" s="2546">
        <v>0.56003332737869393</v>
      </c>
      <c r="L200" s="1649">
        <f>E57</f>
        <v>0.59931824029537706</v>
      </c>
      <c r="M200" s="259">
        <f t="shared" si="308"/>
        <v>6.901602958281168E-2</v>
      </c>
      <c r="N200" s="2044">
        <f t="shared" si="309"/>
        <v>7.4429651716063638E-3</v>
      </c>
      <c r="O200" s="1632"/>
      <c r="Q200" s="2316">
        <f t="shared" ref="Q200:Y201" si="325">D200*1000000000/Q$122</f>
        <v>27.178513074801767</v>
      </c>
      <c r="R200" s="2316">
        <f t="shared" si="325"/>
        <v>27.696931042992553</v>
      </c>
      <c r="S200" s="2316">
        <f t="shared" si="325"/>
        <v>28.103398733018821</v>
      </c>
      <c r="T200" s="2316">
        <f t="shared" si="325"/>
        <v>27.672373735033833</v>
      </c>
      <c r="U200" s="2316">
        <f t="shared" si="325"/>
        <v>23.955293378389825</v>
      </c>
      <c r="V200" s="2316">
        <f t="shared" si="325"/>
        <v>24.012845759785254</v>
      </c>
      <c r="W200" s="2316">
        <f t="shared" si="325"/>
        <v>24.013338665545024</v>
      </c>
      <c r="X200" s="2316">
        <f t="shared" si="325"/>
        <v>24.050485465747681</v>
      </c>
      <c r="Y200" s="2317">
        <f t="shared" si="325"/>
        <v>25.379564558509465</v>
      </c>
      <c r="Z200" s="1674">
        <f t="shared" ref="Z200:Z202" si="326">(Y200-Q200)/Q200</f>
        <v>-6.6190100663018836E-2</v>
      </c>
      <c r="AA200" s="2044">
        <f>(Y200/Q200)^(1/9)-1</f>
        <v>-7.58027870875988E-3</v>
      </c>
    </row>
    <row r="201" spans="2:27" x14ac:dyDescent="0.2">
      <c r="B201" s="1639"/>
      <c r="C201" s="1629" t="s">
        <v>114</v>
      </c>
      <c r="D201" s="2546">
        <v>3.4952329963431468</v>
      </c>
      <c r="E201" s="1649">
        <f t="shared" si="322"/>
        <v>3.2810108999322081</v>
      </c>
      <c r="F201" s="2546">
        <v>3.0667888035212689</v>
      </c>
      <c r="G201" s="2546">
        <v>4.1941222451444027</v>
      </c>
      <c r="H201" s="2546">
        <v>5.100722177420046</v>
      </c>
      <c r="I201" s="1649">
        <f t="shared" si="323"/>
        <v>5.0131168467027249</v>
      </c>
      <c r="J201" s="1649">
        <f t="shared" si="324"/>
        <v>4.9255115159854039</v>
      </c>
      <c r="K201" s="2546">
        <v>4.8379061852680838</v>
      </c>
      <c r="L201" s="1649">
        <f>E58</f>
        <v>4.5685719138708256</v>
      </c>
      <c r="M201" s="1674">
        <f t="shared" si="308"/>
        <v>0.30708651430409623</v>
      </c>
      <c r="N201" s="2045">
        <f t="shared" si="309"/>
        <v>3.0202747449528333E-2</v>
      </c>
      <c r="O201" s="77"/>
      <c r="Q201" s="2312">
        <f t="shared" si="325"/>
        <v>169.44491734005729</v>
      </c>
      <c r="R201" s="2312">
        <f t="shared" si="325"/>
        <v>156.11876710893546</v>
      </c>
      <c r="S201" s="2312">
        <f t="shared" si="325"/>
        <v>142.80323871930474</v>
      </c>
      <c r="T201" s="2312">
        <f t="shared" si="325"/>
        <v>191.81352596925331</v>
      </c>
      <c r="U201" s="2312">
        <f t="shared" si="325"/>
        <v>230.04755029401758</v>
      </c>
      <c r="V201" s="2312">
        <f t="shared" si="325"/>
        <v>222.60437436053135</v>
      </c>
      <c r="W201" s="2312">
        <f t="shared" si="325"/>
        <v>214.89267153723898</v>
      </c>
      <c r="X201" s="2312">
        <f t="shared" si="325"/>
        <v>207.76262180333137</v>
      </c>
      <c r="Y201" s="2313">
        <f t="shared" si="325"/>
        <v>193.46710650944317</v>
      </c>
      <c r="Z201" s="1674">
        <f t="shared" si="326"/>
        <v>0.1417699010775047</v>
      </c>
      <c r="AA201" s="2045">
        <f>(Y201/Q201)^(1/9)-1</f>
        <v>1.4840103948889904E-2</v>
      </c>
    </row>
    <row r="202" spans="2:27" x14ac:dyDescent="0.2">
      <c r="B202" s="1639"/>
      <c r="C202" s="1629" t="s">
        <v>117</v>
      </c>
      <c r="D202" s="1656">
        <f t="shared" ref="D202:L202" si="327">SUM(D200:D201)</f>
        <v>4.0558590521837345</v>
      </c>
      <c r="E202" s="1656">
        <f t="shared" si="327"/>
        <v>3.863092954060396</v>
      </c>
      <c r="F202" s="1656">
        <f t="shared" si="327"/>
        <v>3.6703268559370565</v>
      </c>
      <c r="G202" s="1656">
        <f t="shared" si="327"/>
        <v>4.7991959367497543</v>
      </c>
      <c r="H202" s="1656">
        <f t="shared" si="327"/>
        <v>5.6318701772382997</v>
      </c>
      <c r="I202" s="1656">
        <f t="shared" si="327"/>
        <v>5.5538932890411257</v>
      </c>
      <c r="J202" s="1656">
        <f t="shared" si="327"/>
        <v>5.4759164008439507</v>
      </c>
      <c r="K202" s="1656">
        <f t="shared" si="327"/>
        <v>5.3979395126467775</v>
      </c>
      <c r="L202" s="1656">
        <f t="shared" si="327"/>
        <v>5.1678901541662023</v>
      </c>
      <c r="M202" s="1674">
        <f t="shared" si="308"/>
        <v>0.27417893168248386</v>
      </c>
      <c r="N202" s="2045">
        <f t="shared" si="309"/>
        <v>2.7288127317965705E-2</v>
      </c>
      <c r="Q202" s="2314">
        <f>SUM(Q199:Q201)</f>
        <v>196.62343041485906</v>
      </c>
      <c r="R202" s="2314">
        <f t="shared" ref="R202" si="328">SUM(R199:R201)</f>
        <v>183.81569815192802</v>
      </c>
      <c r="S202" s="2314">
        <f t="shared" ref="S202" si="329">SUM(S199:S201)</f>
        <v>170.90663745232357</v>
      </c>
      <c r="T202" s="2314">
        <f t="shared" ref="T202" si="330">SUM(T199:T201)</f>
        <v>219.48589970428714</v>
      </c>
      <c r="U202" s="2314">
        <f t="shared" ref="U202" si="331">SUM(U199:U201)</f>
        <v>254.00284367240741</v>
      </c>
      <c r="V202" s="2314">
        <f t="shared" ref="V202" si="332">SUM(V199:V201)</f>
        <v>246.6172201203166</v>
      </c>
      <c r="W202" s="2314">
        <f t="shared" ref="W202" si="333">SUM(W199:W201)</f>
        <v>238.90601020278402</v>
      </c>
      <c r="X202" s="2314">
        <f t="shared" ref="X202" si="334">SUM(X199:X201)</f>
        <v>231.81310726907904</v>
      </c>
      <c r="Y202" s="2314">
        <f t="shared" ref="Y202" si="335">SUM(Y199:Y201)</f>
        <v>218.84667106795263</v>
      </c>
      <c r="Z202" s="1674">
        <f t="shared" si="326"/>
        <v>0.11302437662797553</v>
      </c>
      <c r="AA202" s="2045">
        <f>(Y202/Q202)^(1/9)-1</f>
        <v>1.1968947368683258E-2</v>
      </c>
    </row>
    <row r="203" spans="2:27" x14ac:dyDescent="0.2">
      <c r="B203" s="1640"/>
      <c r="C203" s="1634" t="s">
        <v>116</v>
      </c>
      <c r="D203" s="1653">
        <f t="shared" ref="D203:L203" si="336">SUM(D201:D201)/D202</f>
        <v>0.861773782415161</v>
      </c>
      <c r="E203" s="1653">
        <f t="shared" si="336"/>
        <v>0.84932227594565735</v>
      </c>
      <c r="F203" s="1653">
        <f t="shared" si="336"/>
        <v>0.83556285962937737</v>
      </c>
      <c r="G203" s="1653">
        <f t="shared" si="336"/>
        <v>0.8739218611659485</v>
      </c>
      <c r="H203" s="1653">
        <f t="shared" si="336"/>
        <v>0.90568887721081792</v>
      </c>
      <c r="I203" s="1653">
        <f t="shared" si="336"/>
        <v>0.90263110682996839</v>
      </c>
      <c r="J203" s="1653">
        <f t="shared" si="336"/>
        <v>0.89948625132887017</v>
      </c>
      <c r="K203" s="1653">
        <f t="shared" si="336"/>
        <v>0.89625053669708643</v>
      </c>
      <c r="L203" s="1653">
        <f t="shared" si="336"/>
        <v>0.88403038330599504</v>
      </c>
      <c r="M203" s="1666">
        <f>L203-D203</f>
        <v>2.2256600890834033E-2</v>
      </c>
      <c r="N203" s="2239">
        <f t="shared" si="309"/>
        <v>2.8371983030430759E-3</v>
      </c>
      <c r="O203" s="1633"/>
      <c r="P203" s="1633"/>
      <c r="Q203" s="2315"/>
      <c r="R203" s="2315"/>
      <c r="S203" s="2315"/>
      <c r="T203" s="2315"/>
      <c r="U203" s="2315"/>
      <c r="V203" s="2315"/>
      <c r="W203" s="2315"/>
      <c r="X203" s="2315"/>
      <c r="Y203" s="2315"/>
      <c r="Z203" s="1640"/>
      <c r="AA203" s="2047"/>
    </row>
    <row r="204" spans="2:27" x14ac:dyDescent="0.2">
      <c r="B204" s="2297" t="s">
        <v>22</v>
      </c>
      <c r="C204" s="1631" t="s">
        <v>113</v>
      </c>
      <c r="D204" s="2546">
        <v>7.4538532459816214</v>
      </c>
      <c r="E204" s="1649">
        <f t="shared" ref="E204:E206" si="337">D204+(F204-D204)/($F$72-$D$72)</f>
        <v>7.5732171843974179</v>
      </c>
      <c r="F204" s="2546">
        <v>7.6925811228132135</v>
      </c>
      <c r="G204" s="2546">
        <v>7.3689576317727497</v>
      </c>
      <c r="H204" s="2546">
        <v>6.7106400912712596</v>
      </c>
      <c r="I204" s="1649">
        <f t="shared" ref="I204:I206" si="338">H204+($K204-$H204)/($K$72-$H$72)</f>
        <v>6.4028831752081423</v>
      </c>
      <c r="J204" s="1649">
        <f t="shared" ref="J204:J206" si="339">I204+($K204-$H204)/($K$72-$H$72)</f>
        <v>6.095126259145025</v>
      </c>
      <c r="K204" s="2546">
        <v>5.7873693430819078</v>
      </c>
      <c r="L204" s="1649">
        <f>F57</f>
        <v>6.2364638260746217</v>
      </c>
      <c r="M204" s="259">
        <f t="shared" ref="M204:M230" si="340">(L204-D204)/D204</f>
        <v>-0.16332350258751008</v>
      </c>
      <c r="N204" s="2044">
        <f t="shared" ref="N204:N231" si="341">(L204/D204)^(1/9)-1</f>
        <v>-1.9618097989114625E-2</v>
      </c>
      <c r="O204" s="1632"/>
      <c r="Q204" s="2316">
        <f t="shared" ref="Q204:Y206" si="342">D204*1000000000/Q$122</f>
        <v>361.35432128607545</v>
      </c>
      <c r="R204" s="2316">
        <f t="shared" si="342"/>
        <v>360.35275893193699</v>
      </c>
      <c r="S204" s="2316">
        <f t="shared" si="342"/>
        <v>358.20057031230584</v>
      </c>
      <c r="T204" s="2316">
        <f t="shared" si="342"/>
        <v>337.01109873579867</v>
      </c>
      <c r="U204" s="2316">
        <f t="shared" si="342"/>
        <v>302.65642005278073</v>
      </c>
      <c r="V204" s="2316">
        <f t="shared" si="342"/>
        <v>284.31609453871977</v>
      </c>
      <c r="W204" s="2316">
        <f t="shared" si="342"/>
        <v>265.92120654547131</v>
      </c>
      <c r="X204" s="2316">
        <f t="shared" si="342"/>
        <v>248.53706996724083</v>
      </c>
      <c r="Y204" s="2317">
        <f t="shared" si="342"/>
        <v>264.09797941851622</v>
      </c>
      <c r="Z204" s="1674">
        <f t="shared" ref="Z204:Z207" si="343">(Y204-Q204)/Q204</f>
        <v>-0.26914398455626531</v>
      </c>
      <c r="AA204" s="2044">
        <f>(Y204/Q204)^(1/9)-1</f>
        <v>-3.4237800462592061E-2</v>
      </c>
    </row>
    <row r="205" spans="2:27" x14ac:dyDescent="0.2">
      <c r="B205" s="1639"/>
      <c r="C205" s="1629" t="s">
        <v>114</v>
      </c>
      <c r="D205" s="2546">
        <v>4.2268888892427396</v>
      </c>
      <c r="E205" s="1649">
        <f t="shared" si="337"/>
        <v>4.2551716778960458</v>
      </c>
      <c r="F205" s="2546">
        <v>4.2834544665493519</v>
      </c>
      <c r="G205" s="2546">
        <v>4.5910619251077556</v>
      </c>
      <c r="H205" s="2546">
        <v>5.3820904853412932</v>
      </c>
      <c r="I205" s="1649">
        <f t="shared" si="338"/>
        <v>5.2783907901975669</v>
      </c>
      <c r="J205" s="1649">
        <f t="shared" si="339"/>
        <v>5.1746910950538405</v>
      </c>
      <c r="K205" s="2546">
        <v>5.0709913999101133</v>
      </c>
      <c r="L205" s="1649">
        <f>F58</f>
        <v>5.2104645639640639</v>
      </c>
      <c r="M205" s="1674">
        <f t="shared" si="340"/>
        <v>0.2326949443181448</v>
      </c>
      <c r="N205" s="2045">
        <f t="shared" si="341"/>
        <v>2.3517018579529703E-2</v>
      </c>
      <c r="O205" s="77"/>
      <c r="Q205" s="2312">
        <f t="shared" si="342"/>
        <v>204.91476224694773</v>
      </c>
      <c r="R205" s="2312">
        <f t="shared" si="342"/>
        <v>202.47179191136394</v>
      </c>
      <c r="S205" s="2312">
        <f t="shared" si="342"/>
        <v>199.45656839087812</v>
      </c>
      <c r="T205" s="2312">
        <f t="shared" si="342"/>
        <v>209.96712168264108</v>
      </c>
      <c r="U205" s="2312">
        <f t="shared" si="342"/>
        <v>242.73753569533881</v>
      </c>
      <c r="V205" s="2312">
        <f t="shared" si="342"/>
        <v>234.38370088164763</v>
      </c>
      <c r="W205" s="2312">
        <f t="shared" si="342"/>
        <v>225.76400241622656</v>
      </c>
      <c r="X205" s="2312">
        <f t="shared" si="342"/>
        <v>217.77240567327982</v>
      </c>
      <c r="Y205" s="2313">
        <f t="shared" si="342"/>
        <v>220.64958629621719</v>
      </c>
      <c r="Z205" s="1674">
        <f t="shared" si="343"/>
        <v>7.6787166901655657E-2</v>
      </c>
      <c r="AA205" s="2045">
        <f>(Y205/Q205)^(1/9)-1</f>
        <v>8.2540743559762486E-3</v>
      </c>
    </row>
    <row r="206" spans="2:27" x14ac:dyDescent="0.2">
      <c r="B206" s="1639"/>
      <c r="C206" s="1629" t="s">
        <v>38</v>
      </c>
      <c r="D206" s="2546">
        <v>0.97669503422202064</v>
      </c>
      <c r="E206" s="1649">
        <f t="shared" si="337"/>
        <v>1.0164783899464269</v>
      </c>
      <c r="F206" s="2546">
        <v>1.056261745670833</v>
      </c>
      <c r="G206" s="2546">
        <v>1.2808612733274356</v>
      </c>
      <c r="H206" s="2546">
        <v>1.3999058653829961</v>
      </c>
      <c r="I206" s="1649">
        <f t="shared" si="338"/>
        <v>1.5166313632373702</v>
      </c>
      <c r="J206" s="1649">
        <f t="shared" si="339"/>
        <v>1.6333568610917444</v>
      </c>
      <c r="K206" s="2546">
        <v>1.7500823589461187</v>
      </c>
      <c r="L206" s="1649">
        <f>F59</f>
        <v>1.3600198783885851</v>
      </c>
      <c r="M206" s="1674">
        <f t="shared" si="340"/>
        <v>0.39247137615673355</v>
      </c>
      <c r="N206" s="2045">
        <f t="shared" si="341"/>
        <v>3.747168571810211E-2</v>
      </c>
      <c r="Q206" s="2312">
        <f t="shared" si="342"/>
        <v>47.349063571253559</v>
      </c>
      <c r="R206" s="2312">
        <f t="shared" si="342"/>
        <v>48.366603425362221</v>
      </c>
      <c r="S206" s="2312">
        <f t="shared" si="342"/>
        <v>49.184214460386272</v>
      </c>
      <c r="T206" s="2312">
        <f t="shared" si="342"/>
        <v>58.578768751635181</v>
      </c>
      <c r="U206" s="2312">
        <f t="shared" si="342"/>
        <v>63.137121327489332</v>
      </c>
      <c r="V206" s="2312">
        <f t="shared" si="342"/>
        <v>67.345084120883755</v>
      </c>
      <c r="W206" s="2312">
        <f t="shared" si="342"/>
        <v>71.260907281314743</v>
      </c>
      <c r="X206" s="2312">
        <f t="shared" si="342"/>
        <v>75.156831352705566</v>
      </c>
      <c r="Y206" s="2313">
        <f t="shared" si="342"/>
        <v>57.593295153852736</v>
      </c>
      <c r="Z206" s="1674">
        <f>IFERROR((Y206-Q206)/Q206,"")</f>
        <v>0.21635552659205343</v>
      </c>
      <c r="AA206" s="2045">
        <f>(Y206/Q206)^(1/9)-1</f>
        <v>2.2000645974564081E-2</v>
      </c>
    </row>
    <row r="207" spans="2:27" x14ac:dyDescent="0.2">
      <c r="B207" s="1639"/>
      <c r="C207" s="1629" t="s">
        <v>117</v>
      </c>
      <c r="D207" s="1656">
        <f>SUM(D204:D206)</f>
        <v>12.65743716944638</v>
      </c>
      <c r="E207" s="1656">
        <f t="shared" ref="E207" si="344">SUM(E204:E206)</f>
        <v>12.84486725223989</v>
      </c>
      <c r="F207" s="1656">
        <f t="shared" ref="F207" si="345">SUM(F204:F206)</f>
        <v>13.032297335033398</v>
      </c>
      <c r="G207" s="1656">
        <f t="shared" ref="G207" si="346">SUM(G204:G206)</f>
        <v>13.24088083020794</v>
      </c>
      <c r="H207" s="1656">
        <f t="shared" ref="H207" si="347">SUM(H204:H206)</f>
        <v>13.492636441995549</v>
      </c>
      <c r="I207" s="1656">
        <f t="shared" ref="I207" si="348">SUM(I204:I206)</f>
        <v>13.197905328643078</v>
      </c>
      <c r="J207" s="1656">
        <f t="shared" ref="J207" si="349">SUM(J204:J206)</f>
        <v>12.90317421529061</v>
      </c>
      <c r="K207" s="1656">
        <f t="shared" ref="K207" si="350">SUM(K204:K206)</f>
        <v>12.608443101938139</v>
      </c>
      <c r="L207" s="1656">
        <f>SUM(L204:L206)</f>
        <v>12.80694826842727</v>
      </c>
      <c r="M207" s="1674">
        <f t="shared" si="340"/>
        <v>1.1812114646856988E-2</v>
      </c>
      <c r="N207" s="2045">
        <f t="shared" si="341"/>
        <v>1.3056178183803446E-3</v>
      </c>
      <c r="Q207" s="2314">
        <f>SUM(Q204:Q206)</f>
        <v>613.61814710427666</v>
      </c>
      <c r="R207" s="2314">
        <f t="shared" ref="R207" si="351">SUM(R204:R206)</f>
        <v>611.19115426866313</v>
      </c>
      <c r="S207" s="2314">
        <f t="shared" ref="S207" si="352">SUM(S204:S206)</f>
        <v>606.84135316357015</v>
      </c>
      <c r="T207" s="2314">
        <f t="shared" ref="T207" si="353">SUM(T204:T206)</f>
        <v>605.55698917007487</v>
      </c>
      <c r="U207" s="2314">
        <f t="shared" ref="U207" si="354">SUM(U204:U206)</f>
        <v>608.53107707560889</v>
      </c>
      <c r="V207" s="2314">
        <f t="shared" ref="V207" si="355">SUM(V204:V206)</f>
        <v>586.04487954125113</v>
      </c>
      <c r="W207" s="2314">
        <f t="shared" ref="W207" si="356">SUM(W204:W206)</f>
        <v>562.94611624301263</v>
      </c>
      <c r="X207" s="2314">
        <f t="shared" ref="X207" si="357">SUM(X204:X206)</f>
        <v>541.46630699322623</v>
      </c>
      <c r="Y207" s="2314">
        <f t="shared" ref="Y207" si="358">SUM(Y204:Y206)</f>
        <v>542.34086086858611</v>
      </c>
      <c r="Z207" s="1674">
        <f t="shared" si="343"/>
        <v>-0.11615902588939873</v>
      </c>
      <c r="AA207" s="2045">
        <f>(Y207/Q207)^(1/9)-1</f>
        <v>-1.3626104388547833E-2</v>
      </c>
    </row>
    <row r="208" spans="2:27" x14ac:dyDescent="0.2">
      <c r="B208" s="1640"/>
      <c r="C208" s="1634" t="s">
        <v>116</v>
      </c>
      <c r="D208" s="1653">
        <f>SUM(D205:D206)/D207</f>
        <v>0.41110880929558341</v>
      </c>
      <c r="E208" s="1653">
        <f t="shared" ref="E208:L208" si="359">SUM(E205:E206)/E207</f>
        <v>0.41040907347043243</v>
      </c>
      <c r="F208" s="1653">
        <f t="shared" si="359"/>
        <v>0.40972946480172528</v>
      </c>
      <c r="G208" s="1653">
        <f t="shared" si="359"/>
        <v>0.44346922789599458</v>
      </c>
      <c r="H208" s="1653">
        <f t="shared" si="359"/>
        <v>0.50264426673614859</v>
      </c>
      <c r="I208" s="1653">
        <f t="shared" si="359"/>
        <v>0.51485610664958126</v>
      </c>
      <c r="J208" s="1653">
        <f t="shared" si="359"/>
        <v>0.52762582621552645</v>
      </c>
      <c r="K208" s="1653">
        <f t="shared" si="359"/>
        <v>0.54099254790686357</v>
      </c>
      <c r="L208" s="1653">
        <f t="shared" si="359"/>
        <v>0.5130406014484139</v>
      </c>
      <c r="M208" s="1666">
        <f>L208-D208</f>
        <v>0.10193179215283049</v>
      </c>
      <c r="N208" s="2239">
        <f t="shared" si="341"/>
        <v>2.4916130139152726E-2</v>
      </c>
      <c r="O208" s="1633"/>
      <c r="P208" s="1633"/>
      <c r="Q208" s="2315"/>
      <c r="R208" s="2315"/>
      <c r="S208" s="2315"/>
      <c r="T208" s="2315"/>
      <c r="U208" s="2315"/>
      <c r="V208" s="2315"/>
      <c r="W208" s="2315"/>
      <c r="X208" s="2315"/>
      <c r="Y208" s="2315"/>
      <c r="Z208" s="1640"/>
      <c r="AA208" s="2047"/>
    </row>
    <row r="209" spans="2:97" x14ac:dyDescent="0.2">
      <c r="B209" s="2297" t="s">
        <v>20</v>
      </c>
      <c r="C209" s="1631" t="s">
        <v>113</v>
      </c>
      <c r="D209" s="2546">
        <v>1.6096999945206616</v>
      </c>
      <c r="E209" s="1649">
        <f t="shared" ref="E209:E211" si="360">D209+(F209-D209)/($F$72-$D$72)</f>
        <v>1.6156487685202536</v>
      </c>
      <c r="F209" s="2546">
        <v>1.6215975425198457</v>
      </c>
      <c r="G209" s="2546">
        <v>1.722890439423566</v>
      </c>
      <c r="H209" s="2546">
        <v>1.5055628136275514</v>
      </c>
      <c r="I209" s="1649">
        <f t="shared" ref="I209:I211" si="361">H209+($K209-$H209)/($K$72-$H$72)</f>
        <v>1.4868589034997346</v>
      </c>
      <c r="J209" s="1649">
        <f t="shared" ref="J209:J211" si="362">I209+($K209-$H209)/($K$72-$H$72)</f>
        <v>1.4681549933719178</v>
      </c>
      <c r="K209" s="2546">
        <v>1.4494510832441008</v>
      </c>
      <c r="L209" s="1649">
        <f>G57</f>
        <v>1.584406592729183</v>
      </c>
      <c r="M209" s="259">
        <f t="shared" si="340"/>
        <v>-1.571311541130398E-2</v>
      </c>
      <c r="N209" s="2044">
        <f t="shared" si="341"/>
        <v>-1.7582164170932835E-3</v>
      </c>
      <c r="O209" s="1632"/>
      <c r="Q209" s="2316">
        <f t="shared" ref="Q209:Y211" si="363">D209*1000000000/Q$122</f>
        <v>78.036423551509131</v>
      </c>
      <c r="R209" s="2316">
        <f t="shared" si="363"/>
        <v>76.876640009840713</v>
      </c>
      <c r="S209" s="2316">
        <f t="shared" si="363"/>
        <v>75.508747359848471</v>
      </c>
      <c r="T209" s="2316">
        <f t="shared" si="363"/>
        <v>78.794482070031393</v>
      </c>
      <c r="U209" s="2316">
        <f t="shared" si="363"/>
        <v>67.902352851527326</v>
      </c>
      <c r="V209" s="2316">
        <f t="shared" si="363"/>
        <v>66.02305633343461</v>
      </c>
      <c r="W209" s="2316">
        <f t="shared" si="363"/>
        <v>64.053397851676792</v>
      </c>
      <c r="X209" s="2316">
        <f t="shared" si="363"/>
        <v>62.246299472999368</v>
      </c>
      <c r="Y209" s="2317">
        <f t="shared" si="363"/>
        <v>67.095487344553121</v>
      </c>
      <c r="Z209" s="1674">
        <f t="shared" ref="Z209:Z212" si="364">(Y209-Q209)/Q209</f>
        <v>-0.14020294253662557</v>
      </c>
      <c r="AA209" s="2044">
        <f>(Y209/Q209)^(1/9)-1</f>
        <v>-1.6644249954270496E-2</v>
      </c>
    </row>
    <row r="210" spans="2:97" x14ac:dyDescent="0.2">
      <c r="B210" s="1639"/>
      <c r="C210" s="1629" t="s">
        <v>114</v>
      </c>
      <c r="D210" s="2546">
        <v>3.7135394364255125</v>
      </c>
      <c r="E210" s="1649">
        <f t="shared" si="360"/>
        <v>4.0703171674553209</v>
      </c>
      <c r="F210" s="2546">
        <v>4.4270948984851293</v>
      </c>
      <c r="G210" s="2546">
        <v>3.9150539091324896</v>
      </c>
      <c r="H210" s="2546">
        <v>3.2553541762818359</v>
      </c>
      <c r="I210" s="1649">
        <f t="shared" si="361"/>
        <v>3.3031212628760458</v>
      </c>
      <c r="J210" s="1649">
        <f t="shared" si="362"/>
        <v>3.3508883494702557</v>
      </c>
      <c r="K210" s="2546">
        <v>3.3986554360644652</v>
      </c>
      <c r="L210" s="1649">
        <f>G58</f>
        <v>3.2282213331406062</v>
      </c>
      <c r="M210" s="1674">
        <f t="shared" si="340"/>
        <v>-0.13068882439338031</v>
      </c>
      <c r="N210" s="2045">
        <f t="shared" si="341"/>
        <v>-1.5441114745396556E-2</v>
      </c>
      <c r="O210" s="77"/>
      <c r="Q210" s="2312">
        <f t="shared" si="363"/>
        <v>180.02816507583341</v>
      </c>
      <c r="R210" s="2312">
        <f t="shared" si="363"/>
        <v>193.67594845192036</v>
      </c>
      <c r="S210" s="2312">
        <f t="shared" si="363"/>
        <v>206.1451016436136</v>
      </c>
      <c r="T210" s="2312">
        <f t="shared" si="363"/>
        <v>179.05064535012286</v>
      </c>
      <c r="U210" s="2312">
        <f t="shared" si="363"/>
        <v>146.81965171681313</v>
      </c>
      <c r="V210" s="2312">
        <f t="shared" si="363"/>
        <v>146.67307079489115</v>
      </c>
      <c r="W210" s="2312">
        <f t="shared" si="363"/>
        <v>146.19422715868163</v>
      </c>
      <c r="X210" s="2312">
        <f t="shared" si="363"/>
        <v>145.95437302051977</v>
      </c>
      <c r="Y210" s="2313">
        <f t="shared" si="363"/>
        <v>136.70675481730621</v>
      </c>
      <c r="Z210" s="1674">
        <f t="shared" si="364"/>
        <v>-0.24063684835247248</v>
      </c>
      <c r="AA210" s="2045">
        <f>(Y210/Q210)^(1/9)-1</f>
        <v>-3.0123105447710796E-2</v>
      </c>
    </row>
    <row r="211" spans="2:97" x14ac:dyDescent="0.2">
      <c r="B211" s="1639"/>
      <c r="C211" s="1629" t="s">
        <v>38</v>
      </c>
      <c r="D211" s="2129">
        <v>0.27670823020342261</v>
      </c>
      <c r="E211" s="1650">
        <f t="shared" si="360"/>
        <v>0.28501529097289113</v>
      </c>
      <c r="F211" s="2129">
        <v>0.29332235174235965</v>
      </c>
      <c r="G211" s="2129">
        <v>0.30926558213073485</v>
      </c>
      <c r="H211" s="2129">
        <v>0.39417008761033834</v>
      </c>
      <c r="I211" s="1650">
        <f t="shared" si="361"/>
        <v>0.45891685305645485</v>
      </c>
      <c r="J211" s="1650">
        <f t="shared" si="362"/>
        <v>0.52366361850257137</v>
      </c>
      <c r="K211" s="2129">
        <v>0.58841038394868783</v>
      </c>
      <c r="L211" s="1650">
        <f>G59</f>
        <v>0.45760319209112282</v>
      </c>
      <c r="M211" s="1674">
        <f t="shared" si="340"/>
        <v>0.65373900066042456</v>
      </c>
      <c r="N211" s="2045">
        <f t="shared" si="341"/>
        <v>5.7484736605188047E-2</v>
      </c>
      <c r="Q211" s="2312">
        <f t="shared" si="363"/>
        <v>13.414500047117702</v>
      </c>
      <c r="R211" s="2312">
        <f t="shared" si="363"/>
        <v>13.56174581279253</v>
      </c>
      <c r="S211" s="2312">
        <f t="shared" si="363"/>
        <v>13.658384877849173</v>
      </c>
      <c r="T211" s="2312">
        <f t="shared" si="363"/>
        <v>14.143918155487034</v>
      </c>
      <c r="U211" s="2312">
        <f t="shared" si="363"/>
        <v>17.77745579936715</v>
      </c>
      <c r="V211" s="2312">
        <f t="shared" si="363"/>
        <v>20.377920978508136</v>
      </c>
      <c r="W211" s="2312">
        <f t="shared" si="363"/>
        <v>22.846657367800692</v>
      </c>
      <c r="X211" s="2312">
        <f t="shared" si="363"/>
        <v>25.269130773504237</v>
      </c>
      <c r="Y211" s="2313">
        <f t="shared" si="363"/>
        <v>19.378301835320002</v>
      </c>
      <c r="Z211" s="1674">
        <f>IFERROR((Y211-Q211)/Q211,"")</f>
        <v>0.44457875934658547</v>
      </c>
      <c r="AA211" s="2045">
        <f>(Y211/Q211)^(1/9)-1</f>
        <v>4.1715257193439381E-2</v>
      </c>
    </row>
    <row r="212" spans="2:97" x14ac:dyDescent="0.2">
      <c r="B212" s="1639"/>
      <c r="C212" s="1629" t="s">
        <v>117</v>
      </c>
      <c r="D212" s="1656">
        <f>SUM(D209:D211)</f>
        <v>5.5999476611495966</v>
      </c>
      <c r="E212" s="1656">
        <f t="shared" ref="E212" si="365">SUM(E209:E211)</f>
        <v>5.9709812269484654</v>
      </c>
      <c r="F212" s="1656">
        <f t="shared" ref="F212" si="366">SUM(F209:F211)</f>
        <v>6.3420147927473343</v>
      </c>
      <c r="G212" s="1656">
        <f t="shared" ref="G212" si="367">SUM(G209:G211)</f>
        <v>5.9472099306867907</v>
      </c>
      <c r="H212" s="1656">
        <f t="shared" ref="H212" si="368">SUM(H209:H211)</f>
        <v>5.1550870775197257</v>
      </c>
      <c r="I212" s="1656">
        <f t="shared" ref="I212" si="369">SUM(I209:I211)</f>
        <v>5.2488970194322357</v>
      </c>
      <c r="J212" s="1656">
        <f t="shared" ref="J212" si="370">SUM(J209:J211)</f>
        <v>5.342706961344744</v>
      </c>
      <c r="K212" s="1656">
        <f t="shared" ref="K212" si="371">SUM(K209:K211)</f>
        <v>5.4365169032572531</v>
      </c>
      <c r="L212" s="1656">
        <f>SUM(L209:L211)</f>
        <v>5.270231117960912</v>
      </c>
      <c r="M212" s="1674">
        <f t="shared" si="340"/>
        <v>-5.8878504432485726E-2</v>
      </c>
      <c r="N212" s="2045">
        <f t="shared" si="341"/>
        <v>-6.7198793358311804E-3</v>
      </c>
      <c r="Q212" s="2314">
        <f>SUM(Q209:Q211)</f>
        <v>271.47908867446029</v>
      </c>
      <c r="R212" s="2314">
        <f t="shared" ref="R212" si="372">SUM(R209:R211)</f>
        <v>284.11433427455358</v>
      </c>
      <c r="S212" s="2314">
        <f t="shared" ref="S212" si="373">SUM(S209:S211)</f>
        <v>295.31223388131127</v>
      </c>
      <c r="T212" s="2314">
        <f t="shared" ref="T212" si="374">SUM(T209:T211)</f>
        <v>271.98904557564128</v>
      </c>
      <c r="U212" s="2314">
        <f t="shared" ref="U212" si="375">SUM(U209:U211)</f>
        <v>232.4994603677076</v>
      </c>
      <c r="V212" s="2314">
        <f t="shared" ref="V212" si="376">SUM(V209:V211)</f>
        <v>233.07404810683391</v>
      </c>
      <c r="W212" s="2314">
        <f t="shared" ref="W212" si="377">SUM(W209:W211)</f>
        <v>233.09428237815914</v>
      </c>
      <c r="X212" s="2314">
        <f t="shared" ref="X212" si="378">SUM(X209:X211)</f>
        <v>233.46980326702337</v>
      </c>
      <c r="Y212" s="2314">
        <f t="shared" ref="Y212" si="379">SUM(Y209:Y211)</f>
        <v>223.18054399717934</v>
      </c>
      <c r="Z212" s="1674">
        <f t="shared" si="364"/>
        <v>-0.17790889498379506</v>
      </c>
      <c r="AA212" s="2045">
        <f>(Y212/Q212)^(1/9)-1</f>
        <v>-2.1531923302722689E-2</v>
      </c>
    </row>
    <row r="213" spans="2:97" x14ac:dyDescent="0.2">
      <c r="B213" s="1640"/>
      <c r="C213" s="1634" t="s">
        <v>116</v>
      </c>
      <c r="D213" s="1653">
        <f>SUM(D210:D211)/D212</f>
        <v>0.71255088584342041</v>
      </c>
      <c r="E213" s="1653">
        <f t="shared" ref="E213:L213" si="380">SUM(E210:E211)/E212</f>
        <v>0.72941653857016919</v>
      </c>
      <c r="F213" s="1653">
        <f t="shared" si="380"/>
        <v>0.74430877323492084</v>
      </c>
      <c r="G213" s="1653">
        <f t="shared" si="380"/>
        <v>0.71030273699711066</v>
      </c>
      <c r="H213" s="1653">
        <f t="shared" si="380"/>
        <v>0.70794619159916794</v>
      </c>
      <c r="I213" s="1653">
        <f t="shared" si="380"/>
        <v>0.71672926750226729</v>
      </c>
      <c r="J213" s="1653">
        <f t="shared" si="380"/>
        <v>0.72520390805742663</v>
      </c>
      <c r="K213" s="1653">
        <f t="shared" si="380"/>
        <v>0.73338607990427263</v>
      </c>
      <c r="L213" s="1653">
        <f t="shared" si="380"/>
        <v>0.6993667721080512</v>
      </c>
      <c r="M213" s="1666">
        <f>L213-D213</f>
        <v>-1.3184113735369207E-2</v>
      </c>
      <c r="N213" s="2239">
        <f t="shared" si="341"/>
        <v>-2.0729611042994422E-3</v>
      </c>
      <c r="O213" s="1633"/>
      <c r="P213" s="1633"/>
      <c r="Q213" s="2315"/>
      <c r="R213" s="2315"/>
      <c r="S213" s="2315"/>
      <c r="T213" s="2315"/>
      <c r="U213" s="2315"/>
      <c r="V213" s="2315"/>
      <c r="W213" s="2315"/>
      <c r="X213" s="2315"/>
      <c r="Y213" s="2315"/>
      <c r="Z213" s="1640"/>
      <c r="AA213" s="2047"/>
      <c r="CK213" s="74" t="s">
        <v>1424</v>
      </c>
    </row>
    <row r="214" spans="2:97" x14ac:dyDescent="0.2">
      <c r="B214" s="2297" t="s">
        <v>32</v>
      </c>
      <c r="C214" s="1631" t="s">
        <v>113</v>
      </c>
      <c r="D214" s="2546">
        <v>2.3121232379955252</v>
      </c>
      <c r="E214" s="1649">
        <f t="shared" ref="E214:E216" si="381">D214+(F214-D214)/($F$72-$D$72)</f>
        <v>2.3624972619148981</v>
      </c>
      <c r="F214" s="2546">
        <v>2.4128712858342714</v>
      </c>
      <c r="G214" s="2546">
        <v>2.5557538560598156</v>
      </c>
      <c r="H214" s="2546">
        <v>2.3575754886921589</v>
      </c>
      <c r="I214" s="1649">
        <f t="shared" ref="I214:I216" si="382">H214+($K214-$H214)/($K$72-$H$72)</f>
        <v>2.298089471289849</v>
      </c>
      <c r="J214" s="1649">
        <f t="shared" ref="J214:J216" si="383">I214+($K214-$H214)/($K$72-$H$72)</f>
        <v>2.238603453887539</v>
      </c>
      <c r="K214" s="2546">
        <v>2.1791174364852295</v>
      </c>
      <c r="L214" s="1649">
        <f>H57</f>
        <v>2.1573670534223037</v>
      </c>
      <c r="M214" s="259">
        <f t="shared" si="340"/>
        <v>-6.6932498246670441E-2</v>
      </c>
      <c r="N214" s="2044">
        <f t="shared" si="341"/>
        <v>-7.6679756522086695E-3</v>
      </c>
      <c r="O214" s="1632"/>
      <c r="Q214" s="2316">
        <f t="shared" ref="Q214:Y216" si="384">D214*1000000000/Q$122</f>
        <v>112.08910288729558</v>
      </c>
      <c r="R214" s="2316">
        <f t="shared" si="384"/>
        <v>112.41357346176765</v>
      </c>
      <c r="S214" s="2316">
        <f t="shared" si="384"/>
        <v>112.35394945824727</v>
      </c>
      <c r="T214" s="2316">
        <f t="shared" si="384"/>
        <v>116.88456606335046</v>
      </c>
      <c r="U214" s="2316">
        <f t="shared" si="384"/>
        <v>106.32895635989655</v>
      </c>
      <c r="V214" s="2316">
        <f t="shared" si="384"/>
        <v>102.04525141229698</v>
      </c>
      <c r="W214" s="2316">
        <f t="shared" si="384"/>
        <v>97.666907316557598</v>
      </c>
      <c r="X214" s="2316">
        <f t="shared" si="384"/>
        <v>93.581631078370734</v>
      </c>
      <c r="Y214" s="2317">
        <f t="shared" si="384"/>
        <v>91.358868673423629</v>
      </c>
      <c r="Z214" s="1674">
        <f t="shared" ref="Z214:Z221" si="385">(Y214-Q214)/Q214</f>
        <v>-0.1849442423918406</v>
      </c>
      <c r="AA214" s="2044">
        <f>(Y214/Q214)^(1/9)-1</f>
        <v>-2.2465881367431995E-2</v>
      </c>
      <c r="CK214" s="1629" t="s">
        <v>1425</v>
      </c>
      <c r="CL214" s="74" t="s">
        <v>1426</v>
      </c>
    </row>
    <row r="215" spans="2:97" x14ac:dyDescent="0.2">
      <c r="B215" s="1639"/>
      <c r="C215" s="1629" t="s">
        <v>114</v>
      </c>
      <c r="D215" s="2129">
        <v>0.25397027944541661</v>
      </c>
      <c r="E215" s="1650">
        <f t="shared" si="381"/>
        <v>0.2660513387400727</v>
      </c>
      <c r="F215" s="2129">
        <v>0.27813239803472878</v>
      </c>
      <c r="G215" s="2129">
        <v>0.29313609725400452</v>
      </c>
      <c r="H215" s="2129">
        <v>0.292327</v>
      </c>
      <c r="I215" s="1650">
        <f t="shared" si="382"/>
        <v>0.29608133235031581</v>
      </c>
      <c r="J215" s="1650">
        <f t="shared" si="383"/>
        <v>0.29983566470063161</v>
      </c>
      <c r="K215" s="2129">
        <v>0.30358999705094736</v>
      </c>
      <c r="L215" s="1650">
        <f>H58</f>
        <v>0.34584083999999998</v>
      </c>
      <c r="M215" s="1674">
        <f t="shared" si="340"/>
        <v>0.36173744721310286</v>
      </c>
      <c r="N215" s="2045">
        <f t="shared" si="341"/>
        <v>3.4902091176528538E-2</v>
      </c>
      <c r="O215" s="77"/>
      <c r="Q215" s="2312">
        <f t="shared" si="384"/>
        <v>12.312190075020389</v>
      </c>
      <c r="R215" s="2312">
        <f t="shared" si="384"/>
        <v>12.659393174414665</v>
      </c>
      <c r="S215" s="2312">
        <f t="shared" si="384"/>
        <v>12.95107350937301</v>
      </c>
      <c r="T215" s="2312">
        <f t="shared" si="384"/>
        <v>13.406254066211813</v>
      </c>
      <c r="U215" s="2312">
        <f t="shared" si="384"/>
        <v>13.184233113596866</v>
      </c>
      <c r="V215" s="2312">
        <f t="shared" si="384"/>
        <v>13.147309700356354</v>
      </c>
      <c r="W215" s="2312">
        <f t="shared" si="384"/>
        <v>13.081379832440023</v>
      </c>
      <c r="X215" s="2312">
        <f t="shared" si="384"/>
        <v>13.037593397871005</v>
      </c>
      <c r="Y215" s="2313">
        <f t="shared" si="384"/>
        <v>14.645457681086448</v>
      </c>
      <c r="Z215" s="1674">
        <f t="shared" si="385"/>
        <v>0.18950873823820455</v>
      </c>
      <c r="AA215" s="2045">
        <f>(Y215/Q215)^(1/9)-1</f>
        <v>1.9469369875628084E-2</v>
      </c>
    </row>
    <row r="216" spans="2:97" x14ac:dyDescent="0.2">
      <c r="B216" s="1639"/>
      <c r="C216" s="1629" t="s">
        <v>38</v>
      </c>
      <c r="D216" s="2129">
        <v>0</v>
      </c>
      <c r="E216" s="1650">
        <f t="shared" si="381"/>
        <v>0</v>
      </c>
      <c r="F216" s="2129">
        <v>0</v>
      </c>
      <c r="G216" s="2129">
        <v>0</v>
      </c>
      <c r="H216" s="2129">
        <v>0</v>
      </c>
      <c r="I216" s="1650">
        <f t="shared" si="382"/>
        <v>2.5299999999999997E-3</v>
      </c>
      <c r="J216" s="1650">
        <f t="shared" si="383"/>
        <v>5.0599999999999994E-3</v>
      </c>
      <c r="K216" s="2129">
        <v>7.5899999999999995E-3</v>
      </c>
      <c r="L216" s="1650">
        <f>H59</f>
        <v>1.6500000000000001E-2</v>
      </c>
      <c r="M216" s="1674"/>
      <c r="N216" s="2045"/>
      <c r="Q216" s="2312">
        <f t="shared" si="384"/>
        <v>0</v>
      </c>
      <c r="R216" s="2312">
        <f t="shared" si="384"/>
        <v>0</v>
      </c>
      <c r="S216" s="2312">
        <f t="shared" si="384"/>
        <v>0</v>
      </c>
      <c r="T216" s="2312">
        <f t="shared" si="384"/>
        <v>0</v>
      </c>
      <c r="U216" s="2312">
        <f t="shared" si="384"/>
        <v>0</v>
      </c>
      <c r="V216" s="2312">
        <f t="shared" si="384"/>
        <v>0.11234309599277947</v>
      </c>
      <c r="W216" s="2312">
        <f t="shared" si="384"/>
        <v>0.2207602021535201</v>
      </c>
      <c r="X216" s="2312">
        <f t="shared" si="384"/>
        <v>0.32595057429785668</v>
      </c>
      <c r="Y216" s="2313">
        <f t="shared" si="384"/>
        <v>0.69873197086245331</v>
      </c>
      <c r="Z216" s="1674" t="str">
        <f>IFERROR((Y216-Q216)/Q216,"")</f>
        <v/>
      </c>
      <c r="AA216" s="2045"/>
      <c r="CK216" s="1287" t="s">
        <v>1067</v>
      </c>
      <c r="CL216" s="1287" t="s">
        <v>1068</v>
      </c>
      <c r="CM216" s="1287" t="s">
        <v>1069</v>
      </c>
      <c r="CN216" s="1287" t="s">
        <v>1070</v>
      </c>
      <c r="CO216" s="1287" t="s">
        <v>1071</v>
      </c>
      <c r="CP216" s="1287" t="s">
        <v>1072</v>
      </c>
      <c r="CQ216" s="1287" t="s">
        <v>1073</v>
      </c>
      <c r="CR216" s="1287" t="s">
        <v>876</v>
      </c>
      <c r="CS216" s="1287" t="s">
        <v>958</v>
      </c>
    </row>
    <row r="217" spans="2:97" x14ac:dyDescent="0.2">
      <c r="B217" s="1639"/>
      <c r="C217" s="1629" t="s">
        <v>117</v>
      </c>
      <c r="D217" s="1656">
        <f>SUM(D214:D216)</f>
        <v>2.5660935174409421</v>
      </c>
      <c r="E217" s="1656">
        <f t="shared" ref="E217" si="386">SUM(E214:E216)</f>
        <v>2.6285486006549705</v>
      </c>
      <c r="F217" s="1656">
        <f t="shared" ref="F217" si="387">SUM(F214:F216)</f>
        <v>2.6910036838689999</v>
      </c>
      <c r="G217" s="1656">
        <f t="shared" ref="G217" si="388">SUM(G214:G216)</f>
        <v>2.8488899533138201</v>
      </c>
      <c r="H217" s="1656">
        <f t="shared" ref="H217" si="389">SUM(H214:H216)</f>
        <v>2.6499024886921587</v>
      </c>
      <c r="I217" s="1656">
        <f t="shared" ref="I217" si="390">SUM(I214:I216)</f>
        <v>2.5967008036401649</v>
      </c>
      <c r="J217" s="1656">
        <f t="shared" ref="J217" si="391">SUM(J214:J216)</f>
        <v>2.5434991185881706</v>
      </c>
      <c r="K217" s="1656">
        <f t="shared" ref="K217" si="392">SUM(K214:K216)</f>
        <v>2.4902974335361767</v>
      </c>
      <c r="L217" s="1656">
        <f>SUM(L214:L216)</f>
        <v>2.5197078934223041</v>
      </c>
      <c r="M217" s="1674">
        <f t="shared" si="340"/>
        <v>-1.8076357585321536E-2</v>
      </c>
      <c r="N217" s="2045">
        <f t="shared" si="341"/>
        <v>-2.0248062935241951E-3</v>
      </c>
      <c r="Q217" s="2314">
        <f>SUM(Q214:Q216)</f>
        <v>124.40129296231598</v>
      </c>
      <c r="R217" s="2314">
        <f t="shared" ref="R217" si="393">SUM(R214:R216)</f>
        <v>125.07296663618231</v>
      </c>
      <c r="S217" s="2314">
        <f t="shared" ref="S217" si="394">SUM(S214:S216)</f>
        <v>125.30502296762029</v>
      </c>
      <c r="T217" s="2314">
        <f t="shared" ref="T217" si="395">SUM(T214:T216)</f>
        <v>130.29082012956226</v>
      </c>
      <c r="U217" s="2314">
        <f t="shared" ref="U217" si="396">SUM(U214:U216)</f>
        <v>119.51318947349341</v>
      </c>
      <c r="V217" s="2314">
        <f t="shared" ref="V217" si="397">SUM(V214:V216)</f>
        <v>115.30490420864612</v>
      </c>
      <c r="W217" s="2314">
        <f t="shared" ref="W217" si="398">SUM(W214:W216)</f>
        <v>110.96904735115113</v>
      </c>
      <c r="X217" s="2314">
        <f t="shared" ref="X217" si="399">SUM(X214:X216)</f>
        <v>106.9451750505396</v>
      </c>
      <c r="Y217" s="2314">
        <f t="shared" ref="Y217" si="400">SUM(Y214:Y216)</f>
        <v>106.70305832537254</v>
      </c>
      <c r="Z217" s="1674">
        <f t="shared" si="385"/>
        <v>-0.14226728851045498</v>
      </c>
      <c r="AA217" s="2045">
        <f>(Y217/Q217)^(1/9)-1</f>
        <v>-1.6906864375148878E-2</v>
      </c>
      <c r="CJ217" s="1629" t="s">
        <v>1427</v>
      </c>
      <c r="CK217" s="2233">
        <v>2316.3000000000002</v>
      </c>
      <c r="CL217" s="2233">
        <v>2300</v>
      </c>
      <c r="CM217" s="2233">
        <v>2350.8000000000002</v>
      </c>
      <c r="CN217" s="2233">
        <v>2224.9</v>
      </c>
      <c r="CO217" s="2233">
        <v>2123.6999999999998</v>
      </c>
      <c r="CP217" s="2233">
        <v>2075</v>
      </c>
      <c r="CQ217" s="2233">
        <v>1934.3</v>
      </c>
      <c r="CR217" s="2233">
        <v>1851.6</v>
      </c>
      <c r="CS217" s="2233">
        <v>1907.8</v>
      </c>
    </row>
    <row r="218" spans="2:97" x14ac:dyDescent="0.2">
      <c r="B218" s="1640"/>
      <c r="C218" s="1634" t="s">
        <v>116</v>
      </c>
      <c r="D218" s="1653">
        <f>SUM(D215:D216)/D217</f>
        <v>9.897156035789785E-2</v>
      </c>
      <c r="E218" s="1653">
        <f t="shared" ref="E218:L218" si="401">SUM(E215:E216)/E217</f>
        <v>0.10121606223060861</v>
      </c>
      <c r="F218" s="1653">
        <f t="shared" si="401"/>
        <v>0.10335637951815917</v>
      </c>
      <c r="G218" s="1653">
        <f t="shared" si="401"/>
        <v>0.1028948474871869</v>
      </c>
      <c r="H218" s="1653">
        <f t="shared" si="401"/>
        <v>0.11031613474361315</v>
      </c>
      <c r="I218" s="1653">
        <f t="shared" si="401"/>
        <v>0.11499643391017933</v>
      </c>
      <c r="J218" s="1653">
        <f t="shared" si="401"/>
        <v>0.11987252618741664</v>
      </c>
      <c r="K218" s="1653">
        <f t="shared" si="401"/>
        <v>0.12495696010459179</v>
      </c>
      <c r="L218" s="1653">
        <f t="shared" si="401"/>
        <v>0.14380271655531601</v>
      </c>
      <c r="M218" s="1666">
        <f>L218-D218</f>
        <v>4.4831156197418162E-2</v>
      </c>
      <c r="N218" s="2239">
        <f t="shared" si="341"/>
        <v>4.2385878483313988E-2</v>
      </c>
      <c r="O218" s="1633"/>
      <c r="P218" s="1633"/>
      <c r="Q218" s="2315"/>
      <c r="R218" s="2315"/>
      <c r="S218" s="2315"/>
      <c r="T218" s="2315"/>
      <c r="U218" s="2315"/>
      <c r="V218" s="2315"/>
      <c r="W218" s="2315"/>
      <c r="X218" s="2315"/>
      <c r="Y218" s="2315"/>
      <c r="Z218" s="1640"/>
      <c r="AA218" s="2047"/>
    </row>
    <row r="219" spans="2:97" x14ac:dyDescent="0.2">
      <c r="B219" s="2297" t="s">
        <v>30</v>
      </c>
      <c r="C219" s="1631" t="s">
        <v>113</v>
      </c>
      <c r="D219" s="2129">
        <v>0.51842943930790297</v>
      </c>
      <c r="E219" s="1650">
        <f t="shared" ref="E219:E220" si="402">D219+(F219-D219)/($F$72-$D$72)</f>
        <v>0.52343922420434663</v>
      </c>
      <c r="F219" s="2129">
        <v>0.52844900910079018</v>
      </c>
      <c r="G219" s="2129">
        <v>0.55699148877092075</v>
      </c>
      <c r="H219" s="2129">
        <v>0.51423640355141531</v>
      </c>
      <c r="I219" s="1650">
        <f t="shared" ref="I219:I220" si="403">H219+($K219-$H219)/($K$72-$H$72)</f>
        <v>0.49823274060214739</v>
      </c>
      <c r="J219" s="1650">
        <f t="shared" ref="J219:J220" si="404">I219+($K219-$H219)/($K$72-$H$72)</f>
        <v>0.48222907765287948</v>
      </c>
      <c r="K219" s="2129">
        <v>0.46622541470361162</v>
      </c>
      <c r="L219" s="1650">
        <f>I57</f>
        <v>0.46612295505867557</v>
      </c>
      <c r="M219" s="259">
        <f t="shared" si="340"/>
        <v>-0.10089412422075399</v>
      </c>
      <c r="N219" s="2044">
        <f t="shared" si="341"/>
        <v>-1.1747616073042977E-2</v>
      </c>
      <c r="O219" s="1632"/>
      <c r="Q219" s="2316">
        <f t="shared" ref="Q219:Y220" si="405">D219*1000000000/Q$122</f>
        <v>25.1328691340712</v>
      </c>
      <c r="R219" s="2316">
        <f t="shared" si="405"/>
        <v>24.906557409159696</v>
      </c>
      <c r="S219" s="2316">
        <f t="shared" si="405"/>
        <v>24.606921060541438</v>
      </c>
      <c r="T219" s="2316">
        <f t="shared" si="405"/>
        <v>25.473387553188893</v>
      </c>
      <c r="U219" s="2316">
        <f t="shared" si="405"/>
        <v>23.192563875110856</v>
      </c>
      <c r="V219" s="2316">
        <f t="shared" si="405"/>
        <v>22.123718815894328</v>
      </c>
      <c r="W219" s="2316">
        <f t="shared" si="405"/>
        <v>21.038930566591944</v>
      </c>
      <c r="X219" s="2316">
        <f t="shared" si="405"/>
        <v>20.021929074426694</v>
      </c>
      <c r="Y219" s="2317">
        <f t="shared" si="405"/>
        <v>19.739091578932069</v>
      </c>
      <c r="Z219" s="1674">
        <f t="shared" si="385"/>
        <v>-0.21461049776553739</v>
      </c>
      <c r="AA219" s="2044">
        <f>(Y219/Q219)^(1/9)-1</f>
        <v>-2.6484685160183874E-2</v>
      </c>
    </row>
    <row r="220" spans="2:97" x14ac:dyDescent="0.2">
      <c r="B220" s="1639"/>
      <c r="C220" s="1629" t="s">
        <v>114</v>
      </c>
      <c r="D220" s="2129">
        <v>0.73755934441585713</v>
      </c>
      <c r="E220" s="1650">
        <f t="shared" si="402"/>
        <v>0.77547985219072746</v>
      </c>
      <c r="F220" s="2129">
        <v>0.81340035996559779</v>
      </c>
      <c r="G220" s="2129">
        <v>0.72258869614465482</v>
      </c>
      <c r="H220" s="2129">
        <v>0.70153719146501725</v>
      </c>
      <c r="I220" s="1650">
        <f t="shared" si="403"/>
        <v>0.65739314638259005</v>
      </c>
      <c r="J220" s="1650">
        <f t="shared" si="404"/>
        <v>0.61324910130016286</v>
      </c>
      <c r="K220" s="2129">
        <v>0.56910505621773577</v>
      </c>
      <c r="L220" s="1650">
        <f>I58</f>
        <v>0.6020176590864128</v>
      </c>
      <c r="M220" s="1674">
        <f t="shared" si="340"/>
        <v>-0.18377054857435585</v>
      </c>
      <c r="N220" s="2045">
        <f t="shared" si="341"/>
        <v>-2.2309574117031272E-2</v>
      </c>
      <c r="O220" s="77"/>
      <c r="Q220" s="2312">
        <f t="shared" si="405"/>
        <v>35.756037517008544</v>
      </c>
      <c r="R220" s="2312">
        <f t="shared" si="405"/>
        <v>36.899285657459217</v>
      </c>
      <c r="S220" s="2312">
        <f t="shared" si="405"/>
        <v>37.875515146385624</v>
      </c>
      <c r="T220" s="2312">
        <f t="shared" si="405"/>
        <v>33.046792041765968</v>
      </c>
      <c r="U220" s="2312">
        <f t="shared" si="405"/>
        <v>31.640012281222141</v>
      </c>
      <c r="V220" s="2312">
        <f t="shared" si="405"/>
        <v>29.191138873144133</v>
      </c>
      <c r="W220" s="2312">
        <f t="shared" si="405"/>
        <v>26.755137465116306</v>
      </c>
      <c r="X220" s="2312">
        <f t="shared" si="405"/>
        <v>24.440068499339265</v>
      </c>
      <c r="Y220" s="2313">
        <f t="shared" si="405"/>
        <v>25.493877904693925</v>
      </c>
      <c r="Z220" s="1674">
        <f t="shared" si="385"/>
        <v>-0.28700494587614983</v>
      </c>
      <c r="AA220" s="2045">
        <f>(Y220/Q220)^(1/9)-1</f>
        <v>-3.6889140618879934E-2</v>
      </c>
    </row>
    <row r="221" spans="2:97" x14ac:dyDescent="0.2">
      <c r="B221" s="1639"/>
      <c r="C221" s="1629" t="s">
        <v>117</v>
      </c>
      <c r="D221" s="1657">
        <f t="shared" ref="D221:L221" si="406">SUM(D219:D220)</f>
        <v>1.25598878372376</v>
      </c>
      <c r="E221" s="1657">
        <f t="shared" si="406"/>
        <v>1.298919076395074</v>
      </c>
      <c r="F221" s="1657">
        <f t="shared" si="406"/>
        <v>1.341849369066388</v>
      </c>
      <c r="G221" s="1657">
        <f t="shared" si="406"/>
        <v>1.2795801849155755</v>
      </c>
      <c r="H221" s="1657">
        <f t="shared" si="406"/>
        <v>1.2157735950164326</v>
      </c>
      <c r="I221" s="1657">
        <f t="shared" si="406"/>
        <v>1.1556258869847373</v>
      </c>
      <c r="J221" s="1657">
        <f t="shared" si="406"/>
        <v>1.0954781789530423</v>
      </c>
      <c r="K221" s="1657">
        <f t="shared" si="406"/>
        <v>1.0353304709213473</v>
      </c>
      <c r="L221" s="1657">
        <f t="shared" si="406"/>
        <v>1.0681406141450884</v>
      </c>
      <c r="M221" s="1674">
        <f t="shared" si="340"/>
        <v>-0.1495619801808569</v>
      </c>
      <c r="N221" s="2045">
        <f t="shared" si="341"/>
        <v>-1.7839376307243526E-2</v>
      </c>
      <c r="Q221" s="2314">
        <f>SUM(Q218:Q220)</f>
        <v>60.888906651079743</v>
      </c>
      <c r="R221" s="2314">
        <f t="shared" ref="R221" si="407">SUM(R218:R220)</f>
        <v>61.805843066618912</v>
      </c>
      <c r="S221" s="2314">
        <f t="shared" ref="S221" si="408">SUM(S218:S220)</f>
        <v>62.482436206927062</v>
      </c>
      <c r="T221" s="2314">
        <f t="shared" ref="T221" si="409">SUM(T218:T220)</f>
        <v>58.520179594954861</v>
      </c>
      <c r="U221" s="2314">
        <f t="shared" ref="U221" si="410">SUM(U218:U220)</f>
        <v>54.832576156332998</v>
      </c>
      <c r="V221" s="2314">
        <f t="shared" ref="V221" si="411">SUM(V218:V220)</f>
        <v>51.314857689038462</v>
      </c>
      <c r="W221" s="2314">
        <f t="shared" ref="W221" si="412">SUM(W218:W220)</f>
        <v>47.79406803170825</v>
      </c>
      <c r="X221" s="2314">
        <f t="shared" ref="X221" si="413">SUM(X218:X220)</f>
        <v>44.461997573765956</v>
      </c>
      <c r="Y221" s="2314">
        <f t="shared" ref="Y221" si="414">SUM(Y218:Y220)</f>
        <v>45.232969483625993</v>
      </c>
      <c r="Z221" s="1674">
        <f t="shared" si="385"/>
        <v>-0.25712298066327854</v>
      </c>
      <c r="AA221" s="2045">
        <f>(Y221/Q221)^(1/9)-1</f>
        <v>-3.2485603527576123E-2</v>
      </c>
    </row>
    <row r="222" spans="2:97" x14ac:dyDescent="0.2">
      <c r="B222" s="1640"/>
      <c r="C222" s="1634" t="s">
        <v>116</v>
      </c>
      <c r="D222" s="1653">
        <f t="shared" ref="D222:L222" si="415">SUM(D220:D220)/D221</f>
        <v>0.58723402149272275</v>
      </c>
      <c r="E222" s="1653">
        <f t="shared" si="415"/>
        <v>0.59701937271022154</v>
      </c>
      <c r="F222" s="1653">
        <f t="shared" si="415"/>
        <v>0.60617859106759009</v>
      </c>
      <c r="G222" s="1653">
        <f t="shared" si="415"/>
        <v>0.56470763197409934</v>
      </c>
      <c r="H222" s="1653">
        <f t="shared" si="415"/>
        <v>0.57702946859570114</v>
      </c>
      <c r="I222" s="1653">
        <f t="shared" si="415"/>
        <v>0.56886329199310537</v>
      </c>
      <c r="J222" s="1653">
        <f t="shared" si="415"/>
        <v>0.55980038040214564</v>
      </c>
      <c r="K222" s="1653">
        <f t="shared" si="415"/>
        <v>0.5496844458864284</v>
      </c>
      <c r="L222" s="1653">
        <f t="shared" si="415"/>
        <v>0.56361274078905033</v>
      </c>
      <c r="M222" s="1666">
        <f>L222-D222</f>
        <v>-2.362128070367242E-2</v>
      </c>
      <c r="N222" s="2239">
        <f t="shared" si="341"/>
        <v>-4.5513918008447396E-3</v>
      </c>
      <c r="O222" s="1633"/>
      <c r="P222" s="1633"/>
      <c r="Q222" s="2315"/>
      <c r="R222" s="2315"/>
      <c r="S222" s="2315"/>
      <c r="T222" s="2315"/>
      <c r="U222" s="2315"/>
      <c r="V222" s="2315"/>
      <c r="W222" s="2315"/>
      <c r="X222" s="2315"/>
      <c r="Y222" s="2315"/>
      <c r="Z222" s="1640"/>
      <c r="AA222" s="2047"/>
    </row>
    <row r="223" spans="2:97" x14ac:dyDescent="0.2">
      <c r="B223" s="2297" t="s">
        <v>27</v>
      </c>
      <c r="C223" s="1631" t="s">
        <v>113</v>
      </c>
      <c r="D223" s="2129">
        <v>0.65329596826240444</v>
      </c>
      <c r="E223" s="1650">
        <f t="shared" ref="E223:E225" si="416">D223+(F223-D223)/($F$72-$D$72)</f>
        <v>0.66521318650969585</v>
      </c>
      <c r="F223" s="2129">
        <v>0.67713040475698727</v>
      </c>
      <c r="G223" s="2129">
        <v>0.67903241461591846</v>
      </c>
      <c r="H223" s="2129">
        <v>0.59635415775045908</v>
      </c>
      <c r="I223" s="1650">
        <f t="shared" ref="I223:I225" si="417">H223+($K223-$H223)/($K$72-$H$72)</f>
        <v>0.8926802740843558</v>
      </c>
      <c r="J223" s="1650">
        <f t="shared" ref="J223:J225" si="418">I223+($K223-$H223)/($K$72-$H$72)</f>
        <v>1.1890063904182524</v>
      </c>
      <c r="K223" s="2129">
        <v>1.4853325067521492</v>
      </c>
      <c r="L223" s="1650">
        <f>J57</f>
        <v>1.5749447480184224</v>
      </c>
      <c r="M223" s="259">
        <f t="shared" si="340"/>
        <v>1.4107675916129736</v>
      </c>
      <c r="N223" s="2044">
        <f t="shared" si="341"/>
        <v>0.10271099513690074</v>
      </c>
      <c r="O223" s="1632"/>
      <c r="Q223" s="2316">
        <f t="shared" ref="Q223:Y225" si="419">D223*1000000000/Q$122</f>
        <v>31.671044950832226</v>
      </c>
      <c r="R223" s="2316">
        <f t="shared" si="419"/>
        <v>31.65251982084115</v>
      </c>
      <c r="S223" s="2316">
        <f t="shared" si="419"/>
        <v>31.530183859933633</v>
      </c>
      <c r="T223" s="2316">
        <f t="shared" si="419"/>
        <v>31.054793847672137</v>
      </c>
      <c r="U223" s="2316">
        <f t="shared" si="419"/>
        <v>26.896154765193678</v>
      </c>
      <c r="V223" s="2316">
        <f t="shared" si="419"/>
        <v>39.638919257833791</v>
      </c>
      <c r="W223" s="2316">
        <f t="shared" si="419"/>
        <v>51.874563460585122</v>
      </c>
      <c r="X223" s="2316">
        <f t="shared" si="419"/>
        <v>63.787217865499109</v>
      </c>
      <c r="Y223" s="2317">
        <f t="shared" si="419"/>
        <v>66.694802895901958</v>
      </c>
      <c r="Z223" s="1674">
        <f t="shared" ref="Z223:Z226" si="420">(Y223-Q223)/Q223</f>
        <v>1.1058605107423021</v>
      </c>
      <c r="AA223" s="2044">
        <f>(Y223/Q223)^(1/9)-1</f>
        <v>8.6267090338100427E-2</v>
      </c>
    </row>
    <row r="224" spans="2:97" x14ac:dyDescent="0.2">
      <c r="B224" s="1639"/>
      <c r="C224" s="1629" t="s">
        <v>114</v>
      </c>
      <c r="D224" s="2129">
        <v>4.7240840852922711E-2</v>
      </c>
      <c r="E224" s="1650">
        <f t="shared" si="416"/>
        <v>0.15474369908096058</v>
      </c>
      <c r="F224" s="2129">
        <v>0.26224655730899848</v>
      </c>
      <c r="G224" s="2129">
        <v>0.10885544162259858</v>
      </c>
      <c r="H224" s="2129">
        <v>0.1334430179987762</v>
      </c>
      <c r="I224" s="1650">
        <f t="shared" si="417"/>
        <v>0.10619530209777836</v>
      </c>
      <c r="J224" s="1650">
        <f t="shared" si="418"/>
        <v>7.8947586196780523E-2</v>
      </c>
      <c r="K224" s="2129">
        <v>5.1699870295782692E-2</v>
      </c>
      <c r="L224" s="1650">
        <f>J58</f>
        <v>9.0363344241901372E-2</v>
      </c>
      <c r="M224" s="1674">
        <f t="shared" si="340"/>
        <v>0.91282251988769891</v>
      </c>
      <c r="N224" s="2045">
        <f t="shared" si="341"/>
        <v>7.4724591156663855E-2</v>
      </c>
      <c r="O224" s="77"/>
      <c r="Q224" s="2312">
        <f t="shared" si="419"/>
        <v>2.2901821943696312</v>
      </c>
      <c r="R224" s="2312">
        <f t="shared" si="419"/>
        <v>7.3630951725563714</v>
      </c>
      <c r="S224" s="2312">
        <f t="shared" si="419"/>
        <v>12.211358566234905</v>
      </c>
      <c r="T224" s="2312">
        <f t="shared" si="419"/>
        <v>4.9783828076885159</v>
      </c>
      <c r="U224" s="2312">
        <f t="shared" si="419"/>
        <v>6.0184103988949627</v>
      </c>
      <c r="V224" s="2312">
        <f t="shared" si="419"/>
        <v>4.7155371610881156</v>
      </c>
      <c r="W224" s="2312">
        <f t="shared" si="419"/>
        <v>3.4443646419631864</v>
      </c>
      <c r="X224" s="2312">
        <f t="shared" si="419"/>
        <v>2.2202374722048845</v>
      </c>
      <c r="Y224" s="2313">
        <f t="shared" si="419"/>
        <v>3.8266519767191558</v>
      </c>
      <c r="Z224" s="1674">
        <f t="shared" si="420"/>
        <v>0.67089412629567458</v>
      </c>
      <c r="AA224" s="2045">
        <f>(Y224/Q224)^(1/9)-1</f>
        <v>5.8698026680705562E-2</v>
      </c>
    </row>
    <row r="225" spans="2:27" x14ac:dyDescent="0.2">
      <c r="B225" s="1639"/>
      <c r="C225" s="1629" t="s">
        <v>38</v>
      </c>
      <c r="D225" s="2129">
        <v>0.11463039074596618</v>
      </c>
      <c r="E225" s="1650">
        <f t="shared" si="416"/>
        <v>0.12132316912858225</v>
      </c>
      <c r="F225" s="2129">
        <v>0.12801594751119832</v>
      </c>
      <c r="G225" s="2129">
        <v>0.12919493046140107</v>
      </c>
      <c r="H225" s="2129">
        <v>0.17203324132758438</v>
      </c>
      <c r="I225" s="1650">
        <f t="shared" si="417"/>
        <v>0.29537852758395988</v>
      </c>
      <c r="J225" s="1650">
        <f t="shared" si="418"/>
        <v>0.41872381384033541</v>
      </c>
      <c r="K225" s="2129">
        <v>0.54206910009671094</v>
      </c>
      <c r="L225" s="1650">
        <f>J59</f>
        <v>0.47715840501184315</v>
      </c>
      <c r="M225" s="1674">
        <f t="shared" si="340"/>
        <v>3.1625820334965078</v>
      </c>
      <c r="N225" s="2045">
        <f t="shared" si="341"/>
        <v>0.17170447741684947</v>
      </c>
      <c r="Q225" s="2312">
        <f t="shared" si="419"/>
        <v>5.5571508694643228</v>
      </c>
      <c r="R225" s="2312">
        <f t="shared" si="419"/>
        <v>5.7728621341960418</v>
      </c>
      <c r="S225" s="2312">
        <f t="shared" si="419"/>
        <v>5.9609882139028931</v>
      </c>
      <c r="T225" s="2312">
        <f t="shared" si="419"/>
        <v>5.9085867556301084</v>
      </c>
      <c r="U225" s="2312">
        <f t="shared" si="419"/>
        <v>7.7588671486059759</v>
      </c>
      <c r="V225" s="2312">
        <f t="shared" si="419"/>
        <v>13.116102086391569</v>
      </c>
      <c r="W225" s="2312">
        <f t="shared" si="419"/>
        <v>18.268291262823197</v>
      </c>
      <c r="X225" s="2312">
        <f t="shared" si="419"/>
        <v>23.279016401270791</v>
      </c>
      <c r="Y225" s="2313">
        <f t="shared" si="419"/>
        <v>20.20641410590969</v>
      </c>
      <c r="Z225" s="1674">
        <f>IFERROR((Y225-Q225)/Q225,"")</f>
        <v>2.6361104063128433</v>
      </c>
      <c r="AA225" s="2045">
        <f>(Y225/Q225)^(1/9)-1</f>
        <v>0.15423172438913646</v>
      </c>
    </row>
    <row r="226" spans="2:27" x14ac:dyDescent="0.2">
      <c r="B226" s="1639"/>
      <c r="C226" s="1629" t="s">
        <v>117</v>
      </c>
      <c r="D226" s="1657">
        <f>SUM(D223:D225)</f>
        <v>0.81516719986129327</v>
      </c>
      <c r="E226" s="1657">
        <f t="shared" ref="E226" si="421">SUM(E223:E225)</f>
        <v>0.9412800547192387</v>
      </c>
      <c r="F226" s="1657">
        <f t="shared" ref="F226" si="422">SUM(F223:F225)</f>
        <v>1.0673929095771841</v>
      </c>
      <c r="G226" s="1657">
        <f t="shared" ref="G226" si="423">SUM(G223:G225)</f>
        <v>0.91708278669991805</v>
      </c>
      <c r="H226" s="1657">
        <f t="shared" ref="H226" si="424">SUM(H223:H225)</f>
        <v>0.90183041707681966</v>
      </c>
      <c r="I226" s="1657">
        <f t="shared" ref="I226" si="425">SUM(I223:I225)</f>
        <v>1.294254103766094</v>
      </c>
      <c r="J226" s="1657">
        <f t="shared" ref="J226" si="426">SUM(J223:J225)</f>
        <v>1.6866777904553683</v>
      </c>
      <c r="K226" s="1657">
        <f t="shared" ref="K226" si="427">SUM(K223:K225)</f>
        <v>2.079101477144643</v>
      </c>
      <c r="L226" s="1657">
        <f>SUM(L223:L225)</f>
        <v>2.1424664972721672</v>
      </c>
      <c r="M226" s="1674">
        <f t="shared" si="340"/>
        <v>1.6282540534466103</v>
      </c>
      <c r="N226" s="2045">
        <f t="shared" si="341"/>
        <v>0.11334485056012555</v>
      </c>
      <c r="Q226" s="2314">
        <f>SUM(Q223:Q225)</f>
        <v>39.518378014666183</v>
      </c>
      <c r="R226" s="2314">
        <f t="shared" ref="R226" si="428">SUM(R223:R225)</f>
        <v>44.788477127593559</v>
      </c>
      <c r="S226" s="2314">
        <f t="shared" ref="S226" si="429">SUM(S223:S225)</f>
        <v>49.70253064007143</v>
      </c>
      <c r="T226" s="2314">
        <f t="shared" ref="T226" si="430">SUM(T223:T225)</f>
        <v>41.941763410990767</v>
      </c>
      <c r="U226" s="2314">
        <f t="shared" ref="U226" si="431">SUM(U223:U225)</f>
        <v>40.673432312694615</v>
      </c>
      <c r="V226" s="2314">
        <f t="shared" ref="V226" si="432">SUM(V223:V225)</f>
        <v>57.470558505313477</v>
      </c>
      <c r="W226" s="2314">
        <f t="shared" ref="W226" si="433">SUM(W223:W225)</f>
        <v>73.58721936537151</v>
      </c>
      <c r="X226" s="2314">
        <f t="shared" ref="X226" si="434">SUM(X223:X225)</f>
        <v>89.286471738974782</v>
      </c>
      <c r="Y226" s="2314">
        <f t="shared" ref="Y226" si="435">SUM(Y223:Y225)</f>
        <v>90.727868978530807</v>
      </c>
      <c r="Z226" s="1674">
        <f t="shared" si="420"/>
        <v>1.2958398987139503</v>
      </c>
      <c r="AA226" s="2045">
        <f>(Y226/Q226)^(1/9)-1</f>
        <v>9.6742371024159279E-2</v>
      </c>
    </row>
    <row r="227" spans="2:27" x14ac:dyDescent="0.2">
      <c r="B227" s="1640"/>
      <c r="C227" s="1634" t="s">
        <v>116</v>
      </c>
      <c r="D227" s="1653">
        <f>SUM(D224:D225)/D226</f>
        <v>0.19857426994907607</v>
      </c>
      <c r="E227" s="1653">
        <f t="shared" ref="E227:L227" si="436">SUM(E224:E225)/E226</f>
        <v>0.29328876865651526</v>
      </c>
      <c r="F227" s="1653">
        <f t="shared" si="436"/>
        <v>0.36562216342132875</v>
      </c>
      <c r="G227" s="1653">
        <f t="shared" si="436"/>
        <v>0.25957348184520335</v>
      </c>
      <c r="H227" s="1653">
        <f t="shared" si="436"/>
        <v>0.33872915965346012</v>
      </c>
      <c r="I227" s="1653">
        <f t="shared" si="436"/>
        <v>0.31027433369785423</v>
      </c>
      <c r="J227" s="1653">
        <f t="shared" si="436"/>
        <v>0.29506014892314136</v>
      </c>
      <c r="K227" s="1653">
        <f t="shared" si="436"/>
        <v>0.28558922059348102</v>
      </c>
      <c r="L227" s="1653">
        <f t="shared" si="436"/>
        <v>0.26489177309251977</v>
      </c>
      <c r="M227" s="1666">
        <f>L227-D227</f>
        <v>6.6317503143443701E-2</v>
      </c>
      <c r="N227" s="2239">
        <f t="shared" si="341"/>
        <v>3.2535649444854542E-2</v>
      </c>
      <c r="O227" s="1633"/>
      <c r="P227" s="1633"/>
      <c r="Q227" s="2315"/>
      <c r="R227" s="2315"/>
      <c r="S227" s="2315"/>
      <c r="T227" s="2315"/>
      <c r="U227" s="2315"/>
      <c r="V227" s="2315"/>
      <c r="W227" s="2315"/>
      <c r="X227" s="2315"/>
      <c r="Y227" s="2315"/>
      <c r="Z227" s="1640"/>
      <c r="AA227" s="2047"/>
    </row>
    <row r="228" spans="2:27" x14ac:dyDescent="0.2">
      <c r="B228" s="2297" t="s">
        <v>35</v>
      </c>
      <c r="C228" s="1631" t="s">
        <v>113</v>
      </c>
      <c r="D228" s="2546">
        <v>0.47125014153865757</v>
      </c>
      <c r="E228" s="1649">
        <f t="shared" ref="E228:E229" si="437">D228+(F228-D228)/($F$72-$D$72)</f>
        <v>0.96614939669896849</v>
      </c>
      <c r="F228" s="2546">
        <v>1.4610486518592793</v>
      </c>
      <c r="G228" s="2546">
        <v>1.3801187596280999</v>
      </c>
      <c r="H228" s="2546">
        <v>1.3821992845503697</v>
      </c>
      <c r="I228" s="1649">
        <f t="shared" ref="I228:I229" si="438">H228+($K228-$H228)/($K$72-$H$72)</f>
        <v>1.7753631657911717</v>
      </c>
      <c r="J228" s="1649">
        <f t="shared" ref="J228:J229" si="439">I228+($K228-$H228)/($K$72-$H$72)</f>
        <v>2.168527047031974</v>
      </c>
      <c r="K228" s="2546">
        <v>2.561690928272776</v>
      </c>
      <c r="L228" s="1649">
        <f>K57</f>
        <v>3.1812451598532512</v>
      </c>
      <c r="M228" s="259">
        <f t="shared" si="340"/>
        <v>5.7506508315653999</v>
      </c>
      <c r="N228" s="2044">
        <f t="shared" si="341"/>
        <v>0.23637301081527329</v>
      </c>
      <c r="O228" s="1632"/>
      <c r="Q228" s="2316">
        <f t="shared" ref="Q228:Y229" si="440">D228*1000000000/Q$122</f>
        <v>22.845670478349053</v>
      </c>
      <c r="R228" s="2316">
        <f t="shared" si="440"/>
        <v>45.971823092328435</v>
      </c>
      <c r="S228" s="2316">
        <f t="shared" si="440"/>
        <v>68.032881551027245</v>
      </c>
      <c r="T228" s="2316">
        <f t="shared" si="440"/>
        <v>63.118199725116447</v>
      </c>
      <c r="U228" s="2316">
        <f t="shared" si="440"/>
        <v>62.338537244109787</v>
      </c>
      <c r="V228" s="2316">
        <f t="shared" si="440"/>
        <v>78.833910891906129</v>
      </c>
      <c r="W228" s="2316">
        <f t="shared" si="440"/>
        <v>94.609578908726206</v>
      </c>
      <c r="X228" s="2316">
        <f t="shared" si="440"/>
        <v>110.01115009803966</v>
      </c>
      <c r="Y228" s="2317">
        <f t="shared" si="440"/>
        <v>134.71743638429712</v>
      </c>
      <c r="Z228" s="1674">
        <f t="shared" ref="Z228:Z234" si="441">(Y228-Q228)/Q228</f>
        <v>4.8968475673309504</v>
      </c>
      <c r="AA228" s="2044">
        <f>(Y228/Q228)^(1/9)-1</f>
        <v>0.21793590428843723</v>
      </c>
    </row>
    <row r="229" spans="2:27" x14ac:dyDescent="0.2">
      <c r="B229" s="1639"/>
      <c r="C229" s="1629" t="s">
        <v>114</v>
      </c>
      <c r="D229" s="2546">
        <v>1.1642736502687154</v>
      </c>
      <c r="E229" s="1649">
        <f t="shared" si="437"/>
        <v>1.1941940096155601</v>
      </c>
      <c r="F229" s="2546">
        <v>1.2241143689624048</v>
      </c>
      <c r="G229" s="2546">
        <v>1.4373824055025262</v>
      </c>
      <c r="H229" s="2546">
        <v>1.5774301835262334</v>
      </c>
      <c r="I229" s="1649">
        <f t="shared" si="438"/>
        <v>2.5601877001630107</v>
      </c>
      <c r="J229" s="1649">
        <f t="shared" si="439"/>
        <v>3.5429452167997879</v>
      </c>
      <c r="K229" s="2546">
        <v>4.5257027334365647</v>
      </c>
      <c r="L229" s="1649">
        <f>K58</f>
        <v>3.8523195392770342</v>
      </c>
      <c r="M229" s="1674">
        <f t="shared" si="340"/>
        <v>2.3087749932225257</v>
      </c>
      <c r="N229" s="2045">
        <f t="shared" si="341"/>
        <v>0.14219644433288936</v>
      </c>
      <c r="O229" s="77"/>
      <c r="Q229" s="2312">
        <f t="shared" si="440"/>
        <v>56.442661372615724</v>
      </c>
      <c r="R229" s="2312">
        <f t="shared" si="440"/>
        <v>56.822760471143084</v>
      </c>
      <c r="S229" s="2312">
        <f t="shared" si="440"/>
        <v>57.000174335433996</v>
      </c>
      <c r="T229" s="2312">
        <f t="shared" si="440"/>
        <v>65.737089014226854</v>
      </c>
      <c r="U229" s="2312">
        <f t="shared" si="440"/>
        <v>71.143641401696556</v>
      </c>
      <c r="V229" s="2312">
        <f t="shared" si="440"/>
        <v>113.68356227626342</v>
      </c>
      <c r="W229" s="2312">
        <f t="shared" si="440"/>
        <v>154.5733798971479</v>
      </c>
      <c r="X229" s="2312">
        <f t="shared" si="440"/>
        <v>194.35512583201952</v>
      </c>
      <c r="Y229" s="2313">
        <f t="shared" si="440"/>
        <v>163.13568630733215</v>
      </c>
      <c r="Z229" s="1674">
        <f t="shared" si="441"/>
        <v>1.8902904707197357</v>
      </c>
      <c r="AA229" s="2045">
        <f>(Y229/Q229)^(1/9)-1</f>
        <v>0.12516372254543096</v>
      </c>
    </row>
    <row r="230" spans="2:27" x14ac:dyDescent="0.2">
      <c r="B230" s="1639"/>
      <c r="C230" s="1629" t="s">
        <v>117</v>
      </c>
      <c r="D230" s="1656">
        <f t="shared" ref="D230:L230" si="442">SUM(D228:D229)</f>
        <v>1.6355237918073731</v>
      </c>
      <c r="E230" s="1656">
        <f t="shared" si="442"/>
        <v>2.1603434063145288</v>
      </c>
      <c r="F230" s="1656">
        <f t="shared" si="442"/>
        <v>2.6851630208216841</v>
      </c>
      <c r="G230" s="1656">
        <f t="shared" si="442"/>
        <v>2.8175011651306261</v>
      </c>
      <c r="H230" s="1656">
        <f t="shared" si="442"/>
        <v>2.9596294680766029</v>
      </c>
      <c r="I230" s="1656">
        <f t="shared" si="442"/>
        <v>4.3355508659541826</v>
      </c>
      <c r="J230" s="1656">
        <f t="shared" si="442"/>
        <v>5.7114722638317623</v>
      </c>
      <c r="K230" s="1656">
        <f t="shared" si="442"/>
        <v>7.0873936617093403</v>
      </c>
      <c r="L230" s="1656">
        <f t="shared" si="442"/>
        <v>7.0335646991302854</v>
      </c>
      <c r="M230" s="1674">
        <f t="shared" si="340"/>
        <v>3.3004967181539335</v>
      </c>
      <c r="N230" s="2045">
        <f t="shared" si="341"/>
        <v>0.17595569001587075</v>
      </c>
      <c r="Q230" s="2314">
        <f>SUM(Q227:Q229)</f>
        <v>79.288331850964781</v>
      </c>
      <c r="R230" s="2314">
        <f t="shared" ref="R230" si="443">SUM(R227:R229)</f>
        <v>102.79458356347152</v>
      </c>
      <c r="S230" s="2314">
        <f t="shared" ref="S230" si="444">SUM(S227:S229)</f>
        <v>125.03305588646124</v>
      </c>
      <c r="T230" s="2314">
        <f t="shared" ref="T230" si="445">SUM(T227:T229)</f>
        <v>128.85528873934331</v>
      </c>
      <c r="U230" s="2314">
        <f t="shared" ref="U230" si="446">SUM(U227:U229)</f>
        <v>133.48217864580636</v>
      </c>
      <c r="V230" s="2314">
        <f t="shared" ref="V230" si="447">SUM(V227:V229)</f>
        <v>192.51747316816954</v>
      </c>
      <c r="W230" s="2314">
        <f t="shared" ref="W230" si="448">SUM(W227:W229)</f>
        <v>249.18295880587411</v>
      </c>
      <c r="X230" s="2314">
        <f t="shared" ref="X230" si="449">SUM(X227:X229)</f>
        <v>304.3662759300592</v>
      </c>
      <c r="Y230" s="2314">
        <f t="shared" ref="Y230" si="450">SUM(Y227:Y229)</f>
        <v>297.85312269162927</v>
      </c>
      <c r="Z230" s="1674">
        <f t="shared" si="441"/>
        <v>2.7565820309032647</v>
      </c>
      <c r="AA230" s="2045">
        <f>(Y230/Q230)^(1/9)-1</f>
        <v>0.15841954183243145</v>
      </c>
    </row>
    <row r="231" spans="2:27" x14ac:dyDescent="0.2">
      <c r="B231" s="1640"/>
      <c r="C231" s="1634" t="s">
        <v>116</v>
      </c>
      <c r="D231" s="1653">
        <f t="shared" ref="D231:L231" si="451">SUM(D229:D229)/D230</f>
        <v>0.71186592093662426</v>
      </c>
      <c r="E231" s="1653">
        <f t="shared" si="451"/>
        <v>0.55277971369043299</v>
      </c>
      <c r="F231" s="1653">
        <f t="shared" si="451"/>
        <v>0.45588083832162068</v>
      </c>
      <c r="G231" s="1653">
        <f t="shared" si="451"/>
        <v>0.51016213348606931</v>
      </c>
      <c r="H231" s="1653">
        <f t="shared" si="451"/>
        <v>0.53298232111176069</v>
      </c>
      <c r="I231" s="1653">
        <f t="shared" si="451"/>
        <v>0.59051035942570029</v>
      </c>
      <c r="J231" s="1653">
        <f t="shared" si="451"/>
        <v>0.62032083027623175</v>
      </c>
      <c r="K231" s="1653">
        <f t="shared" si="451"/>
        <v>0.63855670355765926</v>
      </c>
      <c r="L231" s="1653">
        <f t="shared" si="451"/>
        <v>0.54770514014797944</v>
      </c>
      <c r="M231" s="1666">
        <f>L231-D231</f>
        <v>-0.16416078078864482</v>
      </c>
      <c r="N231" s="2239">
        <f t="shared" si="341"/>
        <v>-2.8707923240309907E-2</v>
      </c>
      <c r="O231" s="1633"/>
      <c r="P231" s="1633"/>
      <c r="Q231" s="2315"/>
      <c r="R231" s="2315"/>
      <c r="S231" s="2315"/>
      <c r="T231" s="2315"/>
      <c r="U231" s="2315"/>
      <c r="V231" s="2315"/>
      <c r="W231" s="2315"/>
      <c r="X231" s="2315"/>
      <c r="Y231" s="2315"/>
      <c r="Z231" s="1640"/>
      <c r="AA231" s="2047"/>
    </row>
    <row r="232" spans="2:27" x14ac:dyDescent="0.2">
      <c r="B232" s="2297" t="s">
        <v>2</v>
      </c>
      <c r="C232" s="1631" t="s">
        <v>113</v>
      </c>
      <c r="D232" s="2546">
        <v>10.074337</v>
      </c>
      <c r="E232" s="1649">
        <f t="shared" ref="E232:E233" si="452">D232+(F232-D232)/($F$72-$D$72)</f>
        <v>9.8215197500000002</v>
      </c>
      <c r="F232" s="2546">
        <v>9.5687024999999988</v>
      </c>
      <c r="G232" s="2546">
        <v>8.6734475</v>
      </c>
      <c r="H232" s="2546">
        <v>7.6628905000000005</v>
      </c>
      <c r="I232" s="1649">
        <f t="shared" ref="I232:I233" si="453">H232+($K232-$H232)/($K$72-$H$72)</f>
        <v>6.8975095000000008</v>
      </c>
      <c r="J232" s="1649">
        <f t="shared" ref="J232:J233" si="454">I232+($K232-$H232)/($K$72-$H$72)</f>
        <v>6.1321285000000012</v>
      </c>
      <c r="K232" s="2546">
        <v>5.3667475000000007</v>
      </c>
      <c r="L232" s="1649">
        <f>L57</f>
        <v>5.9383155000000007</v>
      </c>
      <c r="M232" s="259">
        <f t="shared" ref="M232:M234" si="455">(L232-D232)/D232</f>
        <v>-0.41055024266112988</v>
      </c>
      <c r="N232" s="2044">
        <f t="shared" ref="N232:N235" si="456">(L232/D232)^(1/9)-1</f>
        <v>-5.7038224754957789E-2</v>
      </c>
      <c r="O232" s="1632"/>
      <c r="Q232" s="2316">
        <f t="shared" ref="Q232:Y233" si="457">D232*1000000000/Q$122</f>
        <v>488.39239100994411</v>
      </c>
      <c r="R232" s="2316">
        <f t="shared" si="457"/>
        <v>467.3326609606026</v>
      </c>
      <c r="S232" s="2316">
        <f t="shared" si="457"/>
        <v>445.56107214574655</v>
      </c>
      <c r="T232" s="2316">
        <f t="shared" si="457"/>
        <v>396.67049505060982</v>
      </c>
      <c r="U232" s="2316">
        <f t="shared" si="457"/>
        <v>345.6038432165584</v>
      </c>
      <c r="V232" s="2316">
        <f t="shared" si="457"/>
        <v>306.27967267573462</v>
      </c>
      <c r="W232" s="2316">
        <f t="shared" si="457"/>
        <v>267.53555875323366</v>
      </c>
      <c r="X232" s="2316">
        <f t="shared" si="457"/>
        <v>230.47357440534745</v>
      </c>
      <c r="Y232" s="2317">
        <f t="shared" si="457"/>
        <v>251.472175328367</v>
      </c>
      <c r="Z232" s="1674">
        <f t="shared" si="441"/>
        <v>-0.48510218431464713</v>
      </c>
      <c r="AA232" s="2044">
        <f>(Y232/Q232)^(1/9)-1</f>
        <v>-7.1099908849358351E-2</v>
      </c>
    </row>
    <row r="233" spans="2:27" x14ac:dyDescent="0.2">
      <c r="B233" s="1639"/>
      <c r="C233" s="1629" t="s">
        <v>114</v>
      </c>
      <c r="D233" s="2546">
        <v>4.1830423336933649</v>
      </c>
      <c r="E233" s="1649">
        <f t="shared" si="452"/>
        <v>4.4131711668466824</v>
      </c>
      <c r="F233" s="2546">
        <v>4.6433</v>
      </c>
      <c r="G233" s="2546">
        <v>5.257509999999999</v>
      </c>
      <c r="H233" s="2546">
        <v>5.9383060000000008</v>
      </c>
      <c r="I233" s="1649">
        <f t="shared" si="453"/>
        <v>5.8092488333333341</v>
      </c>
      <c r="J233" s="1649">
        <f t="shared" si="454"/>
        <v>5.6801916666666674</v>
      </c>
      <c r="K233" s="2546">
        <v>5.5511344999999999</v>
      </c>
      <c r="L233" s="1649">
        <f>L58</f>
        <v>4.9152464999999994</v>
      </c>
      <c r="M233" s="1674">
        <f t="shared" si="455"/>
        <v>0.17504106052403826</v>
      </c>
      <c r="N233" s="2045">
        <f t="shared" si="456"/>
        <v>1.8084138796739646E-2</v>
      </c>
      <c r="O233" s="77"/>
      <c r="Q233" s="2312">
        <f t="shared" si="457"/>
        <v>202.78913114067151</v>
      </c>
      <c r="R233" s="2312">
        <f t="shared" si="457"/>
        <v>209.98980577085004</v>
      </c>
      <c r="S233" s="2312">
        <f t="shared" si="457"/>
        <v>216.21256657256774</v>
      </c>
      <c r="T233" s="2312">
        <f t="shared" si="457"/>
        <v>240.44638471997797</v>
      </c>
      <c r="U233" s="2312">
        <f t="shared" si="457"/>
        <v>267.82339846771242</v>
      </c>
      <c r="V233" s="2312">
        <f t="shared" si="457"/>
        <v>257.95612621703913</v>
      </c>
      <c r="W233" s="2312">
        <f t="shared" si="457"/>
        <v>247.8182333209632</v>
      </c>
      <c r="X233" s="2312">
        <f t="shared" si="457"/>
        <v>238.39202612380049</v>
      </c>
      <c r="Y233" s="2313">
        <f t="shared" si="457"/>
        <v>208.14787116483487</v>
      </c>
      <c r="Z233" s="1674">
        <f t="shared" si="441"/>
        <v>2.6425183608317165E-2</v>
      </c>
      <c r="AA233" s="2045">
        <f>(Y233/Q233)^(1/9)-1</f>
        <v>2.9022110483327701E-3</v>
      </c>
    </row>
    <row r="234" spans="2:27" x14ac:dyDescent="0.2">
      <c r="B234" s="1639"/>
      <c r="C234" s="1629" t="s">
        <v>117</v>
      </c>
      <c r="D234" s="1656">
        <f t="shared" ref="D234:L234" si="458">SUM(D232:D233)</f>
        <v>14.257379333693365</v>
      </c>
      <c r="E234" s="1656">
        <f t="shared" si="458"/>
        <v>14.234690916846683</v>
      </c>
      <c r="F234" s="1656">
        <f t="shared" si="458"/>
        <v>14.212002499999999</v>
      </c>
      <c r="G234" s="1656">
        <f t="shared" si="458"/>
        <v>13.930957499999998</v>
      </c>
      <c r="H234" s="1656">
        <f t="shared" si="458"/>
        <v>13.6011965</v>
      </c>
      <c r="I234" s="1656">
        <f t="shared" si="458"/>
        <v>12.706758333333335</v>
      </c>
      <c r="J234" s="1656">
        <f t="shared" si="458"/>
        <v>11.81232016666667</v>
      </c>
      <c r="K234" s="1656">
        <f t="shared" si="458"/>
        <v>10.917882000000001</v>
      </c>
      <c r="L234" s="1656">
        <f t="shared" si="458"/>
        <v>10.853562</v>
      </c>
      <c r="M234" s="1674">
        <f t="shared" si="455"/>
        <v>-0.23874074288318792</v>
      </c>
      <c r="N234" s="2045">
        <f t="shared" si="456"/>
        <v>-2.9854320093349651E-2</v>
      </c>
      <c r="Q234" s="2314">
        <f>SUM(Q231:Q233)</f>
        <v>691.18152215061559</v>
      </c>
      <c r="R234" s="2314">
        <f t="shared" ref="R234" si="459">SUM(R231:R233)</f>
        <v>677.32246673145266</v>
      </c>
      <c r="S234" s="2314">
        <f t="shared" ref="S234" si="460">SUM(S231:S233)</f>
        <v>661.77363871831426</v>
      </c>
      <c r="T234" s="2314">
        <f t="shared" ref="T234" si="461">SUM(T231:T233)</f>
        <v>637.11687977058773</v>
      </c>
      <c r="U234" s="2314">
        <f t="shared" ref="U234" si="462">SUM(U231:U233)</f>
        <v>613.42724168427083</v>
      </c>
      <c r="V234" s="2314">
        <f t="shared" ref="V234" si="463">SUM(V231:V233)</f>
        <v>564.2357988927738</v>
      </c>
      <c r="W234" s="2314">
        <f t="shared" ref="W234" si="464">SUM(W231:W233)</f>
        <v>515.35379207419692</v>
      </c>
      <c r="X234" s="2314">
        <f t="shared" ref="X234" si="465">SUM(X231:X233)</f>
        <v>468.86560052914797</v>
      </c>
      <c r="Y234" s="2314">
        <f t="shared" ref="Y234" si="466">SUM(Y231:Y233)</f>
        <v>459.62004649320187</v>
      </c>
      <c r="Z234" s="1674">
        <f t="shared" si="441"/>
        <v>-0.33502266515590401</v>
      </c>
      <c r="AA234" s="2045">
        <f>(Y234/Q234)^(1/9)-1</f>
        <v>-4.4321377438118259E-2</v>
      </c>
    </row>
    <row r="235" spans="2:27" x14ac:dyDescent="0.2">
      <c r="B235" s="1640"/>
      <c r="C235" s="1634" t="s">
        <v>116</v>
      </c>
      <c r="D235" s="1653">
        <f t="shared" ref="D235:L235" si="467">SUM(D233:D233)/D234</f>
        <v>0.29339489648058276</v>
      </c>
      <c r="E235" s="1653">
        <f t="shared" si="467"/>
        <v>0.31002929340908397</v>
      </c>
      <c r="F235" s="1653">
        <f t="shared" si="467"/>
        <v>0.32671680152040505</v>
      </c>
      <c r="G235" s="1653">
        <f t="shared" si="467"/>
        <v>0.37739760529741045</v>
      </c>
      <c r="H235" s="1653">
        <f t="shared" si="467"/>
        <v>0.43660173573699934</v>
      </c>
      <c r="I235" s="1653">
        <f t="shared" si="467"/>
        <v>0.45717787975034285</v>
      </c>
      <c r="J235" s="1653">
        <f t="shared" si="467"/>
        <v>0.48087010735584951</v>
      </c>
      <c r="K235" s="1653">
        <f t="shared" si="467"/>
        <v>0.50844426602155979</v>
      </c>
      <c r="L235" s="1653">
        <f t="shared" si="467"/>
        <v>0.4528694358589373</v>
      </c>
      <c r="M235" s="1666">
        <f>L235-D235</f>
        <v>0.15947453937835454</v>
      </c>
      <c r="N235" s="2239">
        <f t="shared" si="456"/>
        <v>4.9413670423912093E-2</v>
      </c>
      <c r="O235" s="1633"/>
      <c r="P235" s="1633"/>
      <c r="Q235" s="1633"/>
      <c r="R235" s="1633"/>
      <c r="S235" s="1633"/>
      <c r="T235" s="1633"/>
      <c r="U235" s="1633"/>
      <c r="V235" s="1633"/>
      <c r="W235" s="1633"/>
      <c r="X235" s="1633"/>
      <c r="Y235" s="1633"/>
      <c r="Z235" s="1640"/>
      <c r="AA235" s="2047"/>
    </row>
    <row r="236" spans="2:27" x14ac:dyDescent="0.2">
      <c r="D236" s="2134" t="s">
        <v>1373</v>
      </c>
      <c r="V236" s="74"/>
    </row>
    <row r="237" spans="2:27" x14ac:dyDescent="0.2">
      <c r="V237" s="74"/>
    </row>
    <row r="238" spans="2:27" x14ac:dyDescent="0.2">
      <c r="V238" s="74"/>
    </row>
    <row r="239" spans="2:27" x14ac:dyDescent="0.2">
      <c r="B239" s="2136" t="s">
        <v>1138</v>
      </c>
      <c r="V239" s="74"/>
    </row>
    <row r="240" spans="2:27" x14ac:dyDescent="0.2">
      <c r="B240" s="2135" t="s">
        <v>1145</v>
      </c>
      <c r="V240" s="74"/>
    </row>
    <row r="241" spans="2:27" x14ac:dyDescent="0.2">
      <c r="B241" s="2135" t="s">
        <v>1144</v>
      </c>
      <c r="V241" s="74"/>
    </row>
    <row r="242" spans="2:27" x14ac:dyDescent="0.2">
      <c r="B242" s="2135" t="s">
        <v>1143</v>
      </c>
      <c r="V242" s="74"/>
    </row>
    <row r="243" spans="2:27" x14ac:dyDescent="0.2">
      <c r="B243" s="2135" t="s">
        <v>1142</v>
      </c>
      <c r="V243" s="74"/>
    </row>
    <row r="244" spans="2:27" x14ac:dyDescent="0.2">
      <c r="B244" s="2135" t="s">
        <v>1122</v>
      </c>
      <c r="V244" s="74"/>
    </row>
    <row r="245" spans="2:27" x14ac:dyDescent="0.2">
      <c r="B245" s="2135" t="s">
        <v>1312</v>
      </c>
      <c r="V245" s="74"/>
    </row>
    <row r="246" spans="2:27" x14ac:dyDescent="0.2">
      <c r="B246" s="2135" t="s">
        <v>1372</v>
      </c>
      <c r="V246" s="74"/>
    </row>
    <row r="247" spans="2:27" x14ac:dyDescent="0.2">
      <c r="B247" s="2135" t="s">
        <v>1371</v>
      </c>
      <c r="V247" s="74"/>
    </row>
    <row r="248" spans="2:27" x14ac:dyDescent="0.2">
      <c r="V248" s="74"/>
    </row>
    <row r="249" spans="2:27" x14ac:dyDescent="0.2">
      <c r="D249" s="77"/>
      <c r="G249" s="77"/>
      <c r="H249" s="77"/>
      <c r="Y249" s="2153"/>
    </row>
    <row r="250" spans="2:27" ht="21" x14ac:dyDescent="0.2">
      <c r="B250" s="1720" t="s">
        <v>3</v>
      </c>
      <c r="M250" s="1724" t="s">
        <v>7</v>
      </c>
      <c r="N250" s="76"/>
      <c r="O250" s="76"/>
      <c r="P250" s="76"/>
      <c r="Q250" s="76"/>
      <c r="R250" s="76"/>
      <c r="S250" s="76"/>
      <c r="T250" s="76"/>
      <c r="U250" s="76"/>
    </row>
    <row r="253" spans="2:27" x14ac:dyDescent="0.2">
      <c r="N253" s="76"/>
      <c r="O253" s="76"/>
      <c r="P253" s="76"/>
      <c r="V253" s="74"/>
    </row>
    <row r="254" spans="2:27" x14ac:dyDescent="0.2">
      <c r="S254" s="1629"/>
      <c r="T254" s="1629"/>
      <c r="U254" s="1629"/>
      <c r="V254" s="1629"/>
      <c r="W254" s="1629"/>
      <c r="X254" s="1629"/>
      <c r="Y254" s="1629"/>
      <c r="Z254" s="1629"/>
      <c r="AA254" s="1629"/>
    </row>
    <row r="255" spans="2:27" x14ac:dyDescent="0.2">
      <c r="S255" s="2078"/>
      <c r="T255" s="2078"/>
      <c r="U255" s="2078"/>
      <c r="V255" s="2078"/>
      <c r="W255" s="2078"/>
      <c r="X255" s="2078"/>
      <c r="Y255" s="2078"/>
      <c r="Z255" s="2078"/>
      <c r="AA255" s="2078"/>
    </row>
    <row r="256" spans="2:27" x14ac:dyDescent="0.2">
      <c r="S256" s="2078"/>
      <c r="T256" s="2078"/>
      <c r="U256" s="2078"/>
      <c r="V256" s="2078"/>
      <c r="W256" s="2078"/>
      <c r="X256" s="2078"/>
      <c r="Y256" s="2078"/>
      <c r="Z256" s="2078"/>
      <c r="AA256" s="2078"/>
    </row>
    <row r="257" spans="2:27" x14ac:dyDescent="0.2">
      <c r="S257" s="2078"/>
      <c r="T257" s="2078"/>
      <c r="U257" s="2078"/>
      <c r="V257" s="2078"/>
      <c r="W257" s="2078"/>
      <c r="X257" s="2078"/>
      <c r="Y257" s="2078"/>
      <c r="Z257" s="2078"/>
      <c r="AA257" s="2078"/>
    </row>
    <row r="258" spans="2:27" x14ac:dyDescent="0.2">
      <c r="B258" s="76"/>
      <c r="P258" s="76"/>
      <c r="R258" s="76"/>
      <c r="S258" s="2078"/>
      <c r="T258" s="2078"/>
      <c r="U258" s="2078"/>
      <c r="V258" s="2078"/>
      <c r="W258" s="2078"/>
      <c r="X258" s="2078"/>
      <c r="Y258" s="2078"/>
      <c r="Z258" s="2078"/>
      <c r="AA258" s="2078"/>
    </row>
    <row r="259" spans="2:27" x14ac:dyDescent="0.2">
      <c r="B259" s="76"/>
      <c r="R259" s="76"/>
      <c r="S259" s="2078"/>
      <c r="T259" s="2078"/>
      <c r="U259" s="2078"/>
      <c r="V259" s="2078"/>
      <c r="W259" s="2078"/>
      <c r="X259" s="2078"/>
      <c r="Y259" s="2078"/>
      <c r="Z259" s="2078"/>
      <c r="AA259" s="2078"/>
    </row>
    <row r="260" spans="2:27" x14ac:dyDescent="0.2">
      <c r="V260" s="74"/>
    </row>
    <row r="261" spans="2:27" x14ac:dyDescent="0.2">
      <c r="S261" s="2075"/>
    </row>
    <row r="276" spans="2:13" ht="21" x14ac:dyDescent="0.2">
      <c r="B276" s="1723" t="s">
        <v>4</v>
      </c>
      <c r="M276" s="1726" t="s">
        <v>8</v>
      </c>
    </row>
    <row r="295" spans="2:13" ht="21" x14ac:dyDescent="0.35">
      <c r="B295" s="1721" t="s">
        <v>5</v>
      </c>
      <c r="M295" s="1725" t="s">
        <v>9</v>
      </c>
    </row>
    <row r="319" spans="2:13" ht="21" x14ac:dyDescent="0.2">
      <c r="B319" s="2431" t="s">
        <v>6</v>
      </c>
      <c r="M319" s="1722" t="s">
        <v>374</v>
      </c>
    </row>
    <row r="339" spans="2:17" x14ac:dyDescent="0.2">
      <c r="C339" s="1663" t="s">
        <v>1079</v>
      </c>
      <c r="D339" s="2810" t="s">
        <v>1269</v>
      </c>
      <c r="E339" s="2810"/>
      <c r="F339" s="2810"/>
      <c r="G339" s="2810"/>
      <c r="H339" s="2810"/>
      <c r="I339" s="2810"/>
      <c r="J339" s="2810"/>
      <c r="K339" s="2810"/>
      <c r="L339" s="2810"/>
      <c r="M339" s="2810"/>
      <c r="N339" s="2810"/>
      <c r="O339" s="2810"/>
      <c r="P339" s="2232"/>
      <c r="Q339" s="2232"/>
    </row>
    <row r="340" spans="2:17" x14ac:dyDescent="0.2">
      <c r="C340" s="1663"/>
      <c r="D340" s="2811" t="s">
        <v>1270</v>
      </c>
      <c r="E340" s="2811"/>
      <c r="F340" s="2811"/>
      <c r="G340" s="2811"/>
      <c r="H340" s="2811"/>
      <c r="I340" s="2811"/>
      <c r="J340" s="2811"/>
      <c r="K340" s="2811"/>
      <c r="L340" s="2811"/>
      <c r="M340" s="2811"/>
      <c r="N340" s="2811"/>
      <c r="O340" s="2811"/>
      <c r="P340" s="2232"/>
      <c r="Q340" s="2232"/>
    </row>
    <row r="341" spans="2:17" ht="15.75" x14ac:dyDescent="0.25">
      <c r="B341" s="2434" t="s">
        <v>1267</v>
      </c>
      <c r="C341" s="1643"/>
      <c r="D341" s="2154"/>
      <c r="E341" s="2154"/>
      <c r="F341" s="2154"/>
      <c r="G341" s="2154"/>
      <c r="H341" s="2154"/>
      <c r="I341" s="2154"/>
      <c r="J341" s="2154"/>
      <c r="K341" s="2154"/>
      <c r="L341" s="2155"/>
      <c r="M341" s="2807" t="s">
        <v>1102</v>
      </c>
      <c r="N341" s="2801" t="s">
        <v>1103</v>
      </c>
      <c r="P341" s="2232"/>
      <c r="Q341" s="2232"/>
    </row>
    <row r="342" spans="2:17" ht="15.75" x14ac:dyDescent="0.25">
      <c r="B342" s="2435" t="s">
        <v>1266</v>
      </c>
      <c r="C342" s="930"/>
      <c r="D342" s="945" t="s">
        <v>1067</v>
      </c>
      <c r="E342" s="945" t="s">
        <v>1068</v>
      </c>
      <c r="F342" s="945" t="s">
        <v>1069</v>
      </c>
      <c r="G342" s="945" t="s">
        <v>1070</v>
      </c>
      <c r="H342" s="945" t="s">
        <v>1071</v>
      </c>
      <c r="I342" s="945" t="s">
        <v>1072</v>
      </c>
      <c r="J342" s="945" t="s">
        <v>1073</v>
      </c>
      <c r="K342" s="945" t="s">
        <v>876</v>
      </c>
      <c r="L342" s="946" t="s">
        <v>958</v>
      </c>
      <c r="M342" s="2808"/>
      <c r="N342" s="2802"/>
      <c r="P342" s="2232"/>
      <c r="Q342" s="2232"/>
    </row>
    <row r="343" spans="2:17" x14ac:dyDescent="0.2">
      <c r="B343" s="1983" t="s">
        <v>3</v>
      </c>
      <c r="C343" s="1984" t="s">
        <v>1075</v>
      </c>
      <c r="D343" s="2233">
        <v>338.38099999999997</v>
      </c>
      <c r="E343" s="2233">
        <v>344.17599999999999</v>
      </c>
      <c r="F343" s="2233">
        <v>351.101</v>
      </c>
      <c r="G343" s="2233">
        <v>357.85899999999998</v>
      </c>
      <c r="H343" s="2233">
        <v>364.83300000000003</v>
      </c>
      <c r="I343" s="2233">
        <v>371.108</v>
      </c>
      <c r="J343" s="2233">
        <v>377.92700000000002</v>
      </c>
      <c r="K343" s="2233">
        <v>383.31</v>
      </c>
      <c r="L343" s="2238">
        <v>387.74200000000002</v>
      </c>
      <c r="M343" s="259">
        <f>(L343-D343)/D343</f>
        <v>0.14587402957021833</v>
      </c>
      <c r="N343" s="2044">
        <f>(L343/D343)^(1/9)-1</f>
        <v>1.5244777358886408E-2</v>
      </c>
      <c r="P343" s="2232"/>
      <c r="Q343" s="2232"/>
    </row>
    <row r="344" spans="2:17" x14ac:dyDescent="0.2">
      <c r="B344" s="1985"/>
      <c r="C344" s="1986" t="s">
        <v>1265</v>
      </c>
      <c r="D344" s="2235">
        <v>29.251000000000001</v>
      </c>
      <c r="E344" s="2233">
        <v>29.702000000000002</v>
      </c>
      <c r="F344" s="2233">
        <v>30.69</v>
      </c>
      <c r="G344" s="2233">
        <v>31.606000000000002</v>
      </c>
      <c r="H344" s="2233">
        <v>32.692999999999998</v>
      </c>
      <c r="I344" s="2233">
        <v>33.197000000000003</v>
      </c>
      <c r="J344" s="2233">
        <v>34.161000000000001</v>
      </c>
      <c r="K344" s="2233">
        <v>34.398000000000003</v>
      </c>
      <c r="L344" s="2236">
        <v>34.866</v>
      </c>
      <c r="M344" s="1666">
        <f t="shared" ref="M344:M360" si="468">(L344-D344)/D344</f>
        <v>0.19195924925643562</v>
      </c>
      <c r="N344" s="2239">
        <f t="shared" ref="N344:N360" si="469">(L344/D344)^(1/9)-1</f>
        <v>1.9702513416418821E-2</v>
      </c>
      <c r="P344" s="2232"/>
      <c r="Q344" s="2232"/>
    </row>
    <row r="345" spans="2:17" x14ac:dyDescent="0.2">
      <c r="B345" s="1991" t="s">
        <v>4</v>
      </c>
      <c r="C345" s="1992" t="str">
        <f>C$343</f>
        <v>Population</v>
      </c>
      <c r="D345" s="2233">
        <v>6786.16</v>
      </c>
      <c r="E345" s="2237">
        <v>6883.8519999999999</v>
      </c>
      <c r="F345" s="2237">
        <v>7001.7820000000002</v>
      </c>
      <c r="G345" s="2237">
        <v>7101.5039999999999</v>
      </c>
      <c r="H345" s="2237">
        <v>7179.8909999999996</v>
      </c>
      <c r="I345" s="2237">
        <v>7261.5919999999996</v>
      </c>
      <c r="J345" s="2237">
        <v>7356.85</v>
      </c>
      <c r="K345" s="2237">
        <v>7459.5619999999999</v>
      </c>
      <c r="L345" s="2238">
        <v>7564.6260000000002</v>
      </c>
      <c r="M345" s="259">
        <f t="shared" si="468"/>
        <v>0.11471377037971406</v>
      </c>
      <c r="N345" s="2044">
        <f t="shared" si="469"/>
        <v>1.2139499869588954E-2</v>
      </c>
      <c r="P345" s="2232"/>
      <c r="Q345" s="2232"/>
    </row>
    <row r="346" spans="2:17" x14ac:dyDescent="0.2">
      <c r="B346" s="1995"/>
      <c r="C346" s="1996" t="str">
        <f>C$344</f>
        <v>Gross state or territory product</v>
      </c>
      <c r="D346" s="2233">
        <v>428.995</v>
      </c>
      <c r="E346" s="2233">
        <v>440.09699999999998</v>
      </c>
      <c r="F346" s="2233">
        <v>444.68700000000001</v>
      </c>
      <c r="G346" s="2233">
        <v>453.31</v>
      </c>
      <c r="H346" s="2233">
        <v>466.09500000000003</v>
      </c>
      <c r="I346" s="2233">
        <v>474.721</v>
      </c>
      <c r="J346" s="2233">
        <v>484.154</v>
      </c>
      <c r="K346" s="2233">
        <v>495.23500000000001</v>
      </c>
      <c r="L346" s="2234">
        <v>506.91800000000001</v>
      </c>
      <c r="M346" s="1666">
        <f t="shared" si="468"/>
        <v>0.18164081166447163</v>
      </c>
      <c r="N346" s="2239">
        <f t="shared" si="469"/>
        <v>1.8717912235414413E-2</v>
      </c>
      <c r="P346" s="2232"/>
      <c r="Q346" s="2232"/>
    </row>
    <row r="347" spans="2:17" x14ac:dyDescent="0.2">
      <c r="B347" s="2000" t="s">
        <v>5</v>
      </c>
      <c r="C347" s="2001" t="s">
        <v>1075</v>
      </c>
      <c r="D347" s="2237">
        <v>211.029</v>
      </c>
      <c r="E347" s="2237">
        <v>216.61799999999999</v>
      </c>
      <c r="F347" s="2237">
        <v>222.52600000000001</v>
      </c>
      <c r="G347" s="2237">
        <v>227.78299999999999</v>
      </c>
      <c r="H347" s="2237">
        <v>230.29900000000001</v>
      </c>
      <c r="I347" s="2237">
        <v>232.703</v>
      </c>
      <c r="J347" s="2237">
        <v>239.29400000000001</v>
      </c>
      <c r="K347" s="2237">
        <v>242.84</v>
      </c>
      <c r="L347" s="2238">
        <v>243.191</v>
      </c>
      <c r="M347" s="259">
        <f t="shared" si="468"/>
        <v>0.15240559354401531</v>
      </c>
      <c r="N347" s="2044">
        <f t="shared" si="469"/>
        <v>1.588615066831256E-2</v>
      </c>
      <c r="P347" s="2232"/>
      <c r="Q347" s="2232"/>
    </row>
    <row r="348" spans="2:17" x14ac:dyDescent="0.2">
      <c r="B348" s="2002"/>
      <c r="C348" s="2001" t="s">
        <v>1265</v>
      </c>
      <c r="D348" s="2235">
        <v>16.123999999999999</v>
      </c>
      <c r="E348" s="2233">
        <v>16.532</v>
      </c>
      <c r="F348" s="2233">
        <v>18.062000000000001</v>
      </c>
      <c r="G348" s="2233">
        <v>17.608000000000001</v>
      </c>
      <c r="H348" s="2233">
        <v>17.934999999999999</v>
      </c>
      <c r="I348" s="2233">
        <v>18.512</v>
      </c>
      <c r="J348" s="2233">
        <v>19.739000000000001</v>
      </c>
      <c r="K348" s="2233">
        <v>20.323</v>
      </c>
      <c r="L348" s="2234">
        <v>22.45</v>
      </c>
      <c r="M348" s="1666">
        <f t="shared" si="468"/>
        <v>0.39233440833540073</v>
      </c>
      <c r="N348" s="2239">
        <f t="shared" si="469"/>
        <v>3.7460346450580051E-2</v>
      </c>
      <c r="P348" s="2232"/>
      <c r="Q348" s="2232"/>
    </row>
    <row r="349" spans="2:17" x14ac:dyDescent="0.2">
      <c r="B349" s="2406" t="s">
        <v>6</v>
      </c>
      <c r="C349" s="2407" t="s">
        <v>1075</v>
      </c>
      <c r="D349" s="2233">
        <v>4055.8449999999998</v>
      </c>
      <c r="E349" s="2237">
        <v>4159.99</v>
      </c>
      <c r="F349" s="2237">
        <v>4275.5510000000004</v>
      </c>
      <c r="G349" s="2237">
        <v>4367.4539999999997</v>
      </c>
      <c r="H349" s="2237">
        <v>4436.8819999999996</v>
      </c>
      <c r="I349" s="2237">
        <v>4518.6049999999996</v>
      </c>
      <c r="J349" s="2237">
        <v>4608.8860000000004</v>
      </c>
      <c r="K349" s="2237">
        <v>4685.08</v>
      </c>
      <c r="L349" s="2238">
        <v>4749.0569999999998</v>
      </c>
      <c r="M349" s="259">
        <f t="shared" si="468"/>
        <v>0.17091678799362403</v>
      </c>
      <c r="N349" s="2044">
        <f t="shared" si="469"/>
        <v>1.7686476950089736E-2</v>
      </c>
      <c r="P349" s="2232"/>
      <c r="Q349" s="2232"/>
    </row>
    <row r="350" spans="2:17" x14ac:dyDescent="0.2">
      <c r="B350" s="2408"/>
      <c r="C350" s="2409" t="s">
        <v>1265</v>
      </c>
      <c r="D350" s="2235">
        <v>247.727</v>
      </c>
      <c r="E350" s="2233">
        <v>259.44900000000001</v>
      </c>
      <c r="F350" s="2233">
        <v>263.15800000000002</v>
      </c>
      <c r="G350" s="2233">
        <v>266.70299999999997</v>
      </c>
      <c r="H350" s="2233">
        <v>268.05500000000001</v>
      </c>
      <c r="I350" s="2233">
        <v>283.596</v>
      </c>
      <c r="J350" s="2233">
        <v>290.53500000000003</v>
      </c>
      <c r="K350" s="2233">
        <v>298.68</v>
      </c>
      <c r="L350" s="2234">
        <v>300.27</v>
      </c>
      <c r="M350" s="1666">
        <f t="shared" si="468"/>
        <v>0.21210041699128468</v>
      </c>
      <c r="N350" s="2239">
        <f t="shared" si="469"/>
        <v>2.1602781581347097E-2</v>
      </c>
      <c r="P350" s="2232"/>
      <c r="Q350" s="2232"/>
    </row>
    <row r="351" spans="2:17" x14ac:dyDescent="0.2">
      <c r="B351" s="2011" t="s">
        <v>7</v>
      </c>
      <c r="C351" s="2012" t="s">
        <v>1075</v>
      </c>
      <c r="D351" s="2233">
        <v>1561.3</v>
      </c>
      <c r="E351" s="2237">
        <v>1578.489</v>
      </c>
      <c r="F351" s="2237">
        <v>1597.88</v>
      </c>
      <c r="G351" s="2237">
        <v>1618.578</v>
      </c>
      <c r="H351" s="2237">
        <v>1632.482</v>
      </c>
      <c r="I351" s="2237">
        <v>1646.951</v>
      </c>
      <c r="J351" s="2237">
        <v>1662.1969999999999</v>
      </c>
      <c r="K351" s="2237">
        <v>1676.671</v>
      </c>
      <c r="L351" s="2238">
        <v>1691.605</v>
      </c>
      <c r="M351" s="259">
        <f t="shared" si="468"/>
        <v>8.3459296739896285E-2</v>
      </c>
      <c r="N351" s="2044">
        <f t="shared" si="469"/>
        <v>8.9463341168989352E-3</v>
      </c>
      <c r="P351" s="2232"/>
      <c r="Q351" s="2232"/>
    </row>
    <row r="352" spans="2:17" x14ac:dyDescent="0.2">
      <c r="B352" s="2013"/>
      <c r="C352" s="2012" t="s">
        <v>1265</v>
      </c>
      <c r="D352" s="2235">
        <v>83.584000000000003</v>
      </c>
      <c r="E352" s="2233">
        <v>88.058999999999997</v>
      </c>
      <c r="F352" s="2233">
        <v>90.474999999999994</v>
      </c>
      <c r="G352" s="2233">
        <v>91.879000000000005</v>
      </c>
      <c r="H352" s="2233">
        <v>94.05</v>
      </c>
      <c r="I352" s="2233">
        <v>94.6</v>
      </c>
      <c r="J352" s="2233">
        <v>96.218000000000004</v>
      </c>
      <c r="K352" s="2233">
        <v>96.994</v>
      </c>
      <c r="L352" s="2234">
        <v>98.539000000000001</v>
      </c>
      <c r="M352" s="1666">
        <f t="shared" si="468"/>
        <v>0.17892180321592646</v>
      </c>
      <c r="N352" s="2239">
        <f t="shared" si="469"/>
        <v>1.8457188198518493E-2</v>
      </c>
      <c r="P352" s="2232"/>
      <c r="Q352" s="2232"/>
    </row>
    <row r="353" spans="2:17" x14ac:dyDescent="0.2">
      <c r="B353" s="2023" t="s">
        <v>8</v>
      </c>
      <c r="C353" s="2024" t="s">
        <v>1075</v>
      </c>
      <c r="D353" s="2233">
        <v>491.51499999999999</v>
      </c>
      <c r="E353" s="2237">
        <v>495.858</v>
      </c>
      <c r="F353" s="2237">
        <v>501.774</v>
      </c>
      <c r="G353" s="2237">
        <v>506.46100000000001</v>
      </c>
      <c r="H353" s="2237">
        <v>510.21899999999999</v>
      </c>
      <c r="I353" s="2237">
        <v>511.94400000000002</v>
      </c>
      <c r="J353" s="2237">
        <v>512.47500000000002</v>
      </c>
      <c r="K353" s="2237">
        <v>513.94799999999998</v>
      </c>
      <c r="L353" s="2238">
        <v>515.29399999999998</v>
      </c>
      <c r="M353" s="259">
        <f t="shared" si="468"/>
        <v>4.8378991485509081E-2</v>
      </c>
      <c r="N353" s="2044">
        <f t="shared" si="469"/>
        <v>5.2632640781127282E-3</v>
      </c>
      <c r="P353" s="2232"/>
      <c r="Q353" s="2232"/>
    </row>
    <row r="354" spans="2:17" x14ac:dyDescent="0.2">
      <c r="B354" s="2021"/>
      <c r="C354" s="2026" t="s">
        <v>1265</v>
      </c>
      <c r="D354" s="2235">
        <v>23.568999999999999</v>
      </c>
      <c r="E354" s="2233">
        <v>24.306000000000001</v>
      </c>
      <c r="F354" s="2233">
        <v>24.901</v>
      </c>
      <c r="G354" s="2233">
        <v>24.908999999999999</v>
      </c>
      <c r="H354" s="2233">
        <v>24.992000000000001</v>
      </c>
      <c r="I354" s="2233">
        <v>25.004999999999999</v>
      </c>
      <c r="J354" s="2233">
        <v>24.696000000000002</v>
      </c>
      <c r="K354" s="2233">
        <v>25.015000000000001</v>
      </c>
      <c r="L354" s="2234">
        <v>25.419</v>
      </c>
      <c r="M354" s="1666">
        <f t="shared" si="468"/>
        <v>7.8492935635792849E-2</v>
      </c>
      <c r="N354" s="2239">
        <f t="shared" si="469"/>
        <v>8.4314165936831831E-3</v>
      </c>
      <c r="P354" s="2232"/>
      <c r="Q354" s="2232"/>
    </row>
    <row r="355" spans="2:17" x14ac:dyDescent="0.2">
      <c r="B355" s="2027" t="s">
        <v>9</v>
      </c>
      <c r="C355" s="2028" t="s">
        <v>1075</v>
      </c>
      <c r="D355" s="2233">
        <v>5103.9650000000001</v>
      </c>
      <c r="E355" s="2237">
        <v>5199.5029999999997</v>
      </c>
      <c r="F355" s="2237">
        <v>5313.2849999999999</v>
      </c>
      <c r="G355" s="2237">
        <v>5419.2489999999998</v>
      </c>
      <c r="H355" s="2237">
        <v>5495.7110000000002</v>
      </c>
      <c r="I355" s="2237">
        <v>5582.67</v>
      </c>
      <c r="J355" s="2237">
        <v>5680.5020000000004</v>
      </c>
      <c r="K355" s="2237">
        <v>5784.777</v>
      </c>
      <c r="L355" s="2238">
        <v>5886.5550000000003</v>
      </c>
      <c r="M355" s="259">
        <f t="shared" si="468"/>
        <v>0.15332981319425196</v>
      </c>
      <c r="N355" s="2044">
        <f t="shared" si="469"/>
        <v>1.5976644217353675E-2</v>
      </c>
      <c r="P355" s="2232"/>
      <c r="Q355" s="2232"/>
    </row>
    <row r="356" spans="2:17" x14ac:dyDescent="0.2">
      <c r="B356" s="2032"/>
      <c r="C356" s="2030" t="s">
        <v>1265</v>
      </c>
      <c r="D356" s="2235">
        <v>304.41800000000001</v>
      </c>
      <c r="E356" s="2233">
        <v>314.76299999999998</v>
      </c>
      <c r="F356" s="2233">
        <v>319.404</v>
      </c>
      <c r="G356" s="2233">
        <v>325.125</v>
      </c>
      <c r="H356" s="2233">
        <v>333.51900000000001</v>
      </c>
      <c r="I356" s="2233">
        <v>339.87099999999998</v>
      </c>
      <c r="J356" s="2233">
        <v>343.31900000000002</v>
      </c>
      <c r="K356" s="2233">
        <v>346.88099999999997</v>
      </c>
      <c r="L356" s="2234">
        <v>355.58</v>
      </c>
      <c r="M356" s="1666">
        <f t="shared" si="468"/>
        <v>0.16806496330703169</v>
      </c>
      <c r="N356" s="2239">
        <f t="shared" si="469"/>
        <v>1.7410775619718599E-2</v>
      </c>
      <c r="P356" s="2232"/>
      <c r="Q356" s="2232"/>
    </row>
    <row r="357" spans="2:17" x14ac:dyDescent="0.2">
      <c r="B357" s="2034" t="s">
        <v>374</v>
      </c>
      <c r="C357" s="2035" t="s">
        <v>1075</v>
      </c>
      <c r="D357" s="2233">
        <v>2076.8670000000002</v>
      </c>
      <c r="E357" s="2237">
        <v>2135.0059999999999</v>
      </c>
      <c r="F357" s="2237">
        <v>2208.9279999999999</v>
      </c>
      <c r="G357" s="2237">
        <v>2263.7469999999998</v>
      </c>
      <c r="H357" s="2237">
        <v>2319.0630000000001</v>
      </c>
      <c r="I357" s="2237">
        <v>2391.5920000000001</v>
      </c>
      <c r="J357" s="2237">
        <v>2479.5059999999999</v>
      </c>
      <c r="K357" s="2237">
        <v>2536.3679999999999</v>
      </c>
      <c r="L357" s="2238">
        <v>2572.9189999999999</v>
      </c>
      <c r="M357" s="259">
        <f t="shared" si="468"/>
        <v>0.23884630070197063</v>
      </c>
      <c r="N357" s="2044">
        <f t="shared" si="469"/>
        <v>2.4083266453172048E-2</v>
      </c>
      <c r="P357" s="2232"/>
      <c r="Q357" s="2232"/>
    </row>
    <row r="358" spans="2:17" x14ac:dyDescent="0.2">
      <c r="B358" s="2038"/>
      <c r="C358" s="2039" t="s">
        <v>1265</v>
      </c>
      <c r="D358" s="2235">
        <v>186.71199999999999</v>
      </c>
      <c r="E358" s="2235">
        <v>196.47</v>
      </c>
      <c r="F358" s="2235">
        <v>203.16399999999999</v>
      </c>
      <c r="G358" s="2235">
        <v>211.851</v>
      </c>
      <c r="H358" s="2235">
        <v>219.893</v>
      </c>
      <c r="I358" s="2235">
        <v>239.80099999999999</v>
      </c>
      <c r="J358" s="2235">
        <v>253.006</v>
      </c>
      <c r="K358" s="2235">
        <v>267.05200000000002</v>
      </c>
      <c r="L358" s="2236">
        <v>276.31200000000001</v>
      </c>
      <c r="M358" s="1666">
        <f t="shared" si="468"/>
        <v>0.47988345687475914</v>
      </c>
      <c r="N358" s="2239">
        <f t="shared" si="469"/>
        <v>4.45137667388531E-2</v>
      </c>
      <c r="P358" s="2232"/>
      <c r="Q358" s="2232"/>
    </row>
    <row r="359" spans="2:17" x14ac:dyDescent="0.2">
      <c r="B359" s="2240" t="s">
        <v>433</v>
      </c>
      <c r="C359" s="1631" t="str">
        <f>C343</f>
        <v>Population</v>
      </c>
      <c r="D359" s="2241">
        <f>SUMIF($C$343:$C$358,$C359,D$343:D$358)</f>
        <v>20625.061999999998</v>
      </c>
      <c r="E359" s="2241">
        <f t="shared" ref="E359:L360" si="470">SUMIF($C$343:$C$358,$C359,E$343:E$358)</f>
        <v>21013.492000000002</v>
      </c>
      <c r="F359" s="2241">
        <f t="shared" si="470"/>
        <v>21472.826999999997</v>
      </c>
      <c r="G359" s="2241">
        <f t="shared" si="470"/>
        <v>21862.634999999998</v>
      </c>
      <c r="H359" s="2241">
        <f t="shared" si="470"/>
        <v>22169.379999999997</v>
      </c>
      <c r="I359" s="2241">
        <f t="shared" si="470"/>
        <v>22517.164999999997</v>
      </c>
      <c r="J359" s="2241">
        <f t="shared" si="470"/>
        <v>22917.637000000002</v>
      </c>
      <c r="K359" s="2241">
        <f t="shared" si="470"/>
        <v>23282.556</v>
      </c>
      <c r="L359" s="2242">
        <f t="shared" si="470"/>
        <v>23610.989000000001</v>
      </c>
      <c r="M359" s="259">
        <f t="shared" si="468"/>
        <v>0.14477178298906465</v>
      </c>
      <c r="N359" s="2044">
        <f t="shared" si="469"/>
        <v>1.5136220846519555E-2</v>
      </c>
    </row>
    <row r="360" spans="2:17" x14ac:dyDescent="0.2">
      <c r="B360" s="1640"/>
      <c r="C360" s="1634" t="str">
        <f>C344</f>
        <v>Gross state or territory product</v>
      </c>
      <c r="D360" s="2243">
        <f>SUMIF($C$343:$C$358,$C360,D$343:D$358)</f>
        <v>1320.38</v>
      </c>
      <c r="E360" s="2243">
        <f t="shared" si="470"/>
        <v>1369.3779999999999</v>
      </c>
      <c r="F360" s="2243">
        <f t="shared" si="470"/>
        <v>1394.5409999999999</v>
      </c>
      <c r="G360" s="2243">
        <f t="shared" si="470"/>
        <v>1422.991</v>
      </c>
      <c r="H360" s="2243">
        <f t="shared" si="470"/>
        <v>1457.232</v>
      </c>
      <c r="I360" s="2243">
        <f t="shared" si="470"/>
        <v>1509.3029999999999</v>
      </c>
      <c r="J360" s="2243">
        <f t="shared" si="470"/>
        <v>1545.8280000000002</v>
      </c>
      <c r="K360" s="2243">
        <f t="shared" si="470"/>
        <v>1584.578</v>
      </c>
      <c r="L360" s="2244">
        <f>SUMIF($C$343:$C$358,$C360,L$343:L$358)</f>
        <v>1620.3539999999998</v>
      </c>
      <c r="M360" s="1666">
        <f t="shared" si="468"/>
        <v>0.22718762780411675</v>
      </c>
      <c r="N360" s="2239">
        <f t="shared" si="469"/>
        <v>2.3007921143389121E-2</v>
      </c>
    </row>
    <row r="362" spans="2:17" ht="15.75" x14ac:dyDescent="0.25">
      <c r="B362" s="2437" t="s">
        <v>1306</v>
      </c>
      <c r="C362" s="2328"/>
      <c r="D362" s="2329" t="s">
        <v>1067</v>
      </c>
      <c r="E362" s="2329" t="s">
        <v>1068</v>
      </c>
      <c r="F362" s="2329" t="s">
        <v>1069</v>
      </c>
      <c r="G362" s="2329" t="s">
        <v>1070</v>
      </c>
      <c r="H362" s="2329" t="s">
        <v>1071</v>
      </c>
      <c r="I362" s="2329" t="s">
        <v>1072</v>
      </c>
      <c r="J362" s="2329" t="s">
        <v>1073</v>
      </c>
      <c r="K362" s="2329" t="s">
        <v>876</v>
      </c>
      <c r="L362" s="2330" t="s">
        <v>958</v>
      </c>
      <c r="M362" s="2326" t="s">
        <v>1307</v>
      </c>
      <c r="N362" s="2327" t="s">
        <v>1310</v>
      </c>
    </row>
    <row r="363" spans="2:17" x14ac:dyDescent="0.2">
      <c r="B363" s="1983" t="s">
        <v>3</v>
      </c>
      <c r="C363" s="1984" t="s">
        <v>1075</v>
      </c>
      <c r="D363" s="2322">
        <f t="shared" ref="D363:L363" si="471">D343*$M363</f>
        <v>0.6</v>
      </c>
      <c r="E363" s="2322">
        <f t="shared" si="471"/>
        <v>0.6102753996235013</v>
      </c>
      <c r="F363" s="2322">
        <f t="shared" si="471"/>
        <v>0.62255445784485541</v>
      </c>
      <c r="G363" s="2322">
        <f t="shared" si="471"/>
        <v>0.63453740014953564</v>
      </c>
      <c r="H363" s="2322">
        <f t="shared" si="471"/>
        <v>0.64690334268177008</v>
      </c>
      <c r="I363" s="2322">
        <f t="shared" si="471"/>
        <v>0.65802985392205837</v>
      </c>
      <c r="J363" s="2322">
        <f t="shared" si="471"/>
        <v>0.67012095832803864</v>
      </c>
      <c r="K363" s="2322">
        <f t="shared" si="471"/>
        <v>0.67966582048046442</v>
      </c>
      <c r="L363" s="2322">
        <f t="shared" si="471"/>
        <v>0.68752441774213102</v>
      </c>
      <c r="M363" s="2323">
        <f t="shared" ref="M363:M380" si="472">N363/D343</f>
        <v>1.7731492016395721E-3</v>
      </c>
      <c r="N363" s="2272">
        <v>0.6</v>
      </c>
    </row>
    <row r="364" spans="2:17" x14ac:dyDescent="0.2">
      <c r="B364" s="1985"/>
      <c r="C364" s="1986" t="s">
        <v>1268</v>
      </c>
      <c r="D364" s="2321">
        <f t="shared" ref="D364:L364" si="473">D344*$M364</f>
        <v>0.6</v>
      </c>
      <c r="E364" s="2321">
        <f t="shared" si="473"/>
        <v>0.60925096577894766</v>
      </c>
      <c r="F364" s="2321">
        <f t="shared" si="473"/>
        <v>0.62951693959180877</v>
      </c>
      <c r="G364" s="2321">
        <f t="shared" si="473"/>
        <v>0.64830604081911725</v>
      </c>
      <c r="H364" s="2321">
        <f t="shared" si="473"/>
        <v>0.67060271443711317</v>
      </c>
      <c r="I364" s="2321">
        <f t="shared" si="473"/>
        <v>0.68094082253598165</v>
      </c>
      <c r="J364" s="2321">
        <f t="shared" si="473"/>
        <v>0.70071450548699188</v>
      </c>
      <c r="K364" s="2321">
        <f t="shared" si="473"/>
        <v>0.70557587774776931</v>
      </c>
      <c r="L364" s="2321">
        <f t="shared" si="473"/>
        <v>0.71517554955386131</v>
      </c>
      <c r="M364" s="2324">
        <f t="shared" si="472"/>
        <v>2.0512119243786535E-2</v>
      </c>
      <c r="N364" s="2046">
        <v>0.6</v>
      </c>
    </row>
    <row r="365" spans="2:17" x14ac:dyDescent="0.2">
      <c r="B365" s="1991" t="s">
        <v>4</v>
      </c>
      <c r="C365" s="1992" t="str">
        <f>C$343</f>
        <v>Population</v>
      </c>
      <c r="D365" s="2331">
        <f t="shared" ref="D365:L365" si="474">D345*$M365</f>
        <v>12</v>
      </c>
      <c r="E365" s="2331">
        <f t="shared" si="474"/>
        <v>12.172749242576065</v>
      </c>
      <c r="F365" s="2331">
        <f t="shared" si="474"/>
        <v>12.381285439777429</v>
      </c>
      <c r="G365" s="2331">
        <f t="shared" si="474"/>
        <v>12.557624341306424</v>
      </c>
      <c r="H365" s="2331">
        <f t="shared" si="474"/>
        <v>12.696236457731617</v>
      </c>
      <c r="I365" s="2331">
        <f t="shared" si="474"/>
        <v>12.840708736605089</v>
      </c>
      <c r="J365" s="2331">
        <f t="shared" si="474"/>
        <v>13.00915392504745</v>
      </c>
      <c r="K365" s="2331">
        <f t="shared" si="474"/>
        <v>13.190780058236175</v>
      </c>
      <c r="L365" s="2331">
        <f t="shared" si="474"/>
        <v>13.376565244556568</v>
      </c>
      <c r="M365" s="2323">
        <f t="shared" si="472"/>
        <v>1.7683049029200608E-3</v>
      </c>
      <c r="N365" s="2272">
        <v>12</v>
      </c>
    </row>
    <row r="366" spans="2:17" x14ac:dyDescent="0.2">
      <c r="B366" s="1995"/>
      <c r="C366" s="1996" t="str">
        <f>C$344</f>
        <v>Gross state or territory product</v>
      </c>
      <c r="D366" s="2315">
        <f t="shared" ref="D366:L366" si="475">D346*$M366</f>
        <v>12</v>
      </c>
      <c r="E366" s="2315">
        <f t="shared" si="475"/>
        <v>12.310549073998532</v>
      </c>
      <c r="F366" s="2315">
        <f t="shared" si="475"/>
        <v>12.438942178813274</v>
      </c>
      <c r="G366" s="2315">
        <f t="shared" si="475"/>
        <v>12.680147787270249</v>
      </c>
      <c r="H366" s="2315">
        <f t="shared" si="475"/>
        <v>13.037774333034186</v>
      </c>
      <c r="I366" s="2315">
        <f t="shared" si="475"/>
        <v>13.27906385855313</v>
      </c>
      <c r="J366" s="2315">
        <f t="shared" si="475"/>
        <v>13.542927073742119</v>
      </c>
      <c r="K366" s="2315">
        <f t="shared" si="475"/>
        <v>13.852888728306858</v>
      </c>
      <c r="L366" s="2315">
        <f t="shared" si="475"/>
        <v>14.179689739973661</v>
      </c>
      <c r="M366" s="2332">
        <f t="shared" si="472"/>
        <v>2.7972353990139746E-2</v>
      </c>
      <c r="N366" s="2047">
        <v>12</v>
      </c>
    </row>
    <row r="367" spans="2:17" x14ac:dyDescent="0.2">
      <c r="B367" s="2337" t="s">
        <v>5</v>
      </c>
      <c r="C367" s="2338" t="s">
        <v>1075</v>
      </c>
      <c r="D367" s="2339">
        <f t="shared" ref="D367:L367" si="476">D347*$M367</f>
        <v>0.25</v>
      </c>
      <c r="E367" s="2339">
        <f t="shared" si="476"/>
        <v>0.25662112790185237</v>
      </c>
      <c r="F367" s="2339">
        <f t="shared" si="476"/>
        <v>0.26362016594875587</v>
      </c>
      <c r="G367" s="2339">
        <f t="shared" si="476"/>
        <v>0.26984798297864276</v>
      </c>
      <c r="H367" s="2339">
        <f t="shared" si="476"/>
        <v>0.27282861597221236</v>
      </c>
      <c r="I367" s="2339">
        <f t="shared" si="476"/>
        <v>0.27567656578005867</v>
      </c>
      <c r="J367" s="2339">
        <f t="shared" si="476"/>
        <v>0.28348473432561405</v>
      </c>
      <c r="K367" s="2339">
        <f t="shared" si="476"/>
        <v>0.28768557875931744</v>
      </c>
      <c r="L367" s="2339">
        <f t="shared" si="476"/>
        <v>0.28810139838600385</v>
      </c>
      <c r="M367" s="2323">
        <f t="shared" si="472"/>
        <v>1.1846713011007966E-3</v>
      </c>
      <c r="N367" s="2272">
        <v>0.25</v>
      </c>
    </row>
    <row r="368" spans="2:17" x14ac:dyDescent="0.2">
      <c r="B368" s="2005"/>
      <c r="C368" s="2003" t="s">
        <v>1265</v>
      </c>
      <c r="D368" s="2340">
        <f t="shared" ref="D368:L368" si="477">D348*$M368</f>
        <v>0.25</v>
      </c>
      <c r="E368" s="2340">
        <f t="shared" si="477"/>
        <v>0.25632597370379562</v>
      </c>
      <c r="F368" s="2340">
        <f t="shared" si="477"/>
        <v>0.2800483750930291</v>
      </c>
      <c r="G368" s="2340">
        <f t="shared" si="477"/>
        <v>0.27300917886380555</v>
      </c>
      <c r="H368" s="2340">
        <f t="shared" si="477"/>
        <v>0.27807926072934758</v>
      </c>
      <c r="I368" s="2340">
        <f t="shared" si="477"/>
        <v>0.28702555197221535</v>
      </c>
      <c r="J368" s="2340">
        <f t="shared" si="477"/>
        <v>0.30604998759613006</v>
      </c>
      <c r="K368" s="2340">
        <f t="shared" si="477"/>
        <v>0.31510481270156293</v>
      </c>
      <c r="L368" s="2340">
        <f t="shared" si="477"/>
        <v>0.3480836020838502</v>
      </c>
      <c r="M368" s="2332">
        <f t="shared" si="472"/>
        <v>1.5504837509302904E-2</v>
      </c>
      <c r="N368" s="2047">
        <v>0.25</v>
      </c>
    </row>
    <row r="369" spans="2:14" x14ac:dyDescent="0.2">
      <c r="B369" s="2007" t="s">
        <v>6</v>
      </c>
      <c r="C369" s="2008" t="s">
        <v>1075</v>
      </c>
      <c r="D369" s="2331">
        <f t="shared" ref="D369:L369" si="478">D349*$M369</f>
        <v>7</v>
      </c>
      <c r="E369" s="2331">
        <f t="shared" si="478"/>
        <v>7.1797442949619628</v>
      </c>
      <c r="F369" s="2331">
        <f t="shared" si="478"/>
        <v>7.3791915124961642</v>
      </c>
      <c r="G369" s="2331">
        <f t="shared" si="478"/>
        <v>7.5378072880004039</v>
      </c>
      <c r="H369" s="2331">
        <f t="shared" si="478"/>
        <v>7.6576333661666061</v>
      </c>
      <c r="I369" s="2331">
        <f t="shared" si="478"/>
        <v>7.7986794367141741</v>
      </c>
      <c r="J369" s="2331">
        <f t="shared" si="478"/>
        <v>7.9544957955740427</v>
      </c>
      <c r="K369" s="2331">
        <f t="shared" si="478"/>
        <v>8.0859993416908189</v>
      </c>
      <c r="L369" s="2331">
        <f t="shared" si="478"/>
        <v>8.1964175159553676</v>
      </c>
      <c r="M369" s="2323">
        <f t="shared" si="472"/>
        <v>1.7259042197125384E-3</v>
      </c>
      <c r="N369" s="2272">
        <v>7</v>
      </c>
    </row>
    <row r="370" spans="2:14" x14ac:dyDescent="0.2">
      <c r="B370" s="2009"/>
      <c r="C370" s="2010" t="s">
        <v>1265</v>
      </c>
      <c r="D370" s="2315">
        <f t="shared" ref="D370:L370" si="479">D350*$M370</f>
        <v>7</v>
      </c>
      <c r="E370" s="2315">
        <f t="shared" si="479"/>
        <v>7.3312275206174533</v>
      </c>
      <c r="F370" s="2315">
        <f t="shared" si="479"/>
        <v>7.4360324066411811</v>
      </c>
      <c r="G370" s="2315">
        <f t="shared" si="479"/>
        <v>7.536203159122743</v>
      </c>
      <c r="H370" s="2315">
        <f t="shared" si="479"/>
        <v>7.5744065039337656</v>
      </c>
      <c r="I370" s="2315">
        <f t="shared" si="479"/>
        <v>8.0135471708776187</v>
      </c>
      <c r="J370" s="2315">
        <f t="shared" si="479"/>
        <v>8.2096218821525309</v>
      </c>
      <c r="K370" s="2315">
        <f t="shared" si="479"/>
        <v>8.4397744291094625</v>
      </c>
      <c r="L370" s="2315">
        <f t="shared" si="479"/>
        <v>8.4847029189389929</v>
      </c>
      <c r="M370" s="2332">
        <f t="shared" si="472"/>
        <v>2.8256911842471751E-2</v>
      </c>
      <c r="N370" s="2047">
        <v>7</v>
      </c>
    </row>
    <row r="371" spans="2:14" x14ac:dyDescent="0.2">
      <c r="B371" s="2335" t="s">
        <v>7</v>
      </c>
      <c r="C371" s="2336" t="s">
        <v>1075</v>
      </c>
      <c r="D371" s="2331">
        <f t="shared" ref="D371:L371" si="480">D351*$M371</f>
        <v>3</v>
      </c>
      <c r="E371" s="2331">
        <f t="shared" si="480"/>
        <v>3.0330282456926922</v>
      </c>
      <c r="F371" s="2331">
        <f t="shared" si="480"/>
        <v>3.0702875808621024</v>
      </c>
      <c r="G371" s="2331">
        <f t="shared" si="480"/>
        <v>3.1100582847626979</v>
      </c>
      <c r="H371" s="2331">
        <f t="shared" si="480"/>
        <v>3.1367744828027928</v>
      </c>
      <c r="I371" s="2331">
        <f t="shared" si="480"/>
        <v>3.1645763146096204</v>
      </c>
      <c r="J371" s="2331">
        <f t="shared" si="480"/>
        <v>3.193871133030167</v>
      </c>
      <c r="K371" s="2331">
        <f t="shared" si="480"/>
        <v>3.2216825722154616</v>
      </c>
      <c r="L371" s="2331">
        <f t="shared" si="480"/>
        <v>3.2503778902196889</v>
      </c>
      <c r="M371" s="2323">
        <f t="shared" si="472"/>
        <v>1.9214756933324795E-3</v>
      </c>
      <c r="N371" s="2272">
        <v>3</v>
      </c>
    </row>
    <row r="372" spans="2:14" x14ac:dyDescent="0.2">
      <c r="B372" s="2016"/>
      <c r="C372" s="2014" t="s">
        <v>1265</v>
      </c>
      <c r="D372" s="2315">
        <f t="shared" ref="D372:L372" si="481">D352*$M372</f>
        <v>3</v>
      </c>
      <c r="E372" s="2315">
        <f t="shared" si="481"/>
        <v>3.160616864471669</v>
      </c>
      <c r="F372" s="2315">
        <f t="shared" si="481"/>
        <v>3.2473320252679936</v>
      </c>
      <c r="G372" s="2315">
        <f t="shared" si="481"/>
        <v>3.2977244448698317</v>
      </c>
      <c r="H372" s="2315">
        <f t="shared" si="481"/>
        <v>3.3756460566615618</v>
      </c>
      <c r="I372" s="2315">
        <f t="shared" si="481"/>
        <v>3.3953866768759569</v>
      </c>
      <c r="J372" s="2315">
        <f t="shared" si="481"/>
        <v>3.4534599923430322</v>
      </c>
      <c r="K372" s="2315">
        <f t="shared" si="481"/>
        <v>3.4813122128637057</v>
      </c>
      <c r="L372" s="2315">
        <f t="shared" si="481"/>
        <v>3.5367654096477796</v>
      </c>
      <c r="M372" s="2332">
        <f t="shared" si="472"/>
        <v>3.5892036753445634E-2</v>
      </c>
      <c r="N372" s="2047">
        <v>3</v>
      </c>
    </row>
    <row r="373" spans="2:14" x14ac:dyDescent="0.2">
      <c r="B373" s="2023" t="s">
        <v>8</v>
      </c>
      <c r="C373" s="2024" t="s">
        <v>1075</v>
      </c>
      <c r="D373" s="2331">
        <f t="shared" ref="D373:L373" si="482">D353*$M373</f>
        <v>0.5</v>
      </c>
      <c r="E373" s="2331">
        <f t="shared" si="482"/>
        <v>0.50441797300184121</v>
      </c>
      <c r="F373" s="2331">
        <f t="shared" si="482"/>
        <v>0.51043610062765121</v>
      </c>
      <c r="G373" s="2331">
        <f t="shared" si="482"/>
        <v>0.51520401208508393</v>
      </c>
      <c r="H373" s="2331">
        <f t="shared" si="482"/>
        <v>0.51902688625982929</v>
      </c>
      <c r="I373" s="2331">
        <f t="shared" si="482"/>
        <v>0.52078166485254773</v>
      </c>
      <c r="J373" s="2331">
        <f t="shared" si="482"/>
        <v>0.52132183148021938</v>
      </c>
      <c r="K373" s="2331">
        <f t="shared" si="482"/>
        <v>0.52282025980895797</v>
      </c>
      <c r="L373" s="2331">
        <f t="shared" si="482"/>
        <v>0.52418949574275453</v>
      </c>
      <c r="M373" s="2323">
        <f t="shared" si="472"/>
        <v>1.0172629523005402E-3</v>
      </c>
      <c r="N373" s="2272">
        <v>0.5</v>
      </c>
    </row>
    <row r="374" spans="2:14" x14ac:dyDescent="0.2">
      <c r="B374" s="2021"/>
      <c r="C374" s="2026" t="s">
        <v>1265</v>
      </c>
      <c r="D374" s="2315">
        <f t="shared" ref="D374:L374" si="483">D354*$M374</f>
        <v>0.49999999999999994</v>
      </c>
      <c r="E374" s="2315">
        <f t="shared" si="483"/>
        <v>0.51563494420637279</v>
      </c>
      <c r="F374" s="2315">
        <f t="shared" si="483"/>
        <v>0.52825745682888536</v>
      </c>
      <c r="G374" s="2315">
        <f t="shared" si="483"/>
        <v>0.52842717128431416</v>
      </c>
      <c r="H374" s="2315">
        <f t="shared" si="483"/>
        <v>0.53018795875938729</v>
      </c>
      <c r="I374" s="2315">
        <f t="shared" si="483"/>
        <v>0.53046374474945901</v>
      </c>
      <c r="J374" s="2315">
        <f t="shared" si="483"/>
        <v>0.52390852390852394</v>
      </c>
      <c r="K374" s="2315">
        <f t="shared" si="483"/>
        <v>0.53067588781874497</v>
      </c>
      <c r="L374" s="2315">
        <f t="shared" si="483"/>
        <v>0.53924646781789642</v>
      </c>
      <c r="M374" s="2332">
        <f t="shared" si="472"/>
        <v>2.1214306928592642E-2</v>
      </c>
      <c r="N374" s="2047">
        <v>0.5</v>
      </c>
    </row>
    <row r="375" spans="2:14" x14ac:dyDescent="0.2">
      <c r="B375" s="2333" t="s">
        <v>9</v>
      </c>
      <c r="C375" s="2334" t="s">
        <v>1075</v>
      </c>
      <c r="D375" s="2331">
        <f t="shared" ref="D375:L375" si="484">D355*$M375</f>
        <v>10</v>
      </c>
      <c r="E375" s="2331">
        <f t="shared" si="484"/>
        <v>10.187183885469432</v>
      </c>
      <c r="F375" s="2331">
        <f t="shared" si="484"/>
        <v>10.410112530160374</v>
      </c>
      <c r="G375" s="2331">
        <f t="shared" si="484"/>
        <v>10.617723671694456</v>
      </c>
      <c r="H375" s="2331">
        <f t="shared" si="484"/>
        <v>10.767532692720268</v>
      </c>
      <c r="I375" s="2331">
        <f t="shared" si="484"/>
        <v>10.937908077347709</v>
      </c>
      <c r="J375" s="2331">
        <f t="shared" si="484"/>
        <v>11.12958650774447</v>
      </c>
      <c r="K375" s="2331">
        <f t="shared" si="484"/>
        <v>11.333888457307211</v>
      </c>
      <c r="L375" s="2331">
        <f t="shared" si="484"/>
        <v>11.533298131942519</v>
      </c>
      <c r="M375" s="2323">
        <f t="shared" si="472"/>
        <v>1.9592610842746765E-3</v>
      </c>
      <c r="N375" s="2272">
        <v>10</v>
      </c>
    </row>
    <row r="376" spans="2:14" x14ac:dyDescent="0.2">
      <c r="B376" s="2032"/>
      <c r="C376" s="2030" t="s">
        <v>1265</v>
      </c>
      <c r="D376" s="2315">
        <f t="shared" ref="D376:L376" si="485">D356*$M376</f>
        <v>10</v>
      </c>
      <c r="E376" s="2315">
        <f t="shared" si="485"/>
        <v>10.339828788048013</v>
      </c>
      <c r="F376" s="2315">
        <f t="shared" si="485"/>
        <v>10.492283636315856</v>
      </c>
      <c r="G376" s="2315">
        <f t="shared" si="485"/>
        <v>10.680216018763675</v>
      </c>
      <c r="H376" s="2315">
        <f t="shared" si="485"/>
        <v>10.955955298306934</v>
      </c>
      <c r="I376" s="2315">
        <f t="shared" si="485"/>
        <v>11.16461575859509</v>
      </c>
      <c r="J376" s="2315">
        <f t="shared" si="485"/>
        <v>11.277881071421533</v>
      </c>
      <c r="K376" s="2315">
        <f t="shared" si="485"/>
        <v>11.394891235078083</v>
      </c>
      <c r="L376" s="2315">
        <f t="shared" si="485"/>
        <v>11.680649633070317</v>
      </c>
      <c r="M376" s="2332">
        <f t="shared" si="472"/>
        <v>3.2849568685163165E-2</v>
      </c>
      <c r="N376" s="2047">
        <v>10</v>
      </c>
    </row>
    <row r="377" spans="2:14" x14ac:dyDescent="0.2">
      <c r="B377" s="2034" t="s">
        <v>374</v>
      </c>
      <c r="C377" s="2035" t="s">
        <v>1075</v>
      </c>
      <c r="D377" s="2331">
        <f t="shared" ref="D377:L377" si="486">D357*$M377</f>
        <v>4</v>
      </c>
      <c r="E377" s="2331">
        <f t="shared" si="486"/>
        <v>4.1119744307170363</v>
      </c>
      <c r="F377" s="2331">
        <f t="shared" si="486"/>
        <v>4.2543465710611219</v>
      </c>
      <c r="G377" s="2331">
        <f t="shared" si="486"/>
        <v>4.3599267550594227</v>
      </c>
      <c r="H377" s="2331">
        <f t="shared" si="486"/>
        <v>4.4664641500876074</v>
      </c>
      <c r="I377" s="2331">
        <f t="shared" si="486"/>
        <v>4.6061534031789222</v>
      </c>
      <c r="J377" s="2331">
        <f t="shared" si="486"/>
        <v>4.7754738266822088</v>
      </c>
      <c r="K377" s="2331">
        <f t="shared" si="486"/>
        <v>4.8849887835860448</v>
      </c>
      <c r="L377" s="2331">
        <f t="shared" si="486"/>
        <v>4.9553852028078822</v>
      </c>
      <c r="M377" s="2323">
        <f t="shared" si="472"/>
        <v>1.9259779273299636E-3</v>
      </c>
      <c r="N377" s="2272">
        <v>4</v>
      </c>
    </row>
    <row r="378" spans="2:14" x14ac:dyDescent="0.2">
      <c r="B378" s="2038"/>
      <c r="C378" s="2039" t="s">
        <v>1265</v>
      </c>
      <c r="D378" s="2315">
        <f t="shared" ref="D378:L378" si="487">D358*$M378</f>
        <v>4</v>
      </c>
      <c r="E378" s="2315">
        <f t="shared" si="487"/>
        <v>4.2090492309010674</v>
      </c>
      <c r="F378" s="2315">
        <f t="shared" si="487"/>
        <v>4.3524572603796221</v>
      </c>
      <c r="G378" s="2315">
        <f t="shared" si="487"/>
        <v>4.5385620634988646</v>
      </c>
      <c r="H378" s="2315">
        <f t="shared" si="487"/>
        <v>4.710848793864348</v>
      </c>
      <c r="I378" s="2315">
        <f t="shared" si="487"/>
        <v>5.1373452161617896</v>
      </c>
      <c r="J378" s="2315">
        <f t="shared" si="487"/>
        <v>5.4202407986631824</v>
      </c>
      <c r="K378" s="2315">
        <f t="shared" si="487"/>
        <v>5.7211534341659895</v>
      </c>
      <c r="L378" s="2315">
        <f t="shared" si="487"/>
        <v>5.9195338274990368</v>
      </c>
      <c r="M378" s="2332">
        <f t="shared" si="472"/>
        <v>2.1423368610480314E-2</v>
      </c>
      <c r="N378" s="2047">
        <v>4</v>
      </c>
    </row>
    <row r="379" spans="2:14" x14ac:dyDescent="0.2">
      <c r="B379" s="2240" t="s">
        <v>433</v>
      </c>
      <c r="C379" s="1631" t="str">
        <f>C363</f>
        <v>Population</v>
      </c>
      <c r="D379" s="2331">
        <f t="shared" ref="D379:L379" si="488">D359*$M379</f>
        <v>40</v>
      </c>
      <c r="E379" s="2331">
        <f t="shared" si="488"/>
        <v>40.753316523363672</v>
      </c>
      <c r="F379" s="2331">
        <f t="shared" si="488"/>
        <v>41.6441453606297</v>
      </c>
      <c r="G379" s="2331">
        <f t="shared" si="488"/>
        <v>42.400134360808224</v>
      </c>
      <c r="H379" s="2331">
        <f t="shared" si="488"/>
        <v>42.995031966449361</v>
      </c>
      <c r="I379" s="2331">
        <f t="shared" si="488"/>
        <v>43.669522060103382</v>
      </c>
      <c r="J379" s="2331">
        <f t="shared" si="488"/>
        <v>44.446192695081365</v>
      </c>
      <c r="K379" s="2331">
        <f t="shared" si="488"/>
        <v>45.153912264603136</v>
      </c>
      <c r="L379" s="2331">
        <f t="shared" si="488"/>
        <v>45.790871319562584</v>
      </c>
      <c r="M379" s="2323">
        <f t="shared" si="472"/>
        <v>1.9393881094757438E-3</v>
      </c>
      <c r="N379" s="2272">
        <v>40</v>
      </c>
    </row>
    <row r="380" spans="2:14" x14ac:dyDescent="0.2">
      <c r="B380" s="1640"/>
      <c r="C380" s="1634" t="str">
        <f>C364</f>
        <v>Gross state product</v>
      </c>
      <c r="D380" s="2315">
        <f t="shared" ref="D380:L380" si="489">D360*$M380</f>
        <v>40</v>
      </c>
      <c r="E380" s="2315">
        <f t="shared" si="489"/>
        <v>41.484360562868261</v>
      </c>
      <c r="F380" s="2315">
        <f t="shared" si="489"/>
        <v>42.246656265620501</v>
      </c>
      <c r="G380" s="2315">
        <f t="shared" si="489"/>
        <v>43.108529362759199</v>
      </c>
      <c r="H380" s="2315">
        <f t="shared" si="489"/>
        <v>44.145836804556261</v>
      </c>
      <c r="I380" s="2315">
        <f t="shared" si="489"/>
        <v>45.72329177963919</v>
      </c>
      <c r="J380" s="2315">
        <f t="shared" si="489"/>
        <v>46.829791423681066</v>
      </c>
      <c r="K380" s="2315">
        <f t="shared" si="489"/>
        <v>48.003695905724108</v>
      </c>
      <c r="L380" s="2315">
        <f t="shared" si="489"/>
        <v>49.087505112164671</v>
      </c>
      <c r="M380" s="2325">
        <f t="shared" si="472"/>
        <v>3.0294309214014145E-2</v>
      </c>
      <c r="N380" s="2047">
        <v>40</v>
      </c>
    </row>
  </sheetData>
  <sheetProtection sheet="1" objects="1" scenarios="1"/>
  <sortState ref="AC205:AM212">
    <sortCondition ref="AD205:AD212"/>
  </sortState>
  <mergeCells count="24">
    <mergeCell ref="AA123:AA124"/>
    <mergeCell ref="Z76:Z77"/>
    <mergeCell ref="AA76:AA77"/>
    <mergeCell ref="M76:M77"/>
    <mergeCell ref="N76:N77"/>
    <mergeCell ref="M341:M342"/>
    <mergeCell ref="N341:N342"/>
    <mergeCell ref="D339:O339"/>
    <mergeCell ref="D340:O340"/>
    <mergeCell ref="Z123:Z124"/>
    <mergeCell ref="Z170:Z171"/>
    <mergeCell ref="D55:L55"/>
    <mergeCell ref="M170:M171"/>
    <mergeCell ref="N170:N171"/>
    <mergeCell ref="M123:M124"/>
    <mergeCell ref="N123:N124"/>
    <mergeCell ref="D73:Q73"/>
    <mergeCell ref="D74:Q74"/>
    <mergeCell ref="D75:Q75"/>
    <mergeCell ref="AA170:AA171"/>
    <mergeCell ref="M193:M194"/>
    <mergeCell ref="N193:N194"/>
    <mergeCell ref="Z193:Z194"/>
    <mergeCell ref="AA193:AA194"/>
  </mergeCells>
  <hyperlinks>
    <hyperlink ref="D73:Q73" r:id="rId1" display="Waste data to 2010-11: Workbooks created in 2015 that update the data in Waste Generation and Resource Recovery in Australia (reporting period 2010-11) for consistency with the methods set out in this workbook"/>
    <hyperlink ref="D75:Q75" r:id="rId2" display="Population data: Table 4 of ABS (2016) Australian Demographic Statistics, publication 3101.0, available from: www.abs.gov.au/ausstats/abs@.nsf/mf/3101.0"/>
    <hyperlink ref="D339:O339" r:id="rId3" display="Australian Bureau of Statistics (2016) Australian Demographic Statistics, Publication 3101, available from: www.abs.gov.au/ausstats/abs@.nsf/mf/3101.0"/>
    <hyperlink ref="D340:O340" r:id="rId4" display="Australian Bureau of Statistics (2015) AustAustralian National Accounts: State Accounts, Publication 5220, available from: www.abs.gov.au/ausstats/abs@.nsf/mf/3101.0"/>
  </hyperlinks>
  <pageMargins left="0.7" right="0.7" top="0.75" bottom="0.75" header="0.3" footer="0.3"/>
  <pageSetup paperSize="9" orientation="portrait" r:id="rId5"/>
  <drawing r:id="rId6"/>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V233"/>
  <sheetViews>
    <sheetView zoomScale="85" zoomScaleNormal="85" workbookViewId="0">
      <pane ySplit="3" topLeftCell="A4" activePane="bottomLeft" state="frozen"/>
      <selection pane="bottomLeft" activeCell="A4" sqref="A4"/>
    </sheetView>
  </sheetViews>
  <sheetFormatPr defaultColWidth="12.5703125" defaultRowHeight="15" x14ac:dyDescent="0.25"/>
  <cols>
    <col min="1" max="1" width="21.140625" style="2199" customWidth="1"/>
    <col min="2" max="2" width="14.42578125" style="2199" customWidth="1"/>
    <col min="3" max="5" width="12.5703125" style="2199"/>
    <col min="6" max="6" width="15" style="2199" customWidth="1"/>
    <col min="7" max="9" width="12.5703125" style="2199"/>
    <col min="10" max="10" width="15.42578125" style="2199" customWidth="1"/>
    <col min="11" max="12" width="12.5703125" style="2199"/>
    <col min="13" max="13" width="13.85546875" style="2199" customWidth="1"/>
    <col min="14" max="14" width="12.7109375" style="2199" customWidth="1"/>
    <col min="15" max="16384" width="12.5703125" style="2199"/>
  </cols>
  <sheetData>
    <row r="1" spans="1:22" s="2157" customFormat="1" ht="21" x14ac:dyDescent="0.35">
      <c r="A1" s="2156" t="s">
        <v>1250</v>
      </c>
    </row>
    <row r="2" spans="1:22" x14ac:dyDescent="0.25">
      <c r="A2" s="2158" t="s">
        <v>12</v>
      </c>
      <c r="B2" s="2159" t="s">
        <v>13</v>
      </c>
      <c r="C2" s="2199" t="s">
        <v>1137</v>
      </c>
      <c r="F2" s="2162" t="s">
        <v>15</v>
      </c>
      <c r="G2" s="2199" t="s">
        <v>1152</v>
      </c>
      <c r="H2" s="2160"/>
      <c r="I2" s="2160"/>
      <c r="J2" s="2161"/>
    </row>
    <row r="3" spans="1:22" ht="6.75" customHeight="1" x14ac:dyDescent="0.25"/>
    <row r="4" spans="1:22" s="2183" customFormat="1" ht="15.75" x14ac:dyDescent="0.25">
      <c r="A4" s="52" t="s">
        <v>1251</v>
      </c>
      <c r="B4" s="2182"/>
      <c r="C4" s="2182"/>
      <c r="D4" s="2182"/>
      <c r="E4" s="2182"/>
      <c r="F4" s="2182"/>
      <c r="G4" s="2182"/>
      <c r="H4" s="2182"/>
      <c r="I4" s="2182"/>
      <c r="J4" s="2182"/>
      <c r="K4" s="2182"/>
      <c r="L4" s="2182"/>
      <c r="M4" s="2182"/>
    </row>
    <row r="5" spans="1:22" x14ac:dyDescent="0.25">
      <c r="A5" s="2161" t="s">
        <v>1153</v>
      </c>
      <c r="N5" s="2163"/>
    </row>
    <row r="6" spans="1:22" x14ac:dyDescent="0.25">
      <c r="A6" s="2206" t="s">
        <v>433</v>
      </c>
      <c r="B6" s="2812" t="s">
        <v>1154</v>
      </c>
      <c r="C6" s="2812"/>
      <c r="D6" s="2812"/>
      <c r="E6" s="2812"/>
      <c r="F6" s="2812"/>
      <c r="G6" s="2812"/>
      <c r="H6" s="2812"/>
      <c r="I6" s="2812"/>
      <c r="J6" s="2812"/>
      <c r="K6" s="2812"/>
      <c r="L6" s="2812"/>
      <c r="M6" s="2812"/>
      <c r="N6" s="2163"/>
    </row>
    <row r="7" spans="1:22" ht="76.5" customHeight="1" x14ac:dyDescent="0.25">
      <c r="A7" s="2206" t="s">
        <v>1155</v>
      </c>
      <c r="B7" s="2812" t="s">
        <v>1156</v>
      </c>
      <c r="C7" s="2812"/>
      <c r="D7" s="2812"/>
      <c r="E7" s="2812"/>
      <c r="F7" s="2812"/>
      <c r="G7" s="2812"/>
      <c r="H7" s="2812"/>
      <c r="I7" s="2812"/>
      <c r="J7" s="2812"/>
      <c r="K7" s="2812"/>
      <c r="L7" s="2812"/>
      <c r="M7" s="2812"/>
      <c r="N7" s="2163"/>
    </row>
    <row r="8" spans="1:22" ht="49.5" customHeight="1" x14ac:dyDescent="0.25">
      <c r="A8" s="2206" t="s">
        <v>1157</v>
      </c>
      <c r="B8" s="2812" t="s">
        <v>1158</v>
      </c>
      <c r="C8" s="2812"/>
      <c r="D8" s="2812"/>
      <c r="E8" s="2812"/>
      <c r="F8" s="2812"/>
      <c r="G8" s="2812"/>
      <c r="H8" s="2812"/>
      <c r="I8" s="2813"/>
      <c r="J8" s="2813"/>
      <c r="K8" s="2813"/>
      <c r="L8" s="2813"/>
      <c r="M8" s="2813"/>
      <c r="N8" s="2163"/>
    </row>
    <row r="9" spans="1:22" x14ac:dyDescent="0.25">
      <c r="A9" s="2206" t="s">
        <v>1159</v>
      </c>
      <c r="B9" s="2812" t="s">
        <v>1160</v>
      </c>
      <c r="C9" s="2812"/>
      <c r="D9" s="2812"/>
      <c r="E9" s="2812"/>
      <c r="F9" s="2812"/>
      <c r="G9" s="2812"/>
      <c r="H9" s="2812"/>
      <c r="I9" s="2813"/>
      <c r="J9" s="2813"/>
      <c r="K9" s="2813"/>
      <c r="L9" s="2813"/>
      <c r="M9" s="2813"/>
      <c r="N9" s="2163"/>
    </row>
    <row r="10" spans="1:22" x14ac:dyDescent="0.25">
      <c r="A10" s="2199" t="s">
        <v>1161</v>
      </c>
      <c r="B10" s="2812" t="s">
        <v>1162</v>
      </c>
      <c r="C10" s="2812"/>
      <c r="D10" s="2812"/>
      <c r="E10" s="2812"/>
      <c r="F10" s="2812"/>
      <c r="G10" s="2812"/>
      <c r="H10" s="2812"/>
      <c r="I10" s="2813"/>
      <c r="J10" s="2813"/>
      <c r="K10" s="2813"/>
      <c r="L10" s="2813"/>
      <c r="M10" s="2813"/>
      <c r="N10" s="2163"/>
    </row>
    <row r="11" spans="1:22" ht="76.5" customHeight="1" x14ac:dyDescent="0.25">
      <c r="A11" s="2206" t="s">
        <v>1163</v>
      </c>
      <c r="B11" s="2812" t="s">
        <v>1164</v>
      </c>
      <c r="C11" s="2812"/>
      <c r="D11" s="2812"/>
      <c r="E11" s="2812"/>
      <c r="F11" s="2812"/>
      <c r="G11" s="2812"/>
      <c r="H11" s="2812"/>
      <c r="I11" s="2813"/>
      <c r="J11" s="2813"/>
      <c r="K11" s="2813"/>
      <c r="L11" s="2813"/>
      <c r="M11" s="2813"/>
    </row>
    <row r="12" spans="1:22" ht="29.25" customHeight="1" x14ac:dyDescent="0.25">
      <c r="A12" s="2206" t="s">
        <v>1165</v>
      </c>
      <c r="B12" s="2812" t="s">
        <v>1166</v>
      </c>
      <c r="C12" s="2812"/>
      <c r="D12" s="2812"/>
      <c r="E12" s="2812"/>
      <c r="F12" s="2812"/>
      <c r="G12" s="2812"/>
      <c r="H12" s="2812"/>
      <c r="I12" s="2813"/>
      <c r="J12" s="2813"/>
      <c r="K12" s="2813"/>
      <c r="L12" s="2813"/>
      <c r="M12" s="2813"/>
    </row>
    <row r="14" spans="1:22" x14ac:dyDescent="0.25">
      <c r="A14" s="2224" t="s">
        <v>1167</v>
      </c>
      <c r="J14" s="2224" t="s">
        <v>1168</v>
      </c>
    </row>
    <row r="15" spans="1:22" s="2165" customFormat="1" x14ac:dyDescent="0.25">
      <c r="A15" s="2161" t="s">
        <v>1170</v>
      </c>
      <c r="B15" s="2161" t="s">
        <v>1171</v>
      </c>
      <c r="C15" s="2161" t="s">
        <v>113</v>
      </c>
      <c r="D15" s="2161" t="s">
        <v>114</v>
      </c>
      <c r="E15" s="2161" t="s">
        <v>38</v>
      </c>
      <c r="F15" s="2161" t="s">
        <v>1258</v>
      </c>
      <c r="G15" s="2161" t="s">
        <v>117</v>
      </c>
      <c r="H15" s="2161" t="s">
        <v>1172</v>
      </c>
      <c r="J15" s="2161" t="s">
        <v>1170</v>
      </c>
      <c r="K15" s="2161" t="s">
        <v>113</v>
      </c>
      <c r="L15" s="2161" t="s">
        <v>114</v>
      </c>
      <c r="M15" s="2161" t="s">
        <v>38</v>
      </c>
      <c r="N15" s="2161" t="s">
        <v>1258</v>
      </c>
      <c r="O15" s="2161" t="s">
        <v>117</v>
      </c>
      <c r="P15" s="2161" t="s">
        <v>1173</v>
      </c>
      <c r="V15" s="2164"/>
    </row>
    <row r="16" spans="1:22" s="2165" customFormat="1" x14ac:dyDescent="0.2">
      <c r="A16" s="2166" t="s">
        <v>1175</v>
      </c>
      <c r="B16" s="2205">
        <f>'Trends and nat. data'!Y122/1000</f>
        <v>23614.205000000002</v>
      </c>
      <c r="C16" s="2205">
        <f>'Trends and nat. data'!H40</f>
        <v>26789.670052573729</v>
      </c>
      <c r="D16" s="2205">
        <f>'Trends and nat. data'!H41</f>
        <v>34770.604924866653</v>
      </c>
      <c r="E16" s="2205">
        <f>'Trends and nat. data'!H42</f>
        <v>2311.2814754915848</v>
      </c>
      <c r="F16" s="2173" t="s">
        <v>1181</v>
      </c>
      <c r="G16" s="2205">
        <f>'Trends and nat. data'!H43</f>
        <v>63871.55645293196</v>
      </c>
      <c r="H16" s="2167">
        <f t="shared" ref="H16:H23" si="0">SUM(D16:E16)/G16</f>
        <v>0.5805696378744819</v>
      </c>
      <c r="J16" s="2168" t="s">
        <v>1276</v>
      </c>
      <c r="K16" s="2169">
        <f>'Trends and nat. data'!P40</f>
        <v>1134.4726639145265</v>
      </c>
      <c r="L16" s="2169">
        <f>'Trends and nat. data'!P41</f>
        <v>1472.4444428625336</v>
      </c>
      <c r="M16" s="2169">
        <f>'Trends and nat. data'!P42</f>
        <v>97.876743065946314</v>
      </c>
      <c r="N16" s="2173" t="s">
        <v>1181</v>
      </c>
      <c r="O16" s="2169">
        <f>'Trends and nat. data'!P43</f>
        <v>2704.7938498430067</v>
      </c>
      <c r="P16" s="2170">
        <f>H16</f>
        <v>0.5805696378744819</v>
      </c>
      <c r="V16" s="2164"/>
    </row>
    <row r="17" spans="1:22" s="2165" customFormat="1" x14ac:dyDescent="0.2">
      <c r="A17" s="2172" t="s">
        <v>1282</v>
      </c>
      <c r="B17" s="2814">
        <v>5571</v>
      </c>
      <c r="C17" s="2173">
        <f>SUM(C18:C22)</f>
        <v>549.45100000000002</v>
      </c>
      <c r="D17" s="2173">
        <f>SUM(D18:D22)</f>
        <v>5592.6319999999996</v>
      </c>
      <c r="E17" s="2173">
        <f>SUM(E18:E22)</f>
        <v>2604.9349999999999</v>
      </c>
      <c r="F17" s="2173" t="s">
        <v>1181</v>
      </c>
      <c r="G17" s="2171">
        <v>9101.76</v>
      </c>
      <c r="H17" s="2167">
        <f t="shared" si="0"/>
        <v>0.90065734539253939</v>
      </c>
      <c r="J17" s="2168" t="s">
        <v>1277</v>
      </c>
      <c r="K17" s="2169">
        <f>C17/$B17*1000</f>
        <v>98.62699694848321</v>
      </c>
      <c r="L17" s="2169">
        <f>D17/$B17*1000</f>
        <v>1003.8829653563095</v>
      </c>
      <c r="M17" s="2169">
        <f>E17/G17*1000</f>
        <v>286.20124019969762</v>
      </c>
      <c r="N17" s="2173" t="s">
        <v>1181</v>
      </c>
      <c r="O17" s="2169">
        <f>G17/$B17*1000</f>
        <v>1633.7749057619817</v>
      </c>
      <c r="P17" s="2170">
        <f>H17</f>
        <v>0.90065734539253939</v>
      </c>
      <c r="V17" s="2164"/>
    </row>
    <row r="18" spans="1:22" s="2165" customFormat="1" ht="12.75" x14ac:dyDescent="0.2">
      <c r="A18" s="2174" t="s">
        <v>1176</v>
      </c>
      <c r="B18" s="2814"/>
      <c r="C18" s="2171">
        <v>100.44199999999999</v>
      </c>
      <c r="D18" s="2171">
        <f>856.388</f>
        <v>856.38800000000003</v>
      </c>
      <c r="E18" s="2171">
        <v>1342.7239999999999</v>
      </c>
      <c r="F18" s="2173" t="s">
        <v>1181</v>
      </c>
      <c r="G18" s="2171">
        <v>2399</v>
      </c>
      <c r="H18" s="2167">
        <f t="shared" si="0"/>
        <v>0.91667861609003753</v>
      </c>
      <c r="I18" s="2175"/>
      <c r="J18" s="2168" t="s">
        <v>1278</v>
      </c>
      <c r="K18" s="2169">
        <f>C23/$B23*1000</f>
        <v>1520.5348227816662</v>
      </c>
      <c r="L18" s="2169">
        <f>D23/$B23*1000</f>
        <v>579.25136105968238</v>
      </c>
      <c r="M18" s="2173" t="s">
        <v>1181</v>
      </c>
      <c r="N18" s="2173" t="s">
        <v>1181</v>
      </c>
      <c r="O18" s="2169">
        <f>G23/$B23*1000</f>
        <v>2099.7861838413487</v>
      </c>
      <c r="P18" s="2170">
        <f>H23</f>
        <v>0.27586206896551724</v>
      </c>
      <c r="V18" s="2164"/>
    </row>
    <row r="19" spans="1:22" s="2165" customFormat="1" ht="12.75" x14ac:dyDescent="0.2">
      <c r="A19" s="2174" t="s">
        <v>1177</v>
      </c>
      <c r="B19" s="2814"/>
      <c r="C19" s="2171">
        <v>208.15199999999999</v>
      </c>
      <c r="D19" s="2171">
        <f>2317.832</f>
        <v>2317.8319999999999</v>
      </c>
      <c r="E19" s="2171">
        <v>88.23</v>
      </c>
      <c r="F19" s="2173" t="s">
        <v>1181</v>
      </c>
      <c r="G19" s="2171">
        <v>2663.4479999999999</v>
      </c>
      <c r="H19" s="2167">
        <f t="shared" si="0"/>
        <v>0.90336360987712172</v>
      </c>
      <c r="J19" s="2165" t="s">
        <v>1279</v>
      </c>
      <c r="K19" s="2169">
        <f>C24/$B24*1000</f>
        <v>464.74596067743812</v>
      </c>
      <c r="L19" s="2173" t="s">
        <v>1181</v>
      </c>
      <c r="M19" s="2173" t="s">
        <v>1181</v>
      </c>
      <c r="N19" s="2169">
        <f>F24/$B24*1000</f>
        <v>1858.9838427097529</v>
      </c>
      <c r="O19" s="2169">
        <f>G24/$B24*1000</f>
        <v>2323.7298033871912</v>
      </c>
      <c r="P19" s="2170">
        <f>H24</f>
        <v>0.8</v>
      </c>
      <c r="V19" s="2164"/>
    </row>
    <row r="20" spans="1:22" s="2165" customFormat="1" ht="12.75" x14ac:dyDescent="0.2">
      <c r="A20" s="2174" t="s">
        <v>1178</v>
      </c>
      <c r="B20" s="2814"/>
      <c r="C20" s="2171">
        <v>55.994999999999997</v>
      </c>
      <c r="D20" s="2171">
        <f>764.64</f>
        <v>764.64</v>
      </c>
      <c r="E20" s="2171">
        <v>165.65199999999999</v>
      </c>
      <c r="F20" s="2173" t="s">
        <v>1181</v>
      </c>
      <c r="G20" s="2171">
        <v>1076.0409999999999</v>
      </c>
      <c r="H20" s="2167">
        <f t="shared" si="0"/>
        <v>0.86455070020566127</v>
      </c>
      <c r="J20" s="2168" t="s">
        <v>1280</v>
      </c>
      <c r="K20" s="2169">
        <f>C30/$B30*1000</f>
        <v>1409.1790072715778</v>
      </c>
      <c r="L20" s="2169">
        <f>D30/$B30*1000</f>
        <v>1576.3027189377174</v>
      </c>
      <c r="M20" s="2169">
        <f>E30/G30*1000</f>
        <v>25.598203087220302</v>
      </c>
      <c r="N20" s="2173" t="s">
        <v>1181</v>
      </c>
      <c r="O20" s="2169">
        <f>G30/$B30*1000</f>
        <v>3063.9123774897248</v>
      </c>
      <c r="P20" s="2170">
        <f>H30</f>
        <v>0.54007202763868745</v>
      </c>
      <c r="V20" s="2164"/>
    </row>
    <row r="21" spans="1:22" s="2165" customFormat="1" ht="12.75" x14ac:dyDescent="0.2">
      <c r="A21" s="2174" t="s">
        <v>1179</v>
      </c>
      <c r="B21" s="2814"/>
      <c r="C21" s="2171">
        <v>58.226999999999997</v>
      </c>
      <c r="D21" s="2171">
        <f>1093.414</f>
        <v>1093.414</v>
      </c>
      <c r="E21" s="2171">
        <v>626.79100000000005</v>
      </c>
      <c r="F21" s="2173" t="s">
        <v>1181</v>
      </c>
      <c r="G21" s="2171">
        <v>1857.5139999999999</v>
      </c>
      <c r="H21" s="2167">
        <f t="shared" si="0"/>
        <v>0.92607915741146496</v>
      </c>
      <c r="I21" s="2176"/>
      <c r="J21" s="2168" t="s">
        <v>1281</v>
      </c>
      <c r="K21" s="2169">
        <f>C34/$B34*1000</f>
        <v>1297.0211527572603</v>
      </c>
      <c r="L21" s="2169">
        <f>D34/$B34*1000</f>
        <v>1080.9637837718146</v>
      </c>
      <c r="M21" s="2169">
        <f>E34/G34*1000</f>
        <v>41.636389133233898</v>
      </c>
      <c r="N21" s="2173" t="s">
        <v>1181</v>
      </c>
      <c r="O21" s="2169">
        <f>G34/$B34*1000</f>
        <v>2481.2971919691013</v>
      </c>
      <c r="P21" s="2170">
        <f>H34</f>
        <v>0.47728101375556148</v>
      </c>
      <c r="V21" s="2164"/>
    </row>
    <row r="22" spans="1:22" s="2165" customFormat="1" ht="12.75" x14ac:dyDescent="0.2">
      <c r="A22" s="2174" t="s">
        <v>1180</v>
      </c>
      <c r="B22" s="2814"/>
      <c r="C22" s="2171">
        <v>126.63500000000001</v>
      </c>
      <c r="D22" s="2171">
        <f>560.358</f>
        <v>560.35799999999995</v>
      </c>
      <c r="E22" s="2171">
        <v>381.53800000000001</v>
      </c>
      <c r="F22" s="2173" t="s">
        <v>1181</v>
      </c>
      <c r="G22" s="2171">
        <v>1105.7570000000001</v>
      </c>
      <c r="H22" s="2167">
        <f t="shared" si="0"/>
        <v>0.85181102177060597</v>
      </c>
      <c r="J22" s="2168"/>
      <c r="K22" s="2169"/>
      <c r="L22" s="2169"/>
      <c r="M22" s="2173"/>
      <c r="N22" s="2173"/>
      <c r="O22" s="2169"/>
      <c r="P22" s="2170"/>
      <c r="V22" s="2164"/>
    </row>
    <row r="23" spans="1:22" s="2165" customFormat="1" x14ac:dyDescent="0.2">
      <c r="A23" s="338" t="s">
        <v>1283</v>
      </c>
      <c r="B23" s="2177">
        <v>4143.2790000000005</v>
      </c>
      <c r="C23" s="2177">
        <v>6300</v>
      </c>
      <c r="D23" s="2177">
        <v>2400</v>
      </c>
      <c r="E23" s="2173" t="s">
        <v>1181</v>
      </c>
      <c r="F23" s="2173" t="s">
        <v>1181</v>
      </c>
      <c r="G23" s="2177">
        <v>8700</v>
      </c>
      <c r="H23" s="2167">
        <f t="shared" si="0"/>
        <v>0.27586206896551724</v>
      </c>
      <c r="V23" s="2164"/>
    </row>
    <row r="24" spans="1:22" s="2165" customFormat="1" x14ac:dyDescent="0.2">
      <c r="A24" s="2172" t="s">
        <v>1284</v>
      </c>
      <c r="B24" s="2814">
        <v>5137</v>
      </c>
      <c r="C24" s="2173">
        <f>G24-F24</f>
        <v>2387.3999999999996</v>
      </c>
      <c r="D24" s="2171" t="s">
        <v>1181</v>
      </c>
      <c r="E24" s="2171" t="s">
        <v>1181</v>
      </c>
      <c r="F24" s="2230">
        <f>G24*0.8</f>
        <v>9549.6</v>
      </c>
      <c r="G24" s="2177">
        <v>11937</v>
      </c>
      <c r="H24" s="2167">
        <f>F24/G24</f>
        <v>0.8</v>
      </c>
      <c r="V24" s="2164"/>
    </row>
    <row r="25" spans="1:22" s="2165" customFormat="1" ht="12.75" x14ac:dyDescent="0.2">
      <c r="A25" s="2174" t="s">
        <v>1178</v>
      </c>
      <c r="B25" s="2814"/>
      <c r="C25" s="2171" t="s">
        <v>1181</v>
      </c>
      <c r="D25" s="2171" t="s">
        <v>1181</v>
      </c>
      <c r="E25" s="2171" t="s">
        <v>1181</v>
      </c>
      <c r="F25" s="2173" t="s">
        <v>1181</v>
      </c>
      <c r="G25" s="2177">
        <v>2623</v>
      </c>
      <c r="H25" s="2167" t="s">
        <v>1181</v>
      </c>
      <c r="V25" s="2164"/>
    </row>
    <row r="26" spans="1:22" s="2165" customFormat="1" ht="12.75" x14ac:dyDescent="0.2">
      <c r="A26" s="2174" t="s">
        <v>1182</v>
      </c>
      <c r="B26" s="2814"/>
      <c r="C26" s="2171" t="s">
        <v>1181</v>
      </c>
      <c r="D26" s="2171" t="s">
        <v>1181</v>
      </c>
      <c r="E26" s="2171" t="s">
        <v>1181</v>
      </c>
      <c r="F26" s="2173" t="s">
        <v>1181</v>
      </c>
      <c r="G26" s="2177">
        <v>2476</v>
      </c>
      <c r="H26" s="2167" t="s">
        <v>1181</v>
      </c>
      <c r="I26" s="216"/>
      <c r="V26" s="2164"/>
    </row>
    <row r="27" spans="1:22" s="2165" customFormat="1" ht="12.75" x14ac:dyDescent="0.2">
      <c r="A27" s="2174" t="s">
        <v>1183</v>
      </c>
      <c r="B27" s="2814"/>
      <c r="C27" s="2171" t="s">
        <v>1181</v>
      </c>
      <c r="D27" s="2171" t="s">
        <v>1181</v>
      </c>
      <c r="E27" s="2171" t="s">
        <v>1181</v>
      </c>
      <c r="F27" s="2173" t="s">
        <v>1181</v>
      </c>
      <c r="G27" s="2177">
        <v>2156</v>
      </c>
      <c r="H27" s="2167" t="s">
        <v>1181</v>
      </c>
      <c r="I27" s="2176"/>
      <c r="J27" s="2175"/>
      <c r="V27" s="2164"/>
    </row>
    <row r="28" spans="1:22" s="2165" customFormat="1" ht="12.75" x14ac:dyDescent="0.2">
      <c r="A28" s="2174" t="s">
        <v>1184</v>
      </c>
      <c r="B28" s="2814"/>
      <c r="C28" s="2171" t="s">
        <v>1181</v>
      </c>
      <c r="D28" s="2171" t="s">
        <v>1181</v>
      </c>
      <c r="E28" s="2171" t="s">
        <v>1181</v>
      </c>
      <c r="F28" s="2173" t="s">
        <v>1181</v>
      </c>
      <c r="G28" s="2177">
        <v>2439</v>
      </c>
      <c r="H28" s="2167" t="s">
        <v>1181</v>
      </c>
      <c r="K28" s="2175"/>
      <c r="V28" s="2164"/>
    </row>
    <row r="29" spans="1:22" s="2165" customFormat="1" ht="12.75" x14ac:dyDescent="0.2">
      <c r="A29" s="2174" t="s">
        <v>1185</v>
      </c>
      <c r="B29" s="2814"/>
      <c r="C29" s="2171" t="s">
        <v>1181</v>
      </c>
      <c r="D29" s="2171" t="s">
        <v>1181</v>
      </c>
      <c r="E29" s="2171" t="s">
        <v>1181</v>
      </c>
      <c r="F29" s="2173" t="s">
        <v>1181</v>
      </c>
      <c r="G29" s="2177">
        <v>2243</v>
      </c>
      <c r="H29" s="2167" t="s">
        <v>1181</v>
      </c>
      <c r="V29" s="2164"/>
    </row>
    <row r="30" spans="1:22" s="2165" customFormat="1" x14ac:dyDescent="0.2">
      <c r="A30" s="338" t="s">
        <v>1285</v>
      </c>
      <c r="B30" s="2814">
        <v>63260</v>
      </c>
      <c r="C30" s="2173">
        <f>SUM(C31:C33)</f>
        <v>89144.664000000004</v>
      </c>
      <c r="D30" s="2173">
        <f>SUM(D31:D33)</f>
        <v>99716.91</v>
      </c>
      <c r="E30" s="2173">
        <f>SUM(E31:E33)</f>
        <v>4961.5230000000001</v>
      </c>
      <c r="F30" s="2173" t="s">
        <v>1181</v>
      </c>
      <c r="G30" s="2173">
        <f>SUM(C30:E30)</f>
        <v>193823.09700000001</v>
      </c>
      <c r="H30" s="2167">
        <f t="shared" ref="H30:H36" si="1">SUM(D30:E30)/G30</f>
        <v>0.54007202763868745</v>
      </c>
      <c r="V30" s="2164"/>
    </row>
    <row r="31" spans="1:22" s="2165" customFormat="1" ht="12.75" x14ac:dyDescent="0.2">
      <c r="A31" s="2174" t="s">
        <v>1186</v>
      </c>
      <c r="B31" s="2814"/>
      <c r="C31" s="2171">
        <f>13004.365+2430.527</f>
        <v>15434.892</v>
      </c>
      <c r="D31" s="2171">
        <f>12922.916</f>
        <v>12922.915999999999</v>
      </c>
      <c r="E31" s="2171">
        <v>3676.39</v>
      </c>
      <c r="F31" s="2173" t="s">
        <v>1181</v>
      </c>
      <c r="G31" s="2173">
        <f>SUM(C31:E31)</f>
        <v>32034.197999999997</v>
      </c>
      <c r="H31" s="2167">
        <f t="shared" si="1"/>
        <v>0.51817454584004263</v>
      </c>
      <c r="V31" s="2164"/>
    </row>
    <row r="32" spans="1:22" s="2165" customFormat="1" ht="12.75" x14ac:dyDescent="0.2">
      <c r="A32" s="2174" t="s">
        <v>17</v>
      </c>
      <c r="B32" s="2814"/>
      <c r="C32" s="2171">
        <f>19082.216+9152.919</f>
        <v>28235.135000000002</v>
      </c>
      <c r="D32" s="2171">
        <f>31648.028</f>
        <v>31648.027999999998</v>
      </c>
      <c r="E32" s="2171">
        <v>1285.133</v>
      </c>
      <c r="F32" s="2173" t="s">
        <v>1181</v>
      </c>
      <c r="G32" s="2173">
        <f>SUM(C32:E32)</f>
        <v>61168.296000000002</v>
      </c>
      <c r="H32" s="2167">
        <f t="shared" si="1"/>
        <v>0.53840245933939368</v>
      </c>
      <c r="V32" s="2164"/>
    </row>
    <row r="33" spans="1:22" s="2165" customFormat="1" ht="12.75" x14ac:dyDescent="0.2">
      <c r="A33" s="2174" t="s">
        <v>1187</v>
      </c>
      <c r="B33" s="2814"/>
      <c r="C33" s="2171">
        <f>23782.225+21692.412</f>
        <v>45474.637000000002</v>
      </c>
      <c r="D33" s="2171">
        <v>55145.966</v>
      </c>
      <c r="E33" s="2171">
        <v>0</v>
      </c>
      <c r="F33" s="2173" t="s">
        <v>1181</v>
      </c>
      <c r="G33" s="2173">
        <f>SUM(C33:E33)</f>
        <v>100620.603</v>
      </c>
      <c r="H33" s="2167">
        <f t="shared" si="1"/>
        <v>0.54805839317023375</v>
      </c>
      <c r="V33" s="2164"/>
    </row>
    <row r="34" spans="1:22" s="2165" customFormat="1" ht="12.75" x14ac:dyDescent="0.2">
      <c r="A34" s="338" t="s">
        <v>1165</v>
      </c>
      <c r="B34" s="2814">
        <v>316129</v>
      </c>
      <c r="C34" s="2178">
        <f t="shared" ref="C34:D34" si="2">SUM(C35:C36)</f>
        <v>410026</v>
      </c>
      <c r="D34" s="2178">
        <f t="shared" si="2"/>
        <v>341724</v>
      </c>
      <c r="E34" s="2178">
        <f>SUM(E35:E36)</f>
        <v>32660</v>
      </c>
      <c r="F34" s="2173" t="s">
        <v>1181</v>
      </c>
      <c r="G34" s="2178">
        <f>SUM(G35:G36)</f>
        <v>784410</v>
      </c>
      <c r="H34" s="2167">
        <f t="shared" si="1"/>
        <v>0.47728101375556148</v>
      </c>
      <c r="V34" s="2164"/>
    </row>
    <row r="35" spans="1:22" s="2165" customFormat="1" x14ac:dyDescent="0.2">
      <c r="A35" s="2174" t="s">
        <v>1286</v>
      </c>
      <c r="B35" s="2814"/>
      <c r="C35" s="2171">
        <v>134270</v>
      </c>
      <c r="D35" s="2171">
        <f>64740+22440</f>
        <v>87180</v>
      </c>
      <c r="E35" s="2171">
        <v>32660</v>
      </c>
      <c r="F35" s="2173" t="s">
        <v>1181</v>
      </c>
      <c r="G35" s="2171">
        <v>254110</v>
      </c>
      <c r="H35" s="2167">
        <f t="shared" si="1"/>
        <v>0.47160678446342136</v>
      </c>
      <c r="V35" s="2164"/>
    </row>
    <row r="36" spans="1:22" s="2165" customFormat="1" x14ac:dyDescent="0.2">
      <c r="A36" s="2174" t="s">
        <v>1287</v>
      </c>
      <c r="B36" s="2814"/>
      <c r="C36" s="2173">
        <f>G36-D36</f>
        <v>275756</v>
      </c>
      <c r="D36" s="2173">
        <f>G36*0.48</f>
        <v>254544</v>
      </c>
      <c r="E36" s="2171" t="s">
        <v>1181</v>
      </c>
      <c r="F36" s="2173" t="s">
        <v>1181</v>
      </c>
      <c r="G36" s="2171">
        <v>530300</v>
      </c>
      <c r="H36" s="2167">
        <f t="shared" si="1"/>
        <v>0.48</v>
      </c>
      <c r="V36" s="2164"/>
    </row>
    <row r="37" spans="1:22" s="2165" customFormat="1" ht="12.75" x14ac:dyDescent="0.2">
      <c r="V37" s="2164"/>
    </row>
    <row r="38" spans="1:22" s="2165" customFormat="1" ht="12.75" x14ac:dyDescent="0.2">
      <c r="A38" s="2179" t="s">
        <v>1188</v>
      </c>
      <c r="H38" s="2176"/>
      <c r="V38" s="2164"/>
    </row>
    <row r="39" spans="1:22" s="2165" customFormat="1" ht="12.75" x14ac:dyDescent="0.2">
      <c r="A39" s="338" t="s">
        <v>952</v>
      </c>
    </row>
    <row r="40" spans="1:22" s="2165" customFormat="1" x14ac:dyDescent="0.25">
      <c r="A40" s="2165">
        <v>1</v>
      </c>
      <c r="B40" s="2165" t="s">
        <v>1190</v>
      </c>
      <c r="I40" s="2180" t="s">
        <v>1189</v>
      </c>
    </row>
    <row r="41" spans="1:22" s="2165" customFormat="1" ht="12.75" x14ac:dyDescent="0.2">
      <c r="A41" s="2165">
        <v>2</v>
      </c>
      <c r="B41" s="2165" t="s">
        <v>1191</v>
      </c>
      <c r="I41" s="2267" t="s">
        <v>1192</v>
      </c>
      <c r="N41" s="2181"/>
      <c r="O41" s="2181"/>
    </row>
    <row r="42" spans="1:22" s="2165" customFormat="1" ht="12.75" x14ac:dyDescent="0.2">
      <c r="A42" s="2165">
        <v>3</v>
      </c>
      <c r="B42" s="2165" t="s">
        <v>1193</v>
      </c>
      <c r="I42" s="2267" t="s">
        <v>1293</v>
      </c>
      <c r="N42" s="2181"/>
      <c r="O42" s="2181"/>
    </row>
    <row r="43" spans="1:22" s="2165" customFormat="1" ht="12.75" x14ac:dyDescent="0.2">
      <c r="A43" s="2165">
        <v>4</v>
      </c>
      <c r="B43" s="2165" t="s">
        <v>1195</v>
      </c>
      <c r="I43" s="2267" t="s">
        <v>1196</v>
      </c>
    </row>
    <row r="44" spans="1:22" s="2165" customFormat="1" ht="12.75" x14ac:dyDescent="0.2">
      <c r="A44" s="2165">
        <v>5</v>
      </c>
      <c r="B44" s="2165" t="s">
        <v>1197</v>
      </c>
      <c r="I44" s="2267" t="s">
        <v>1194</v>
      </c>
    </row>
    <row r="45" spans="1:22" s="2165" customFormat="1" ht="12.75" x14ac:dyDescent="0.2">
      <c r="A45" s="2165">
        <v>6</v>
      </c>
      <c r="B45" s="2165" t="s">
        <v>1199</v>
      </c>
      <c r="I45" s="2267" t="s">
        <v>1198</v>
      </c>
    </row>
    <row r="46" spans="1:22" s="2165" customFormat="1" ht="12.75" x14ac:dyDescent="0.2">
      <c r="A46" s="2165">
        <v>7</v>
      </c>
      <c r="B46" s="2165" t="s">
        <v>1201</v>
      </c>
      <c r="I46" s="2267" t="s">
        <v>1200</v>
      </c>
    </row>
    <row r="47" spans="1:22" s="2165" customFormat="1" ht="12.75" x14ac:dyDescent="0.2"/>
    <row r="48" spans="1:22" s="2165" customFormat="1" ht="12.75" x14ac:dyDescent="0.2">
      <c r="A48" s="2207" t="s">
        <v>1202</v>
      </c>
    </row>
    <row r="49" spans="9:9" s="2165" customFormat="1" ht="12.75" x14ac:dyDescent="0.2"/>
    <row r="50" spans="9:9" s="2165" customFormat="1" ht="12.75" x14ac:dyDescent="0.2"/>
    <row r="51" spans="9:9" s="2165" customFormat="1" ht="12.75" x14ac:dyDescent="0.2"/>
    <row r="52" spans="9:9" s="2165" customFormat="1" x14ac:dyDescent="0.25">
      <c r="I52" s="2199"/>
    </row>
    <row r="53" spans="9:9" s="2165" customFormat="1" x14ac:dyDescent="0.25">
      <c r="I53" s="2225" t="s">
        <v>1169</v>
      </c>
    </row>
    <row r="54" spans="9:9" s="2165" customFormat="1" ht="12.75" x14ac:dyDescent="0.2">
      <c r="I54" s="2164" t="s">
        <v>1174</v>
      </c>
    </row>
    <row r="55" spans="9:9" s="2165" customFormat="1" ht="12.75" x14ac:dyDescent="0.2">
      <c r="I55" s="2164" t="s">
        <v>1169</v>
      </c>
    </row>
    <row r="56" spans="9:9" s="2165" customFormat="1" ht="12.75" x14ac:dyDescent="0.2">
      <c r="I56" s="2164" t="s">
        <v>1174</v>
      </c>
    </row>
    <row r="57" spans="9:9" s="2165" customFormat="1" ht="12.75" x14ac:dyDescent="0.2">
      <c r="I57" s="2164" t="s">
        <v>1169</v>
      </c>
    </row>
    <row r="58" spans="9:9" s="2165" customFormat="1" ht="12.75" x14ac:dyDescent="0.2">
      <c r="I58" s="2164" t="s">
        <v>1174</v>
      </c>
    </row>
    <row r="59" spans="9:9" s="2165" customFormat="1" ht="12.75" x14ac:dyDescent="0.2">
      <c r="I59" s="2164" t="s">
        <v>1169</v>
      </c>
    </row>
    <row r="60" spans="9:9" s="2165" customFormat="1" ht="12.75" x14ac:dyDescent="0.2">
      <c r="I60" s="2164" t="s">
        <v>1174</v>
      </c>
    </row>
    <row r="61" spans="9:9" s="2165" customFormat="1" ht="12.75" x14ac:dyDescent="0.2">
      <c r="I61" s="2164" t="s">
        <v>1169</v>
      </c>
    </row>
    <row r="62" spans="9:9" s="2165" customFormat="1" ht="12.75" x14ac:dyDescent="0.2">
      <c r="I62" s="2164" t="s">
        <v>1174</v>
      </c>
    </row>
    <row r="63" spans="9:9" s="2165" customFormat="1" ht="12.75" x14ac:dyDescent="0.2">
      <c r="I63" s="2164" t="s">
        <v>1169</v>
      </c>
    </row>
    <row r="64" spans="9:9" s="2165" customFormat="1" ht="12.75" x14ac:dyDescent="0.2">
      <c r="I64" s="2164" t="s">
        <v>1174</v>
      </c>
    </row>
    <row r="65" spans="1:13" s="2165" customFormat="1" ht="12.75" x14ac:dyDescent="0.2">
      <c r="I65" s="2164"/>
    </row>
    <row r="66" spans="1:13" s="2165" customFormat="1" ht="12.75" x14ac:dyDescent="0.2">
      <c r="I66" s="2164"/>
    </row>
    <row r="67" spans="1:13" s="2165" customFormat="1" ht="12.75" x14ac:dyDescent="0.2"/>
    <row r="68" spans="1:13" s="2165" customFormat="1" ht="12.75" x14ac:dyDescent="0.2"/>
    <row r="69" spans="1:13" s="2165" customFormat="1" ht="12.75" x14ac:dyDescent="0.2"/>
    <row r="70" spans="1:13" s="2165" customFormat="1" ht="12.75" x14ac:dyDescent="0.2"/>
    <row r="71" spans="1:13" s="2165" customFormat="1" ht="12.75" x14ac:dyDescent="0.2"/>
    <row r="72" spans="1:13" s="2165" customFormat="1" ht="12.75" x14ac:dyDescent="0.2"/>
    <row r="73" spans="1:13" s="2165" customFormat="1" ht="12.75" x14ac:dyDescent="0.2"/>
    <row r="74" spans="1:13" s="2165" customFormat="1" ht="12.75" x14ac:dyDescent="0.2"/>
    <row r="75" spans="1:13" s="2183" customFormat="1" ht="15.75" x14ac:dyDescent="0.25">
      <c r="A75" s="52" t="s">
        <v>1255</v>
      </c>
      <c r="B75" s="2182"/>
      <c r="C75" s="2182"/>
      <c r="D75" s="2182"/>
      <c r="E75" s="2182"/>
      <c r="F75" s="2182"/>
      <c r="G75" s="2182"/>
      <c r="H75" s="2182"/>
      <c r="I75" s="2182"/>
      <c r="J75" s="2182"/>
      <c r="K75" s="2182"/>
      <c r="L75" s="2182"/>
      <c r="M75" s="2182"/>
    </row>
    <row r="76" spans="1:13" s="2184" customFormat="1" x14ac:dyDescent="0.25">
      <c r="A76" s="2184" t="s">
        <v>952</v>
      </c>
      <c r="B76" s="2231" t="s">
        <v>1263</v>
      </c>
      <c r="C76" s="2268" t="s">
        <v>1203</v>
      </c>
      <c r="F76" s="2247" t="s">
        <v>705</v>
      </c>
      <c r="G76" s="2246" t="s">
        <v>1275</v>
      </c>
      <c r="M76" s="2248">
        <v>0.7</v>
      </c>
    </row>
    <row r="77" spans="1:13" s="2184" customFormat="1" x14ac:dyDescent="0.25">
      <c r="B77" s="2231" t="s">
        <v>1264</v>
      </c>
      <c r="C77" s="2268" t="s">
        <v>1204</v>
      </c>
    </row>
    <row r="78" spans="1:13" x14ac:dyDescent="0.25">
      <c r="A78" s="2208" t="s">
        <v>1253</v>
      </c>
    </row>
    <row r="79" spans="1:13" ht="46.5" customHeight="1" x14ac:dyDescent="0.25">
      <c r="A79" s="2208"/>
      <c r="B79" s="2226" t="s">
        <v>1252</v>
      </c>
      <c r="C79" s="2161" t="s">
        <v>1171</v>
      </c>
      <c r="D79" s="2226" t="s">
        <v>117</v>
      </c>
      <c r="E79" s="2226" t="s">
        <v>1205</v>
      </c>
      <c r="F79" s="2226" t="s">
        <v>447</v>
      </c>
      <c r="G79" s="2226" t="s">
        <v>1206</v>
      </c>
      <c r="H79" s="2226" t="s">
        <v>1207</v>
      </c>
      <c r="I79" s="2226" t="s">
        <v>38</v>
      </c>
      <c r="J79" s="2226" t="s">
        <v>1208</v>
      </c>
      <c r="K79" s="2226" t="s">
        <v>1209</v>
      </c>
      <c r="L79" s="2226" t="s">
        <v>1210</v>
      </c>
      <c r="M79" s="2185" t="s">
        <v>88</v>
      </c>
    </row>
    <row r="80" spans="1:13" x14ac:dyDescent="0.25">
      <c r="A80" s="2210" t="s">
        <v>1211</v>
      </c>
      <c r="B80" s="2227">
        <v>2015</v>
      </c>
      <c r="C80" s="2198">
        <f>'Trends and nat. data'!$Y$122/1000</f>
        <v>23614.205000000002</v>
      </c>
      <c r="D80" s="2198">
        <f>'Trends and nat. data'!D43</f>
        <v>13344.539403000717</v>
      </c>
      <c r="E80" s="2198">
        <f>'Trends and nat. data'!D40</f>
        <v>6486.1293658881787</v>
      </c>
      <c r="F80" s="2198">
        <f>'Trends and nat. data'!D41-G80</f>
        <v>3339.5031421817571</v>
      </c>
      <c r="G80" s="2198">
        <f>SUM(ACT.!N21,NSW.!N21,NT.!I21,Tas.!I21,Vic.!I21,WA.!I21)/1000+SUM(Qld.!L21,SA.!L21)/1000*$M$76</f>
        <v>2265.6931533031625</v>
      </c>
      <c r="H80" s="2198">
        <v>0</v>
      </c>
      <c r="I80" s="2198">
        <f>'Trends and nat. data'!D42</f>
        <v>1253.2137416276182</v>
      </c>
      <c r="J80" s="2186">
        <v>0</v>
      </c>
      <c r="K80" s="2186">
        <v>0</v>
      </c>
      <c r="L80" s="2186">
        <v>0</v>
      </c>
      <c r="M80" s="2187">
        <f t="shared" ref="M80:M108" si="3">SUM(E80:L80)</f>
        <v>13344.539403000716</v>
      </c>
    </row>
    <row r="81" spans="1:13" x14ac:dyDescent="0.25">
      <c r="A81" s="2210" t="s">
        <v>1212</v>
      </c>
      <c r="B81" s="2188">
        <v>2013</v>
      </c>
      <c r="C81" s="2189">
        <v>8468.57</v>
      </c>
      <c r="D81" s="2189">
        <v>4832.5</v>
      </c>
      <c r="E81" s="2189">
        <v>199</v>
      </c>
      <c r="F81" s="2189">
        <v>1202.4000000000001</v>
      </c>
      <c r="G81" s="2189">
        <v>1626.6</v>
      </c>
      <c r="H81" s="2189">
        <v>0</v>
      </c>
      <c r="I81" s="2189">
        <v>1715.5</v>
      </c>
      <c r="J81" s="2189">
        <v>0</v>
      </c>
      <c r="K81" s="2189"/>
      <c r="L81" s="2190">
        <f t="shared" ref="L81:L108" si="4">D81-SUM(E81:K81)</f>
        <v>89</v>
      </c>
      <c r="M81" s="2187">
        <f t="shared" si="3"/>
        <v>4832.5</v>
      </c>
    </row>
    <row r="82" spans="1:13" x14ac:dyDescent="0.25">
      <c r="A82" s="2210" t="s">
        <v>1213</v>
      </c>
      <c r="B82" s="2188">
        <v>2012</v>
      </c>
      <c r="C82" s="2189">
        <v>11128.25</v>
      </c>
      <c r="D82" s="2189">
        <v>4970</v>
      </c>
      <c r="E82" s="2189">
        <v>51</v>
      </c>
      <c r="F82" s="2189">
        <v>1736</v>
      </c>
      <c r="G82" s="2189">
        <v>1033</v>
      </c>
      <c r="H82" s="2189">
        <v>109</v>
      </c>
      <c r="I82" s="2189">
        <v>1999</v>
      </c>
      <c r="J82" s="2189"/>
      <c r="K82" s="2189"/>
      <c r="L82" s="2190">
        <f t="shared" si="4"/>
        <v>42</v>
      </c>
      <c r="M82" s="2187">
        <f t="shared" si="3"/>
        <v>4970</v>
      </c>
    </row>
    <row r="83" spans="1:13" x14ac:dyDescent="0.25">
      <c r="A83" s="2210" t="s">
        <v>1155</v>
      </c>
      <c r="B83" s="2188">
        <v>2012</v>
      </c>
      <c r="C83" s="2189">
        <v>34880.49</v>
      </c>
      <c r="D83" s="2189">
        <f>SUM(E83:K83)</f>
        <v>32862.110999999997</v>
      </c>
      <c r="E83" s="2189">
        <v>23762.544000000002</v>
      </c>
      <c r="F83" s="2189">
        <v>5994.6769999999997</v>
      </c>
      <c r="G83" s="2189">
        <v>2453.33</v>
      </c>
      <c r="H83" s="2189"/>
      <c r="I83" s="2189">
        <v>651.55999999999995</v>
      </c>
      <c r="J83" s="2189"/>
      <c r="K83" s="2189"/>
      <c r="L83" s="2190">
        <f t="shared" si="4"/>
        <v>0</v>
      </c>
      <c r="M83" s="2187">
        <f t="shared" si="3"/>
        <v>32862.110999999997</v>
      </c>
    </row>
    <row r="84" spans="1:13" x14ac:dyDescent="0.25">
      <c r="A84" s="2210" t="s">
        <v>1214</v>
      </c>
      <c r="B84" s="2188">
        <v>2014</v>
      </c>
      <c r="C84" s="2189">
        <v>10524.78</v>
      </c>
      <c r="D84" s="2189">
        <v>3260.58</v>
      </c>
      <c r="E84" s="2189">
        <v>1827.87</v>
      </c>
      <c r="F84" s="2189">
        <v>736.02</v>
      </c>
      <c r="G84" s="2189">
        <v>93.43</v>
      </c>
      <c r="H84" s="2189">
        <v>4.01</v>
      </c>
      <c r="I84" s="2189">
        <v>600.15</v>
      </c>
      <c r="J84" s="2189"/>
      <c r="K84" s="2189"/>
      <c r="L84" s="2190">
        <f t="shared" si="4"/>
        <v>-0.90000000000009095</v>
      </c>
      <c r="M84" s="2187">
        <f t="shared" si="3"/>
        <v>3260.58</v>
      </c>
    </row>
    <row r="85" spans="1:13" x14ac:dyDescent="0.25">
      <c r="A85" s="2210" t="s">
        <v>1157</v>
      </c>
      <c r="B85" s="2188">
        <v>2013</v>
      </c>
      <c r="C85" s="2189">
        <v>5614.9319999999998</v>
      </c>
      <c r="D85" s="2189">
        <v>4223</v>
      </c>
      <c r="E85" s="2189">
        <v>71</v>
      </c>
      <c r="F85" s="2189">
        <v>1154</v>
      </c>
      <c r="G85" s="2189">
        <v>683</v>
      </c>
      <c r="H85" s="2189">
        <v>0</v>
      </c>
      <c r="I85" s="2189">
        <v>2315</v>
      </c>
      <c r="J85" s="2189">
        <v>0</v>
      </c>
      <c r="K85" s="2189">
        <v>0</v>
      </c>
      <c r="L85" s="2190">
        <f t="shared" si="4"/>
        <v>0</v>
      </c>
      <c r="M85" s="2187">
        <f t="shared" si="3"/>
        <v>4223</v>
      </c>
    </row>
    <row r="86" spans="1:13" x14ac:dyDescent="0.25">
      <c r="A86" s="2210" t="s">
        <v>1215</v>
      </c>
      <c r="B86" s="2191">
        <v>2013</v>
      </c>
      <c r="C86" s="2189">
        <v>1320.174</v>
      </c>
      <c r="D86" s="2189">
        <v>386.3</v>
      </c>
      <c r="E86" s="2189">
        <v>52.73</v>
      </c>
      <c r="F86" s="2189">
        <v>48.86</v>
      </c>
      <c r="G86" s="2189">
        <v>19.63</v>
      </c>
      <c r="H86" s="2189">
        <v>0</v>
      </c>
      <c r="I86" s="2189">
        <v>214.33</v>
      </c>
      <c r="J86" s="2189">
        <v>20</v>
      </c>
      <c r="K86" s="2189">
        <v>0</v>
      </c>
      <c r="L86" s="2190">
        <f t="shared" si="4"/>
        <v>30.75</v>
      </c>
      <c r="M86" s="2187">
        <f t="shared" si="3"/>
        <v>386.3</v>
      </c>
    </row>
    <row r="87" spans="1:13" x14ac:dyDescent="0.25">
      <c r="A87" s="2210" t="s">
        <v>1216</v>
      </c>
      <c r="B87" s="2191">
        <v>2013</v>
      </c>
      <c r="C87" s="2189">
        <v>5440</v>
      </c>
      <c r="D87" s="2189">
        <v>2681.6</v>
      </c>
      <c r="E87" s="2189">
        <v>672.4</v>
      </c>
      <c r="F87" s="2189">
        <v>510.41</v>
      </c>
      <c r="G87" s="2189">
        <v>361.79</v>
      </c>
      <c r="H87" s="2189">
        <v>0</v>
      </c>
      <c r="I87" s="2189">
        <v>1136.94</v>
      </c>
      <c r="J87" s="2189"/>
      <c r="K87" s="2189"/>
      <c r="L87" s="2190">
        <f t="shared" si="4"/>
        <v>5.999999999994543E-2</v>
      </c>
      <c r="M87" s="2187">
        <f t="shared" si="3"/>
        <v>2681.6</v>
      </c>
    </row>
    <row r="88" spans="1:13" x14ac:dyDescent="0.25">
      <c r="A88" s="2210" t="s">
        <v>1217</v>
      </c>
      <c r="B88" s="2191">
        <v>2014</v>
      </c>
      <c r="C88" s="2189">
        <v>64062.25</v>
      </c>
      <c r="D88" s="2189">
        <v>33703</v>
      </c>
      <c r="E88" s="2189">
        <v>8691</v>
      </c>
      <c r="F88" s="2189">
        <v>7436</v>
      </c>
      <c r="G88" s="2189">
        <v>5782</v>
      </c>
      <c r="H88" s="2189">
        <v>373</v>
      </c>
      <c r="I88" s="2189">
        <v>11421</v>
      </c>
      <c r="J88" s="2189"/>
      <c r="K88" s="2189"/>
      <c r="L88" s="2190">
        <f t="shared" si="4"/>
        <v>0</v>
      </c>
      <c r="M88" s="2187">
        <f t="shared" si="3"/>
        <v>33703</v>
      </c>
    </row>
    <row r="89" spans="1:13" x14ac:dyDescent="0.25">
      <c r="A89" s="2210" t="s">
        <v>1218</v>
      </c>
      <c r="B89" s="2191">
        <v>2013</v>
      </c>
      <c r="C89" s="2189">
        <v>80645.61</v>
      </c>
      <c r="D89" s="2189">
        <v>49570</v>
      </c>
      <c r="E89" s="2189">
        <v>135</v>
      </c>
      <c r="F89" s="2189">
        <v>23091</v>
      </c>
      <c r="G89" s="2189">
        <v>8538</v>
      </c>
      <c r="H89" s="2189">
        <v>5236</v>
      </c>
      <c r="I89" s="2189">
        <v>11471</v>
      </c>
      <c r="J89" s="2189"/>
      <c r="K89" s="2189">
        <v>1098</v>
      </c>
      <c r="L89" s="2190">
        <f t="shared" si="4"/>
        <v>1</v>
      </c>
      <c r="M89" s="2187">
        <f t="shared" si="3"/>
        <v>49570</v>
      </c>
    </row>
    <row r="90" spans="1:13" x14ac:dyDescent="0.25">
      <c r="A90" s="2210" t="s">
        <v>1219</v>
      </c>
      <c r="B90" s="2191">
        <v>2012</v>
      </c>
      <c r="C90" s="2189">
        <v>11090</v>
      </c>
      <c r="D90" s="2189">
        <v>5585</v>
      </c>
      <c r="E90" s="2189">
        <v>4507</v>
      </c>
      <c r="F90" s="2189">
        <v>869</v>
      </c>
      <c r="G90" s="2189">
        <v>209</v>
      </c>
      <c r="H90" s="2189"/>
      <c r="I90" s="2189"/>
      <c r="J90" s="2189"/>
      <c r="K90" s="2189"/>
      <c r="L90" s="2190">
        <f t="shared" si="4"/>
        <v>0</v>
      </c>
      <c r="M90" s="2187">
        <f t="shared" si="3"/>
        <v>5585</v>
      </c>
    </row>
    <row r="91" spans="1:13" x14ac:dyDescent="0.25">
      <c r="A91" s="2210" t="s">
        <v>1220</v>
      </c>
      <c r="B91" s="2191">
        <v>2013</v>
      </c>
      <c r="C91" s="2189">
        <v>9886.7739999999994</v>
      </c>
      <c r="D91" s="2189">
        <v>3738</v>
      </c>
      <c r="E91" s="2189">
        <v>2415</v>
      </c>
      <c r="F91" s="2189">
        <v>799</v>
      </c>
      <c r="G91" s="2189">
        <v>188</v>
      </c>
      <c r="H91" s="2189">
        <v>0</v>
      </c>
      <c r="I91" s="2189">
        <v>336</v>
      </c>
      <c r="J91" s="2189"/>
      <c r="K91" s="2189"/>
      <c r="L91" s="2190">
        <f t="shared" si="4"/>
        <v>0</v>
      </c>
      <c r="M91" s="2187">
        <f t="shared" si="3"/>
        <v>3738</v>
      </c>
    </row>
    <row r="92" spans="1:13" x14ac:dyDescent="0.25">
      <c r="A92" s="2210" t="s">
        <v>1221</v>
      </c>
      <c r="B92" s="2191">
        <v>2011</v>
      </c>
      <c r="C92" s="2189">
        <v>319.01350000000002</v>
      </c>
      <c r="D92" s="2189">
        <v>102</v>
      </c>
      <c r="E92" s="2189">
        <v>51.9</v>
      </c>
      <c r="F92" s="2189">
        <v>32.06</v>
      </c>
      <c r="G92" s="2189">
        <v>8.01</v>
      </c>
      <c r="H92" s="2189">
        <v>1.7</v>
      </c>
      <c r="I92" s="2189">
        <v>8.32</v>
      </c>
      <c r="J92" s="2189"/>
      <c r="K92" s="2189"/>
      <c r="L92" s="2190">
        <f t="shared" si="4"/>
        <v>9.9999999999909051E-3</v>
      </c>
      <c r="M92" s="2187">
        <f t="shared" si="3"/>
        <v>102</v>
      </c>
    </row>
    <row r="93" spans="1:13" x14ac:dyDescent="0.25">
      <c r="A93" s="2210" t="s">
        <v>1222</v>
      </c>
      <c r="B93" s="2191">
        <v>2012</v>
      </c>
      <c r="C93" s="2189">
        <v>4585.3999999999996</v>
      </c>
      <c r="D93" s="2189">
        <v>2692.5</v>
      </c>
      <c r="E93" s="2189">
        <v>1027.5999999999999</v>
      </c>
      <c r="F93" s="2189">
        <v>828.5</v>
      </c>
      <c r="G93" s="2189">
        <v>156.19999999999999</v>
      </c>
      <c r="H93" s="2189">
        <v>0</v>
      </c>
      <c r="I93" s="2189">
        <v>427.1</v>
      </c>
      <c r="J93" s="2189"/>
      <c r="K93" s="2189"/>
      <c r="L93" s="2190">
        <f t="shared" si="4"/>
        <v>253.09999999999991</v>
      </c>
      <c r="M93" s="2187">
        <f t="shared" si="3"/>
        <v>2692.5</v>
      </c>
    </row>
    <row r="94" spans="1:13" x14ac:dyDescent="0.25">
      <c r="A94" s="2210" t="s">
        <v>1223</v>
      </c>
      <c r="B94" s="2191">
        <v>2013</v>
      </c>
      <c r="C94" s="2189">
        <v>61178.36</v>
      </c>
      <c r="D94" s="2189">
        <v>29573</v>
      </c>
      <c r="E94" s="2189">
        <v>10914</v>
      </c>
      <c r="F94" s="2189">
        <v>7335</v>
      </c>
      <c r="G94" s="2189">
        <v>4319</v>
      </c>
      <c r="H94" s="2189">
        <v>0</v>
      </c>
      <c r="I94" s="2189">
        <v>5970</v>
      </c>
      <c r="J94" s="2189"/>
      <c r="K94" s="2189"/>
      <c r="L94" s="2190">
        <f t="shared" si="4"/>
        <v>1035</v>
      </c>
      <c r="M94" s="2187">
        <f t="shared" si="3"/>
        <v>29573</v>
      </c>
    </row>
    <row r="95" spans="1:13" x14ac:dyDescent="0.25">
      <c r="A95" s="2210" t="s">
        <v>1224</v>
      </c>
      <c r="B95" s="2191">
        <v>2013</v>
      </c>
      <c r="C95" s="2189">
        <v>50219.67</v>
      </c>
      <c r="D95" s="2189">
        <v>17786</v>
      </c>
      <c r="E95" s="2189">
        <v>2779</v>
      </c>
      <c r="F95" s="2189">
        <v>10432</v>
      </c>
      <c r="G95" s="2189">
        <v>74</v>
      </c>
      <c r="H95" s="2189">
        <v>301</v>
      </c>
      <c r="I95" s="2189">
        <v>4200</v>
      </c>
      <c r="J95" s="2189"/>
      <c r="K95" s="2189"/>
      <c r="L95" s="2190">
        <f t="shared" si="4"/>
        <v>0</v>
      </c>
      <c r="M95" s="2187">
        <f t="shared" si="3"/>
        <v>17786</v>
      </c>
    </row>
    <row r="96" spans="1:13" x14ac:dyDescent="0.25">
      <c r="A96" s="2210" t="s">
        <v>1225</v>
      </c>
      <c r="B96" s="2191">
        <v>2012</v>
      </c>
      <c r="C96" s="2189">
        <v>530.94600000000003</v>
      </c>
      <c r="D96" s="2189">
        <v>346.1</v>
      </c>
      <c r="E96" s="2189">
        <v>60.65</v>
      </c>
      <c r="F96" s="2189">
        <v>96.41</v>
      </c>
      <c r="G96" s="2189">
        <v>68.040000000000006</v>
      </c>
      <c r="H96" s="2189">
        <v>0</v>
      </c>
      <c r="I96" s="2189">
        <v>120.99</v>
      </c>
      <c r="J96" s="2189"/>
      <c r="K96" s="2189"/>
      <c r="L96" s="2190">
        <f t="shared" si="4"/>
        <v>9.9999999999909051E-3</v>
      </c>
      <c r="M96" s="2187">
        <f t="shared" si="3"/>
        <v>346.1</v>
      </c>
    </row>
    <row r="97" spans="1:21" x14ac:dyDescent="0.25">
      <c r="A97" s="2210" t="s">
        <v>1226</v>
      </c>
      <c r="B97" s="2191">
        <v>2012</v>
      </c>
      <c r="C97" s="2189">
        <v>118395.1</v>
      </c>
      <c r="D97" s="2189">
        <v>42102.8</v>
      </c>
      <c r="E97" s="2189">
        <v>40002.75</v>
      </c>
      <c r="F97" s="2189">
        <v>2100</v>
      </c>
      <c r="G97" s="2189"/>
      <c r="H97" s="2189"/>
      <c r="I97" s="2189"/>
      <c r="J97" s="2189"/>
      <c r="K97" s="2189"/>
      <c r="L97" s="2190">
        <f t="shared" si="4"/>
        <v>5.0000000002910383E-2</v>
      </c>
      <c r="M97" s="2187">
        <f t="shared" si="3"/>
        <v>42102.8</v>
      </c>
    </row>
    <row r="98" spans="1:21" x14ac:dyDescent="0.25">
      <c r="A98" s="2210" t="s">
        <v>1227</v>
      </c>
      <c r="B98" s="2191">
        <v>2013</v>
      </c>
      <c r="C98" s="2189">
        <v>16804.43</v>
      </c>
      <c r="D98" s="2189">
        <v>8842</v>
      </c>
      <c r="E98" s="2189">
        <v>131</v>
      </c>
      <c r="F98" s="2189">
        <v>2196</v>
      </c>
      <c r="G98" s="2189">
        <v>2295</v>
      </c>
      <c r="H98" s="2189">
        <v>104</v>
      </c>
      <c r="I98" s="2189">
        <v>4201</v>
      </c>
      <c r="J98" s="2189"/>
      <c r="K98" s="2189"/>
      <c r="L98" s="2190">
        <f t="shared" si="4"/>
        <v>-85</v>
      </c>
      <c r="M98" s="2187">
        <f t="shared" si="3"/>
        <v>8842</v>
      </c>
    </row>
    <row r="99" spans="1:21" x14ac:dyDescent="0.25">
      <c r="A99" s="2210" t="s">
        <v>1161</v>
      </c>
      <c r="B99" s="2191">
        <v>2014</v>
      </c>
      <c r="C99" s="2189">
        <v>5137</v>
      </c>
      <c r="D99" s="2189">
        <v>2175.4</v>
      </c>
      <c r="E99" s="2189">
        <v>60.02</v>
      </c>
      <c r="F99" s="2189">
        <v>566.97</v>
      </c>
      <c r="G99" s="2189">
        <v>351.18</v>
      </c>
      <c r="H99" s="2189">
        <v>398</v>
      </c>
      <c r="I99" s="2189">
        <v>1148.33</v>
      </c>
      <c r="J99" s="2189">
        <v>48</v>
      </c>
      <c r="K99" s="2189">
        <v>1</v>
      </c>
      <c r="L99" s="2190">
        <f t="shared" si="4"/>
        <v>-398.09999999999991</v>
      </c>
      <c r="M99" s="2187">
        <f t="shared" si="3"/>
        <v>2175.4</v>
      </c>
      <c r="N99" s="2192"/>
      <c r="O99" s="2192"/>
      <c r="P99" s="2192"/>
      <c r="Q99" s="2192"/>
      <c r="R99" s="2192"/>
      <c r="S99" s="2192"/>
      <c r="T99" s="2192"/>
      <c r="U99" s="2192"/>
    </row>
    <row r="100" spans="1:21" x14ac:dyDescent="0.25">
      <c r="A100" s="2210" t="s">
        <v>1228</v>
      </c>
      <c r="B100" s="2191">
        <v>2012</v>
      </c>
      <c r="C100" s="2189">
        <v>38533.79</v>
      </c>
      <c r="D100" s="2189">
        <v>12084</v>
      </c>
      <c r="E100" s="2189">
        <v>7158</v>
      </c>
      <c r="F100" s="2189">
        <v>1244</v>
      </c>
      <c r="G100" s="2189">
        <v>1128</v>
      </c>
      <c r="H100" s="2189">
        <v>0</v>
      </c>
      <c r="I100" s="2189">
        <v>0</v>
      </c>
      <c r="J100" s="2189"/>
      <c r="K100" s="2189"/>
      <c r="L100" s="2190">
        <f t="shared" si="4"/>
        <v>2554</v>
      </c>
      <c r="M100" s="2187">
        <f t="shared" si="3"/>
        <v>12084</v>
      </c>
    </row>
    <row r="101" spans="1:21" x14ac:dyDescent="0.25">
      <c r="A101" s="2210" t="s">
        <v>1229</v>
      </c>
      <c r="B101" s="2191">
        <v>2013</v>
      </c>
      <c r="C101" s="2189">
        <v>10457.299999999999</v>
      </c>
      <c r="D101" s="2189">
        <v>4597.8999999999996</v>
      </c>
      <c r="E101" s="2189">
        <v>2320.19</v>
      </c>
      <c r="F101" s="2189">
        <v>594.12</v>
      </c>
      <c r="G101" s="2189">
        <v>593</v>
      </c>
      <c r="H101" s="2189"/>
      <c r="I101" s="2189">
        <v>1090.6199999999999</v>
      </c>
      <c r="J101" s="2189">
        <v>0</v>
      </c>
      <c r="K101" s="2189">
        <v>0</v>
      </c>
      <c r="L101" s="2190">
        <f t="shared" si="4"/>
        <v>-3.0000000000654836E-2</v>
      </c>
      <c r="M101" s="2187">
        <f t="shared" si="3"/>
        <v>4597.8999999999996</v>
      </c>
    </row>
    <row r="102" spans="1:21" x14ac:dyDescent="0.25">
      <c r="A102" s="2210" t="s">
        <v>1230</v>
      </c>
      <c r="B102" s="2191">
        <v>2013</v>
      </c>
      <c r="C102" s="2189">
        <v>5415.9489999999996</v>
      </c>
      <c r="D102" s="2189">
        <v>1644.6</v>
      </c>
      <c r="E102" s="2189">
        <v>1151.8900000000001</v>
      </c>
      <c r="F102" s="2189">
        <v>107.89</v>
      </c>
      <c r="G102" s="2189">
        <v>68.930000000000007</v>
      </c>
      <c r="H102" s="2189">
        <v>0</v>
      </c>
      <c r="I102" s="2189">
        <v>173.66</v>
      </c>
      <c r="J102" s="2189">
        <v>99</v>
      </c>
      <c r="K102" s="2189">
        <v>17</v>
      </c>
      <c r="L102" s="2190">
        <f t="shared" si="4"/>
        <v>26.229999999999563</v>
      </c>
      <c r="M102" s="2187">
        <f t="shared" si="3"/>
        <v>1644.6</v>
      </c>
    </row>
    <row r="103" spans="1:21" x14ac:dyDescent="0.25">
      <c r="A103" s="2210" t="s">
        <v>1231</v>
      </c>
      <c r="B103" s="2191">
        <v>2014</v>
      </c>
      <c r="C103" s="2189">
        <v>2061.623</v>
      </c>
      <c r="D103" s="2189">
        <v>891.7</v>
      </c>
      <c r="E103" s="2189">
        <v>207.68</v>
      </c>
      <c r="F103" s="2189">
        <v>258.82</v>
      </c>
      <c r="G103" s="2189">
        <v>61.84</v>
      </c>
      <c r="H103" s="2189">
        <v>0</v>
      </c>
      <c r="I103" s="2189">
        <v>1.51</v>
      </c>
      <c r="J103" s="2189">
        <v>332</v>
      </c>
      <c r="K103" s="2189">
        <v>1</v>
      </c>
      <c r="L103" s="2190">
        <f t="shared" si="4"/>
        <v>28.850000000000023</v>
      </c>
      <c r="M103" s="2187">
        <f t="shared" si="3"/>
        <v>891.7</v>
      </c>
    </row>
    <row r="104" spans="1:21" x14ac:dyDescent="0.25">
      <c r="A104" s="2210" t="s">
        <v>1232</v>
      </c>
      <c r="B104" s="2191">
        <v>2014</v>
      </c>
      <c r="C104" s="2189">
        <v>46464.05</v>
      </c>
      <c r="D104" s="2189">
        <v>20217.400000000001</v>
      </c>
      <c r="E104" s="2189">
        <v>11137.8</v>
      </c>
      <c r="F104" s="2189">
        <v>3137.8</v>
      </c>
      <c r="G104" s="2189">
        <v>3445.8</v>
      </c>
      <c r="H104" s="2189"/>
      <c r="I104" s="2189">
        <v>2496</v>
      </c>
      <c r="J104" s="2189"/>
      <c r="K104" s="2189"/>
      <c r="L104" s="2190">
        <f t="shared" si="4"/>
        <v>0</v>
      </c>
      <c r="M104" s="2187">
        <f t="shared" si="3"/>
        <v>20217.399999999998</v>
      </c>
    </row>
    <row r="105" spans="1:21" x14ac:dyDescent="0.25">
      <c r="A105" s="2210" t="s">
        <v>1233</v>
      </c>
      <c r="B105" s="2191">
        <v>2013</v>
      </c>
      <c r="C105" s="2189">
        <v>9609</v>
      </c>
      <c r="D105" s="2189">
        <v>4326.1000000000004</v>
      </c>
      <c r="E105" s="2189">
        <v>28</v>
      </c>
      <c r="F105" s="2189">
        <v>1443.39</v>
      </c>
      <c r="G105" s="2189">
        <v>662.75</v>
      </c>
      <c r="H105" s="2189">
        <v>0</v>
      </c>
      <c r="I105" s="2189">
        <v>2191.9299999999998</v>
      </c>
      <c r="J105" s="2189"/>
      <c r="K105" s="2189"/>
      <c r="L105" s="2190">
        <f t="shared" si="4"/>
        <v>3.0000000000654836E-2</v>
      </c>
      <c r="M105" s="2187">
        <f t="shared" si="3"/>
        <v>4326.1000000000004</v>
      </c>
    </row>
    <row r="106" spans="1:21" ht="14.25" customHeight="1" x14ac:dyDescent="0.25">
      <c r="A106" s="2210" t="s">
        <v>1234</v>
      </c>
      <c r="B106" s="2191">
        <v>2011</v>
      </c>
      <c r="C106" s="2189">
        <v>7912.3980000000001</v>
      </c>
      <c r="D106" s="2189">
        <v>5478</v>
      </c>
      <c r="E106" s="2189">
        <v>0</v>
      </c>
      <c r="F106" s="2189">
        <v>1895</v>
      </c>
      <c r="G106" s="2189">
        <v>851</v>
      </c>
      <c r="H106" s="2189">
        <v>0</v>
      </c>
      <c r="I106" s="2189">
        <v>2732</v>
      </c>
      <c r="J106" s="2189">
        <v>0</v>
      </c>
      <c r="K106" s="2189">
        <v>0</v>
      </c>
      <c r="L106" s="2190">
        <f t="shared" si="4"/>
        <v>0</v>
      </c>
      <c r="M106" s="2187">
        <f t="shared" si="3"/>
        <v>5478</v>
      </c>
    </row>
    <row r="107" spans="1:21" x14ac:dyDescent="0.25">
      <c r="A107" s="2210" t="s">
        <v>1163</v>
      </c>
      <c r="B107" s="2191">
        <v>2014</v>
      </c>
      <c r="C107" s="2189">
        <v>63650.01</v>
      </c>
      <c r="D107" s="2189">
        <v>31131</v>
      </c>
      <c r="E107" s="2189">
        <v>8656.41</v>
      </c>
      <c r="F107" s="2189">
        <v>8502.6200000000008</v>
      </c>
      <c r="G107" s="2189">
        <v>5091.37</v>
      </c>
      <c r="H107" s="2189">
        <v>114</v>
      </c>
      <c r="I107" s="2189">
        <v>8149.27</v>
      </c>
      <c r="J107" s="2189"/>
      <c r="K107" s="2189">
        <v>592</v>
      </c>
      <c r="L107" s="2190">
        <f t="shared" si="4"/>
        <v>25.330000000001746</v>
      </c>
      <c r="M107" s="2187">
        <f t="shared" si="3"/>
        <v>31131</v>
      </c>
    </row>
    <row r="108" spans="1:21" x14ac:dyDescent="0.25">
      <c r="A108" s="2210" t="s">
        <v>1165</v>
      </c>
      <c r="B108" s="2191">
        <v>2012</v>
      </c>
      <c r="C108" s="2189">
        <v>314112.09999999998</v>
      </c>
      <c r="D108" s="2189">
        <v>227604</v>
      </c>
      <c r="E108" s="2189">
        <v>122479</v>
      </c>
      <c r="F108" s="2189">
        <v>59230</v>
      </c>
      <c r="G108" s="2189">
        <v>19350</v>
      </c>
      <c r="H108" s="2189"/>
      <c r="I108" s="2189">
        <v>26544</v>
      </c>
      <c r="J108" s="2189"/>
      <c r="K108" s="2189"/>
      <c r="L108" s="2190">
        <f t="shared" si="4"/>
        <v>1</v>
      </c>
      <c r="M108" s="2187">
        <f t="shared" si="3"/>
        <v>227604</v>
      </c>
    </row>
    <row r="109" spans="1:21" x14ac:dyDescent="0.25">
      <c r="A109" s="2208" t="s">
        <v>1235</v>
      </c>
      <c r="B109" s="2193"/>
      <c r="C109" s="2194"/>
      <c r="D109" s="2194"/>
      <c r="E109" s="2194"/>
      <c r="F109" s="2194"/>
      <c r="G109" s="2194"/>
      <c r="H109" s="2194"/>
      <c r="I109" s="2194"/>
      <c r="J109" s="2194"/>
      <c r="K109" s="2194"/>
      <c r="L109" s="2195"/>
      <c r="M109" s="2187"/>
      <c r="O109" s="2208"/>
      <c r="P109" s="2208"/>
    </row>
    <row r="110" spans="1:21" x14ac:dyDescent="0.25">
      <c r="A110" s="2208" t="s">
        <v>1236</v>
      </c>
      <c r="B110" s="2193"/>
      <c r="C110" s="2194"/>
      <c r="D110" s="2194"/>
      <c r="E110" s="2194"/>
      <c r="F110" s="2194"/>
      <c r="G110" s="2194"/>
      <c r="H110" s="2194"/>
      <c r="I110" s="2194"/>
      <c r="J110" s="2194"/>
      <c r="K110" s="2194"/>
      <c r="L110" s="2195"/>
      <c r="M110" s="2187"/>
      <c r="O110" s="2208"/>
      <c r="P110" s="2208"/>
    </row>
    <row r="111" spans="1:21" x14ac:dyDescent="0.25">
      <c r="A111" s="2208" t="s">
        <v>1237</v>
      </c>
      <c r="B111" s="2193"/>
      <c r="C111" s="2194"/>
      <c r="D111" s="2194"/>
      <c r="E111" s="2194"/>
      <c r="F111" s="2194"/>
      <c r="G111" s="2194"/>
      <c r="H111" s="2194"/>
      <c r="I111" s="2194"/>
      <c r="J111" s="2194"/>
      <c r="K111" s="2194"/>
      <c r="L111" s="2195"/>
      <c r="M111" s="2187"/>
      <c r="O111" s="2208"/>
      <c r="P111" s="2208"/>
    </row>
    <row r="113" spans="1:13" x14ac:dyDescent="0.25">
      <c r="A113" s="2196" t="s">
        <v>1238</v>
      </c>
    </row>
    <row r="114" spans="1:13" ht="46.5" customHeight="1" x14ac:dyDescent="0.25">
      <c r="A114" s="2208"/>
      <c r="B114" s="2226" t="s">
        <v>1252</v>
      </c>
      <c r="C114" s="2161" t="s">
        <v>1171</v>
      </c>
      <c r="D114" s="2226" t="s">
        <v>117</v>
      </c>
      <c r="E114" s="2226" t="s">
        <v>1205</v>
      </c>
      <c r="F114" s="2226" t="s">
        <v>447</v>
      </c>
      <c r="G114" s="2226" t="s">
        <v>1206</v>
      </c>
      <c r="H114" s="2226" t="s">
        <v>1207</v>
      </c>
      <c r="I114" s="2226" t="s">
        <v>38</v>
      </c>
      <c r="J114" s="2226" t="s">
        <v>1208</v>
      </c>
      <c r="K114" s="2226" t="s">
        <v>1209</v>
      </c>
      <c r="L114" s="2226" t="s">
        <v>1210</v>
      </c>
      <c r="M114" s="2185" t="s">
        <v>88</v>
      </c>
    </row>
    <row r="115" spans="1:13" x14ac:dyDescent="0.25">
      <c r="A115" s="2210" t="s">
        <v>433</v>
      </c>
      <c r="B115" s="2197">
        <f t="shared" ref="B115:C143" si="5">B80</f>
        <v>2015</v>
      </c>
      <c r="C115" s="2198">
        <f t="shared" si="5"/>
        <v>23614.205000000002</v>
      </c>
      <c r="D115" s="2198">
        <f>1000*D80/$C80</f>
        <v>565.10644347335494</v>
      </c>
      <c r="E115" s="2198">
        <f t="shared" ref="E115:I143" si="6">1000*E80/$C80</f>
        <v>274.67066394520492</v>
      </c>
      <c r="F115" s="2198">
        <f t="shared" si="6"/>
        <v>141.41924922654633</v>
      </c>
      <c r="G115" s="2198">
        <f t="shared" si="6"/>
        <v>95.94619650770214</v>
      </c>
      <c r="H115" s="2198">
        <f t="shared" si="6"/>
        <v>0</v>
      </c>
      <c r="I115" s="2198">
        <f t="shared" si="6"/>
        <v>53.070333793901511</v>
      </c>
      <c r="J115" s="2198">
        <f t="shared" ref="J115:L143" si="7">1000*J80/$C80</f>
        <v>0</v>
      </c>
      <c r="K115" s="2198">
        <f t="shared" si="7"/>
        <v>0</v>
      </c>
      <c r="L115" s="2198">
        <f t="shared" si="7"/>
        <v>0</v>
      </c>
      <c r="M115" s="2187">
        <f t="shared" ref="M115:M143" si="8">M80/C80*1000</f>
        <v>565.10644347335494</v>
      </c>
    </row>
    <row r="116" spans="1:13" x14ac:dyDescent="0.25">
      <c r="A116" s="2210" t="s">
        <v>1212</v>
      </c>
      <c r="B116" s="2197">
        <f t="shared" si="5"/>
        <v>2013</v>
      </c>
      <c r="C116" s="2198">
        <f t="shared" si="5"/>
        <v>8468.57</v>
      </c>
      <c r="D116" s="2198">
        <f t="shared" ref="D116:F143" si="9">1000*D81/$C81</f>
        <v>570.63943499315712</v>
      </c>
      <c r="E116" s="2198">
        <f t="shared" si="9"/>
        <v>23.498654436345216</v>
      </c>
      <c r="F116" s="2198">
        <f t="shared" si="9"/>
        <v>141.98382961940447</v>
      </c>
      <c r="G116" s="2198">
        <f t="shared" si="6"/>
        <v>192.07493118672929</v>
      </c>
      <c r="H116" s="2198">
        <f t="shared" si="6"/>
        <v>0</v>
      </c>
      <c r="I116" s="2198">
        <f t="shared" ref="I116:I143" si="10">1000*I81/$C81</f>
        <v>202.57257128417194</v>
      </c>
      <c r="J116" s="2198">
        <f t="shared" si="7"/>
        <v>0</v>
      </c>
      <c r="K116" s="2198">
        <f t="shared" si="7"/>
        <v>0</v>
      </c>
      <c r="L116" s="2198">
        <f t="shared" si="7"/>
        <v>10.509448466506152</v>
      </c>
      <c r="M116" s="2187">
        <f t="shared" si="8"/>
        <v>570.63943499315701</v>
      </c>
    </row>
    <row r="117" spans="1:13" x14ac:dyDescent="0.25">
      <c r="A117" s="2210" t="s">
        <v>1213</v>
      </c>
      <c r="B117" s="2197">
        <f t="shared" si="5"/>
        <v>2012</v>
      </c>
      <c r="C117" s="2198">
        <f t="shared" si="5"/>
        <v>11128.25</v>
      </c>
      <c r="D117" s="2198">
        <f t="shared" si="9"/>
        <v>446.61110237458718</v>
      </c>
      <c r="E117" s="2198">
        <f t="shared" si="9"/>
        <v>4.5829308291959654</v>
      </c>
      <c r="F117" s="2198">
        <f t="shared" si="9"/>
        <v>155.99937097027833</v>
      </c>
      <c r="G117" s="2198">
        <f t="shared" si="6"/>
        <v>92.826814638420231</v>
      </c>
      <c r="H117" s="2198">
        <f t="shared" si="6"/>
        <v>9.7948913800462787</v>
      </c>
      <c r="I117" s="2198">
        <f t="shared" si="10"/>
        <v>179.63291622672028</v>
      </c>
      <c r="J117" s="2198">
        <f t="shared" si="7"/>
        <v>0</v>
      </c>
      <c r="K117" s="2198">
        <f t="shared" si="7"/>
        <v>0</v>
      </c>
      <c r="L117" s="2198">
        <f t="shared" si="7"/>
        <v>3.7741783299260891</v>
      </c>
      <c r="M117" s="2187">
        <f t="shared" si="8"/>
        <v>446.61110237458718</v>
      </c>
    </row>
    <row r="118" spans="1:13" x14ac:dyDescent="0.25">
      <c r="A118" s="2210" t="s">
        <v>1155</v>
      </c>
      <c r="B118" s="2197">
        <f t="shared" si="5"/>
        <v>2012</v>
      </c>
      <c r="C118" s="2198">
        <f t="shared" si="5"/>
        <v>34880.49</v>
      </c>
      <c r="D118" s="2198">
        <f t="shared" si="9"/>
        <v>942.13444249206361</v>
      </c>
      <c r="E118" s="2198">
        <f t="shared" si="9"/>
        <v>681.25602593312192</v>
      </c>
      <c r="F118" s="2198">
        <f t="shared" si="9"/>
        <v>171.86332531452396</v>
      </c>
      <c r="G118" s="2198">
        <f t="shared" si="6"/>
        <v>70.335307789540806</v>
      </c>
      <c r="H118" s="2198">
        <f t="shared" si="6"/>
        <v>0</v>
      </c>
      <c r="I118" s="2198">
        <f t="shared" si="10"/>
        <v>18.679783454876926</v>
      </c>
      <c r="J118" s="2198">
        <f t="shared" si="7"/>
        <v>0</v>
      </c>
      <c r="K118" s="2198">
        <f t="shared" si="7"/>
        <v>0</v>
      </c>
      <c r="L118" s="2198">
        <f t="shared" si="7"/>
        <v>0</v>
      </c>
      <c r="M118" s="2187">
        <f t="shared" si="8"/>
        <v>942.13444249206361</v>
      </c>
    </row>
    <row r="119" spans="1:13" x14ac:dyDescent="0.25">
      <c r="A119" s="2210" t="s">
        <v>1214</v>
      </c>
      <c r="B119" s="2197">
        <f t="shared" si="5"/>
        <v>2014</v>
      </c>
      <c r="C119" s="2198">
        <f t="shared" si="5"/>
        <v>10524.78</v>
      </c>
      <c r="D119" s="2198">
        <f t="shared" si="9"/>
        <v>309.80029986375013</v>
      </c>
      <c r="E119" s="2198">
        <f t="shared" si="9"/>
        <v>173.67298888907891</v>
      </c>
      <c r="F119" s="2198">
        <f t="shared" si="9"/>
        <v>69.932103093841391</v>
      </c>
      <c r="G119" s="2198">
        <f t="shared" si="6"/>
        <v>8.8771451754811022</v>
      </c>
      <c r="H119" s="2198">
        <f t="shared" si="6"/>
        <v>0.38100558871539353</v>
      </c>
      <c r="I119" s="2198">
        <f t="shared" si="10"/>
        <v>57.022569592903601</v>
      </c>
      <c r="J119" s="2198">
        <f t="shared" si="7"/>
        <v>0</v>
      </c>
      <c r="K119" s="2198">
        <f t="shared" si="7"/>
        <v>0</v>
      </c>
      <c r="L119" s="2198">
        <f t="shared" si="7"/>
        <v>-8.551247627029647E-2</v>
      </c>
      <c r="M119" s="2187">
        <f t="shared" si="8"/>
        <v>309.80029986375007</v>
      </c>
    </row>
    <row r="120" spans="1:13" x14ac:dyDescent="0.25">
      <c r="A120" s="2210" t="s">
        <v>1157</v>
      </c>
      <c r="B120" s="2197">
        <f t="shared" si="5"/>
        <v>2013</v>
      </c>
      <c r="C120" s="2198">
        <f t="shared" si="5"/>
        <v>5614.9319999999998</v>
      </c>
      <c r="D120" s="2198">
        <f t="shared" si="9"/>
        <v>752.10171734938194</v>
      </c>
      <c r="E120" s="2198">
        <f t="shared" si="9"/>
        <v>12.644854826380801</v>
      </c>
      <c r="F120" s="2198">
        <f t="shared" si="9"/>
        <v>205.52341506540063</v>
      </c>
      <c r="G120" s="2198">
        <f t="shared" si="6"/>
        <v>121.6399414988463</v>
      </c>
      <c r="H120" s="2198">
        <f t="shared" si="6"/>
        <v>0</v>
      </c>
      <c r="I120" s="2198">
        <f t="shared" si="10"/>
        <v>412.29350595875428</v>
      </c>
      <c r="J120" s="2198">
        <f t="shared" si="7"/>
        <v>0</v>
      </c>
      <c r="K120" s="2198">
        <f t="shared" si="7"/>
        <v>0</v>
      </c>
      <c r="L120" s="2198">
        <f t="shared" si="7"/>
        <v>0</v>
      </c>
      <c r="M120" s="2187">
        <f t="shared" si="8"/>
        <v>752.10171734938206</v>
      </c>
    </row>
    <row r="121" spans="1:13" x14ac:dyDescent="0.25">
      <c r="A121" s="2210" t="s">
        <v>1215</v>
      </c>
      <c r="B121" s="2197">
        <f t="shared" si="5"/>
        <v>2013</v>
      </c>
      <c r="C121" s="2198">
        <f t="shared" si="5"/>
        <v>1320.174</v>
      </c>
      <c r="D121" s="2198">
        <f t="shared" si="9"/>
        <v>292.61294344533371</v>
      </c>
      <c r="E121" s="2198">
        <f t="shared" si="9"/>
        <v>39.94170465408348</v>
      </c>
      <c r="F121" s="2198">
        <f t="shared" si="9"/>
        <v>37.010272888270791</v>
      </c>
      <c r="G121" s="2198">
        <f t="shared" si="6"/>
        <v>14.869252083437486</v>
      </c>
      <c r="H121" s="2198">
        <f t="shared" si="6"/>
        <v>0</v>
      </c>
      <c r="I121" s="2198">
        <f t="shared" si="10"/>
        <v>162.34981146424639</v>
      </c>
      <c r="J121" s="2198">
        <f t="shared" si="7"/>
        <v>15.149518169574616</v>
      </c>
      <c r="K121" s="2198">
        <f t="shared" si="7"/>
        <v>0</v>
      </c>
      <c r="L121" s="2198">
        <f t="shared" si="7"/>
        <v>23.292384185720973</v>
      </c>
      <c r="M121" s="2187">
        <f t="shared" si="8"/>
        <v>292.61294344533371</v>
      </c>
    </row>
    <row r="122" spans="1:13" x14ac:dyDescent="0.25">
      <c r="A122" s="2210" t="s">
        <v>1216</v>
      </c>
      <c r="B122" s="2197">
        <f t="shared" si="5"/>
        <v>2013</v>
      </c>
      <c r="C122" s="2198">
        <f t="shared" si="5"/>
        <v>5440</v>
      </c>
      <c r="D122" s="2198">
        <f t="shared" si="9"/>
        <v>492.94117647058823</v>
      </c>
      <c r="E122" s="2198">
        <f t="shared" si="9"/>
        <v>123.60294117647059</v>
      </c>
      <c r="F122" s="2198">
        <f t="shared" si="9"/>
        <v>93.825367647058826</v>
      </c>
      <c r="G122" s="2198">
        <f t="shared" si="6"/>
        <v>66.505514705882348</v>
      </c>
      <c r="H122" s="2198">
        <f t="shared" si="6"/>
        <v>0</v>
      </c>
      <c r="I122" s="2198">
        <f t="shared" si="10"/>
        <v>208.99632352941177</v>
      </c>
      <c r="J122" s="2198">
        <f t="shared" si="7"/>
        <v>0</v>
      </c>
      <c r="K122" s="2198">
        <f t="shared" si="7"/>
        <v>0</v>
      </c>
      <c r="L122" s="2198">
        <f t="shared" si="7"/>
        <v>1.1029411764695851E-2</v>
      </c>
      <c r="M122" s="2187">
        <f t="shared" si="8"/>
        <v>492.94117647058823</v>
      </c>
    </row>
    <row r="123" spans="1:13" x14ac:dyDescent="0.25">
      <c r="A123" s="2210" t="s">
        <v>1217</v>
      </c>
      <c r="B123" s="2197">
        <f t="shared" si="5"/>
        <v>2014</v>
      </c>
      <c r="C123" s="2198">
        <f t="shared" si="5"/>
        <v>64062.25</v>
      </c>
      <c r="D123" s="2198">
        <f t="shared" si="9"/>
        <v>526.09766282014755</v>
      </c>
      <c r="E123" s="2198">
        <f t="shared" si="9"/>
        <v>135.66491966797921</v>
      </c>
      <c r="F123" s="2198">
        <f t="shared" si="9"/>
        <v>116.07459931550953</v>
      </c>
      <c r="G123" s="2198">
        <f t="shared" si="6"/>
        <v>90.255961974485757</v>
      </c>
      <c r="H123" s="2198">
        <f t="shared" si="6"/>
        <v>5.8224617461921806</v>
      </c>
      <c r="I123" s="2198">
        <f t="shared" si="10"/>
        <v>178.27972011598095</v>
      </c>
      <c r="J123" s="2198">
        <f t="shared" si="7"/>
        <v>0</v>
      </c>
      <c r="K123" s="2198">
        <f t="shared" si="7"/>
        <v>0</v>
      </c>
      <c r="L123" s="2198">
        <f t="shared" si="7"/>
        <v>0</v>
      </c>
      <c r="M123" s="2187">
        <f t="shared" si="8"/>
        <v>526.09766282014755</v>
      </c>
    </row>
    <row r="124" spans="1:13" x14ac:dyDescent="0.25">
      <c r="A124" s="2210" t="s">
        <v>1218</v>
      </c>
      <c r="B124" s="2197">
        <f t="shared" si="5"/>
        <v>2013</v>
      </c>
      <c r="C124" s="2198">
        <f t="shared" si="5"/>
        <v>80645.61</v>
      </c>
      <c r="D124" s="2198">
        <f t="shared" si="9"/>
        <v>614.66458000627688</v>
      </c>
      <c r="E124" s="2198">
        <f t="shared" si="9"/>
        <v>1.6739906859158236</v>
      </c>
      <c r="F124" s="2198">
        <f t="shared" si="9"/>
        <v>286.3268068776465</v>
      </c>
      <c r="G124" s="2198">
        <f t="shared" si="6"/>
        <v>105.87061093592075</v>
      </c>
      <c r="H124" s="2198">
        <f t="shared" si="6"/>
        <v>64.92603875152038</v>
      </c>
      <c r="I124" s="2198">
        <f t="shared" si="10"/>
        <v>142.23960857881787</v>
      </c>
      <c r="J124" s="2198">
        <f t="shared" si="7"/>
        <v>0</v>
      </c>
      <c r="K124" s="2198">
        <f t="shared" si="7"/>
        <v>13.615124245448698</v>
      </c>
      <c r="L124" s="2198">
        <f t="shared" si="7"/>
        <v>1.2399931006783878E-2</v>
      </c>
      <c r="M124" s="2187">
        <f t="shared" si="8"/>
        <v>614.66458000627688</v>
      </c>
    </row>
    <row r="125" spans="1:13" x14ac:dyDescent="0.25">
      <c r="A125" s="2210" t="s">
        <v>1219</v>
      </c>
      <c r="B125" s="2197">
        <f t="shared" si="5"/>
        <v>2012</v>
      </c>
      <c r="C125" s="2198">
        <f t="shared" si="5"/>
        <v>11090</v>
      </c>
      <c r="D125" s="2198">
        <f t="shared" si="9"/>
        <v>503.60685302073938</v>
      </c>
      <c r="E125" s="2198">
        <f t="shared" si="9"/>
        <v>406.40216411181245</v>
      </c>
      <c r="F125" s="2198">
        <f t="shared" si="9"/>
        <v>78.358881875563569</v>
      </c>
      <c r="G125" s="2198">
        <f t="shared" si="6"/>
        <v>18.845807033363389</v>
      </c>
      <c r="H125" s="2198">
        <f t="shared" si="6"/>
        <v>0</v>
      </c>
      <c r="I125" s="2198">
        <f t="shared" si="10"/>
        <v>0</v>
      </c>
      <c r="J125" s="2198">
        <f t="shared" si="7"/>
        <v>0</v>
      </c>
      <c r="K125" s="2198">
        <f t="shared" si="7"/>
        <v>0</v>
      </c>
      <c r="L125" s="2198">
        <f t="shared" si="7"/>
        <v>0</v>
      </c>
      <c r="M125" s="2187">
        <f t="shared" si="8"/>
        <v>503.60685302073938</v>
      </c>
    </row>
    <row r="126" spans="1:13" x14ac:dyDescent="0.25">
      <c r="A126" s="2210" t="s">
        <v>1220</v>
      </c>
      <c r="B126" s="2197">
        <f t="shared" si="5"/>
        <v>2013</v>
      </c>
      <c r="C126" s="2198">
        <f t="shared" si="5"/>
        <v>9886.7739999999994</v>
      </c>
      <c r="D126" s="2198">
        <f t="shared" si="9"/>
        <v>378.08085832648749</v>
      </c>
      <c r="E126" s="2198">
        <f t="shared" si="9"/>
        <v>244.26572307610149</v>
      </c>
      <c r="F126" s="2198">
        <f t="shared" si="9"/>
        <v>80.815036330354076</v>
      </c>
      <c r="G126" s="2198">
        <f t="shared" si="6"/>
        <v>19.015302665965663</v>
      </c>
      <c r="H126" s="2198">
        <f t="shared" si="6"/>
        <v>0</v>
      </c>
      <c r="I126" s="2198">
        <f t="shared" si="10"/>
        <v>33.984796254066296</v>
      </c>
      <c r="J126" s="2198">
        <f t="shared" si="7"/>
        <v>0</v>
      </c>
      <c r="K126" s="2198">
        <f t="shared" si="7"/>
        <v>0</v>
      </c>
      <c r="L126" s="2198">
        <f t="shared" si="7"/>
        <v>0</v>
      </c>
      <c r="M126" s="2187">
        <f t="shared" si="8"/>
        <v>378.08085832648754</v>
      </c>
    </row>
    <row r="127" spans="1:13" x14ac:dyDescent="0.25">
      <c r="A127" s="2210" t="s">
        <v>1221</v>
      </c>
      <c r="B127" s="2197">
        <f t="shared" si="5"/>
        <v>2011</v>
      </c>
      <c r="C127" s="2198">
        <f t="shared" si="5"/>
        <v>319.01350000000002</v>
      </c>
      <c r="D127" s="2198">
        <f t="shared" si="9"/>
        <v>319.73568516692865</v>
      </c>
      <c r="E127" s="2198">
        <f t="shared" si="9"/>
        <v>162.68903980552545</v>
      </c>
      <c r="F127" s="2198">
        <f t="shared" si="9"/>
        <v>100.49731437697778</v>
      </c>
      <c r="G127" s="2198">
        <f t="shared" si="6"/>
        <v>25.108655276344102</v>
      </c>
      <c r="H127" s="2198">
        <f t="shared" si="6"/>
        <v>5.3289280861154777</v>
      </c>
      <c r="I127" s="2198">
        <f t="shared" si="10"/>
        <v>26.080400986165159</v>
      </c>
      <c r="J127" s="2198">
        <f t="shared" si="7"/>
        <v>0</v>
      </c>
      <c r="K127" s="2198">
        <f t="shared" si="7"/>
        <v>0</v>
      </c>
      <c r="L127" s="2198">
        <f t="shared" si="7"/>
        <v>3.1346635800650773E-2</v>
      </c>
      <c r="M127" s="2187">
        <f t="shared" si="8"/>
        <v>319.73568516692865</v>
      </c>
    </row>
    <row r="128" spans="1:13" x14ac:dyDescent="0.25">
      <c r="A128" s="2210" t="s">
        <v>1222</v>
      </c>
      <c r="B128" s="2197">
        <f t="shared" si="5"/>
        <v>2012</v>
      </c>
      <c r="C128" s="2198">
        <f t="shared" si="5"/>
        <v>4585.3999999999996</v>
      </c>
      <c r="D128" s="2198">
        <f t="shared" si="9"/>
        <v>587.18977624634715</v>
      </c>
      <c r="E128" s="2198">
        <f t="shared" si="9"/>
        <v>224.10258647010076</v>
      </c>
      <c r="F128" s="2198">
        <f t="shared" si="9"/>
        <v>180.68216513281286</v>
      </c>
      <c r="G128" s="2198">
        <f t="shared" si="6"/>
        <v>34.064639944170629</v>
      </c>
      <c r="H128" s="2198">
        <f t="shared" si="6"/>
        <v>0</v>
      </c>
      <c r="I128" s="2198">
        <f t="shared" si="10"/>
        <v>93.143455314694478</v>
      </c>
      <c r="J128" s="2198">
        <f t="shared" si="7"/>
        <v>0</v>
      </c>
      <c r="K128" s="2198">
        <f t="shared" si="7"/>
        <v>0</v>
      </c>
      <c r="L128" s="2198">
        <f t="shared" si="7"/>
        <v>55.196929384568399</v>
      </c>
      <c r="M128" s="2187">
        <f t="shared" si="8"/>
        <v>587.18977624634715</v>
      </c>
    </row>
    <row r="129" spans="1:13" x14ac:dyDescent="0.25">
      <c r="A129" s="2210" t="s">
        <v>1223</v>
      </c>
      <c r="B129" s="2197">
        <f t="shared" si="5"/>
        <v>2013</v>
      </c>
      <c r="C129" s="2198">
        <f t="shared" si="5"/>
        <v>61178.36</v>
      </c>
      <c r="D129" s="2198">
        <f t="shared" si="9"/>
        <v>483.38987838183306</v>
      </c>
      <c r="E129" s="2198">
        <f t="shared" si="9"/>
        <v>178.39641337231006</v>
      </c>
      <c r="F129" s="2198">
        <f t="shared" si="9"/>
        <v>119.89533554021389</v>
      </c>
      <c r="G129" s="2198">
        <f t="shared" si="6"/>
        <v>70.59685810472854</v>
      </c>
      <c r="H129" s="2198">
        <f t="shared" si="6"/>
        <v>0</v>
      </c>
      <c r="I129" s="2198">
        <f t="shared" si="10"/>
        <v>97.583524631912326</v>
      </c>
      <c r="J129" s="2198">
        <f t="shared" si="7"/>
        <v>0</v>
      </c>
      <c r="K129" s="2198">
        <f t="shared" si="7"/>
        <v>0</v>
      </c>
      <c r="L129" s="2198">
        <f t="shared" si="7"/>
        <v>16.917746732668217</v>
      </c>
      <c r="M129" s="2187">
        <f t="shared" si="8"/>
        <v>483.38987838183306</v>
      </c>
    </row>
    <row r="130" spans="1:13" x14ac:dyDescent="0.25">
      <c r="A130" s="2210" t="s">
        <v>1224</v>
      </c>
      <c r="B130" s="2197">
        <f t="shared" si="5"/>
        <v>2013</v>
      </c>
      <c r="C130" s="2198">
        <f t="shared" si="5"/>
        <v>50219.67</v>
      </c>
      <c r="D130" s="2198">
        <f t="shared" si="9"/>
        <v>354.16401581292752</v>
      </c>
      <c r="E130" s="2198">
        <f t="shared" si="9"/>
        <v>55.336882938498007</v>
      </c>
      <c r="F130" s="2198">
        <f t="shared" si="9"/>
        <v>207.72737057013717</v>
      </c>
      <c r="G130" s="2198">
        <f t="shared" si="6"/>
        <v>1.4735262099492092</v>
      </c>
      <c r="H130" s="2198">
        <f t="shared" si="6"/>
        <v>5.9936674215501613</v>
      </c>
      <c r="I130" s="2198">
        <f t="shared" si="10"/>
        <v>83.632568672792956</v>
      </c>
      <c r="J130" s="2198">
        <f t="shared" si="7"/>
        <v>0</v>
      </c>
      <c r="K130" s="2198">
        <f t="shared" si="7"/>
        <v>0</v>
      </c>
      <c r="L130" s="2198">
        <f t="shared" si="7"/>
        <v>0</v>
      </c>
      <c r="M130" s="2187">
        <f t="shared" si="8"/>
        <v>354.16401581292752</v>
      </c>
    </row>
    <row r="131" spans="1:13" x14ac:dyDescent="0.25">
      <c r="A131" s="2210" t="s">
        <v>1225</v>
      </c>
      <c r="B131" s="2197">
        <f t="shared" si="5"/>
        <v>2012</v>
      </c>
      <c r="C131" s="2198">
        <f t="shared" si="5"/>
        <v>530.94600000000003</v>
      </c>
      <c r="D131" s="2198">
        <f t="shared" si="9"/>
        <v>651.85536758917101</v>
      </c>
      <c r="E131" s="2198">
        <f t="shared" si="9"/>
        <v>114.23007236140775</v>
      </c>
      <c r="F131" s="2198">
        <f t="shared" si="9"/>
        <v>181.58155443303085</v>
      </c>
      <c r="G131" s="2198">
        <f t="shared" si="6"/>
        <v>128.14862528392717</v>
      </c>
      <c r="H131" s="2198">
        <f t="shared" si="6"/>
        <v>0</v>
      </c>
      <c r="I131" s="2198">
        <f t="shared" si="10"/>
        <v>227.87628120373822</v>
      </c>
      <c r="J131" s="2198">
        <f t="shared" si="7"/>
        <v>0</v>
      </c>
      <c r="K131" s="2198">
        <f t="shared" si="7"/>
        <v>0</v>
      </c>
      <c r="L131" s="2198">
        <f t="shared" si="7"/>
        <v>1.8834307066991567E-2</v>
      </c>
      <c r="M131" s="2187">
        <f t="shared" si="8"/>
        <v>651.85536758917101</v>
      </c>
    </row>
    <row r="132" spans="1:13" x14ac:dyDescent="0.25">
      <c r="A132" s="2210" t="s">
        <v>1226</v>
      </c>
      <c r="B132" s="2197">
        <f t="shared" si="5"/>
        <v>2012</v>
      </c>
      <c r="C132" s="2198">
        <f t="shared" si="5"/>
        <v>118395.1</v>
      </c>
      <c r="D132" s="2198">
        <f t="shared" si="9"/>
        <v>355.61269005220652</v>
      </c>
      <c r="E132" s="2198">
        <f t="shared" si="9"/>
        <v>337.8750471936761</v>
      </c>
      <c r="F132" s="2198">
        <f t="shared" si="9"/>
        <v>17.737220543755612</v>
      </c>
      <c r="G132" s="2198">
        <f t="shared" si="6"/>
        <v>0</v>
      </c>
      <c r="H132" s="2198">
        <f t="shared" si="6"/>
        <v>0</v>
      </c>
      <c r="I132" s="2198">
        <f t="shared" si="10"/>
        <v>0</v>
      </c>
      <c r="J132" s="2198">
        <f t="shared" si="7"/>
        <v>0</v>
      </c>
      <c r="K132" s="2198">
        <f t="shared" si="7"/>
        <v>0</v>
      </c>
      <c r="L132" s="2198">
        <f t="shared" si="7"/>
        <v>4.2231477487590603E-4</v>
      </c>
      <c r="M132" s="2187">
        <f t="shared" si="8"/>
        <v>355.61269005220657</v>
      </c>
    </row>
    <row r="133" spans="1:13" x14ac:dyDescent="0.25">
      <c r="A133" s="2210" t="s">
        <v>1227</v>
      </c>
      <c r="B133" s="2197">
        <f t="shared" si="5"/>
        <v>2013</v>
      </c>
      <c r="C133" s="2198">
        <f t="shared" si="5"/>
        <v>16804.43</v>
      </c>
      <c r="D133" s="2198">
        <f t="shared" si="9"/>
        <v>526.17077758662447</v>
      </c>
      <c r="E133" s="2198">
        <f t="shared" si="9"/>
        <v>7.7955634317855464</v>
      </c>
      <c r="F133" s="2198">
        <f t="shared" si="9"/>
        <v>130.67982668855771</v>
      </c>
      <c r="G133" s="2198">
        <f t="shared" si="6"/>
        <v>136.57113035074678</v>
      </c>
      <c r="H133" s="2198">
        <f t="shared" si="6"/>
        <v>6.1888442511885255</v>
      </c>
      <c r="I133" s="2198">
        <f t="shared" si="10"/>
        <v>249.99360287733651</v>
      </c>
      <c r="J133" s="2198">
        <f t="shared" si="7"/>
        <v>0</v>
      </c>
      <c r="K133" s="2198">
        <f t="shared" si="7"/>
        <v>0</v>
      </c>
      <c r="L133" s="2198">
        <f t="shared" si="7"/>
        <v>-5.0581900129906217</v>
      </c>
      <c r="M133" s="2187">
        <f t="shared" si="8"/>
        <v>526.17077758662447</v>
      </c>
    </row>
    <row r="134" spans="1:13" x14ac:dyDescent="0.25">
      <c r="A134" s="2210" t="s">
        <v>1161</v>
      </c>
      <c r="B134" s="2197">
        <f t="shared" si="5"/>
        <v>2014</v>
      </c>
      <c r="C134" s="2198">
        <f t="shared" si="5"/>
        <v>5137</v>
      </c>
      <c r="D134" s="2198">
        <f t="shared" si="9"/>
        <v>423.47673739536697</v>
      </c>
      <c r="E134" s="2198">
        <f t="shared" si="9"/>
        <v>11.68386217636753</v>
      </c>
      <c r="F134" s="2198">
        <f t="shared" si="9"/>
        <v>110.36986568035819</v>
      </c>
      <c r="G134" s="2198">
        <f t="shared" si="6"/>
        <v>68.362857699046131</v>
      </c>
      <c r="H134" s="2198">
        <f t="shared" si="6"/>
        <v>77.477126727662053</v>
      </c>
      <c r="I134" s="2198">
        <f t="shared" si="10"/>
        <v>223.54097722406073</v>
      </c>
      <c r="J134" s="2198">
        <f t="shared" si="7"/>
        <v>9.3439750827331132</v>
      </c>
      <c r="K134" s="2198">
        <f t="shared" si="7"/>
        <v>0.19466614755693984</v>
      </c>
      <c r="L134" s="2198">
        <f t="shared" si="7"/>
        <v>-77.496593342417725</v>
      </c>
      <c r="M134" s="2187">
        <f t="shared" si="8"/>
        <v>423.47673739536697</v>
      </c>
    </row>
    <row r="135" spans="1:13" x14ac:dyDescent="0.25">
      <c r="A135" s="2210" t="s">
        <v>1228</v>
      </c>
      <c r="B135" s="2197">
        <f t="shared" si="5"/>
        <v>2012</v>
      </c>
      <c r="C135" s="2198">
        <f t="shared" si="5"/>
        <v>38533.79</v>
      </c>
      <c r="D135" s="2198">
        <f t="shared" si="9"/>
        <v>313.59489943761048</v>
      </c>
      <c r="E135" s="2198">
        <f t="shared" si="9"/>
        <v>185.75904420509895</v>
      </c>
      <c r="F135" s="2198">
        <f t="shared" si="9"/>
        <v>32.283354427374</v>
      </c>
      <c r="G135" s="2198">
        <f t="shared" si="6"/>
        <v>29.273009480769993</v>
      </c>
      <c r="H135" s="2198">
        <f t="shared" si="6"/>
        <v>0</v>
      </c>
      <c r="I135" s="2198">
        <f t="shared" si="10"/>
        <v>0</v>
      </c>
      <c r="J135" s="2198">
        <f t="shared" si="7"/>
        <v>0</v>
      </c>
      <c r="K135" s="2198">
        <f t="shared" si="7"/>
        <v>0</v>
      </c>
      <c r="L135" s="2198">
        <f t="shared" si="7"/>
        <v>66.279491324367527</v>
      </c>
      <c r="M135" s="2187">
        <f t="shared" si="8"/>
        <v>313.59489943761048</v>
      </c>
    </row>
    <row r="136" spans="1:13" x14ac:dyDescent="0.25">
      <c r="A136" s="2210" t="s">
        <v>1229</v>
      </c>
      <c r="B136" s="2197">
        <f t="shared" si="5"/>
        <v>2013</v>
      </c>
      <c r="C136" s="2198">
        <f t="shared" si="5"/>
        <v>10457.299999999999</v>
      </c>
      <c r="D136" s="2198">
        <f t="shared" si="9"/>
        <v>439.68328344792639</v>
      </c>
      <c r="E136" s="2198">
        <f t="shared" si="9"/>
        <v>221.8727587426965</v>
      </c>
      <c r="F136" s="2198">
        <f t="shared" si="9"/>
        <v>56.81390033756324</v>
      </c>
      <c r="G136" s="2198">
        <f t="shared" si="6"/>
        <v>56.706798121886152</v>
      </c>
      <c r="H136" s="2198">
        <f t="shared" si="6"/>
        <v>0</v>
      </c>
      <c r="I136" s="2198">
        <f t="shared" si="10"/>
        <v>104.29269505512896</v>
      </c>
      <c r="J136" s="2198">
        <f t="shared" si="7"/>
        <v>0</v>
      </c>
      <c r="K136" s="2198">
        <f t="shared" si="7"/>
        <v>0</v>
      </c>
      <c r="L136" s="2198">
        <f t="shared" si="7"/>
        <v>-2.8688093485560173E-3</v>
      </c>
      <c r="M136" s="2187">
        <f t="shared" si="8"/>
        <v>439.68328344792633</v>
      </c>
    </row>
    <row r="137" spans="1:13" x14ac:dyDescent="0.25">
      <c r="A137" s="2210" t="s">
        <v>1230</v>
      </c>
      <c r="B137" s="2197">
        <f t="shared" si="5"/>
        <v>2013</v>
      </c>
      <c r="C137" s="2198">
        <f t="shared" si="5"/>
        <v>5415.9489999999996</v>
      </c>
      <c r="D137" s="2198">
        <f t="shared" si="9"/>
        <v>303.65869397957772</v>
      </c>
      <c r="E137" s="2198">
        <f t="shared" si="9"/>
        <v>212.68479448384764</v>
      </c>
      <c r="F137" s="2198">
        <f t="shared" si="9"/>
        <v>19.920793198015716</v>
      </c>
      <c r="G137" s="2198">
        <f t="shared" si="6"/>
        <v>12.727224720912254</v>
      </c>
      <c r="H137" s="2198">
        <f t="shared" si="6"/>
        <v>0</v>
      </c>
      <c r="I137" s="2198">
        <f t="shared" si="10"/>
        <v>32.064555999327176</v>
      </c>
      <c r="J137" s="2198">
        <f t="shared" si="7"/>
        <v>18.279344949518542</v>
      </c>
      <c r="K137" s="2198">
        <f t="shared" si="7"/>
        <v>3.1388774155738912</v>
      </c>
      <c r="L137" s="2198">
        <f t="shared" si="7"/>
        <v>4.8431032123824584</v>
      </c>
      <c r="M137" s="2187">
        <f t="shared" si="8"/>
        <v>303.65869397957772</v>
      </c>
    </row>
    <row r="138" spans="1:13" x14ac:dyDescent="0.25">
      <c r="A138" s="2210" t="s">
        <v>1231</v>
      </c>
      <c r="B138" s="2197">
        <f t="shared" si="5"/>
        <v>2014</v>
      </c>
      <c r="C138" s="2198">
        <f t="shared" si="5"/>
        <v>2061.623</v>
      </c>
      <c r="D138" s="2198">
        <f t="shared" si="9"/>
        <v>432.52330809270171</v>
      </c>
      <c r="E138" s="2198">
        <f t="shared" si="9"/>
        <v>100.73616757282976</v>
      </c>
      <c r="F138" s="2198">
        <f t="shared" si="9"/>
        <v>125.54186677195588</v>
      </c>
      <c r="G138" s="2198">
        <f t="shared" si="6"/>
        <v>29.995784874344146</v>
      </c>
      <c r="H138" s="2198">
        <f t="shared" si="6"/>
        <v>0</v>
      </c>
      <c r="I138" s="2198">
        <f t="shared" si="10"/>
        <v>0.73243265136254299</v>
      </c>
      <c r="J138" s="2198">
        <f t="shared" si="7"/>
        <v>161.03817235255912</v>
      </c>
      <c r="K138" s="2198">
        <f t="shared" si="7"/>
        <v>0.48505473600168408</v>
      </c>
      <c r="L138" s="2198">
        <f t="shared" si="7"/>
        <v>13.993829133648596</v>
      </c>
      <c r="M138" s="2187">
        <f t="shared" si="8"/>
        <v>432.52330809270171</v>
      </c>
    </row>
    <row r="139" spans="1:13" x14ac:dyDescent="0.25">
      <c r="A139" s="2210" t="s">
        <v>1232</v>
      </c>
      <c r="B139" s="2197">
        <f t="shared" si="5"/>
        <v>2014</v>
      </c>
      <c r="C139" s="2198">
        <f t="shared" si="5"/>
        <v>46464.05</v>
      </c>
      <c r="D139" s="2198">
        <f t="shared" si="9"/>
        <v>435.11919430183116</v>
      </c>
      <c r="E139" s="2198">
        <f t="shared" si="9"/>
        <v>239.70790320688789</v>
      </c>
      <c r="F139" s="2198">
        <f t="shared" si="9"/>
        <v>67.531779946001265</v>
      </c>
      <c r="G139" s="2198">
        <f t="shared" si="6"/>
        <v>74.160560691545399</v>
      </c>
      <c r="H139" s="2198">
        <f t="shared" si="6"/>
        <v>0</v>
      </c>
      <c r="I139" s="2198">
        <f t="shared" si="10"/>
        <v>53.71895045739663</v>
      </c>
      <c r="J139" s="2198">
        <f t="shared" si="7"/>
        <v>0</v>
      </c>
      <c r="K139" s="2198">
        <f t="shared" si="7"/>
        <v>0</v>
      </c>
      <c r="L139" s="2198">
        <f t="shared" si="7"/>
        <v>0</v>
      </c>
      <c r="M139" s="2187">
        <f t="shared" si="8"/>
        <v>435.1191943018311</v>
      </c>
    </row>
    <row r="140" spans="1:13" x14ac:dyDescent="0.25">
      <c r="A140" s="2210" t="s">
        <v>1233</v>
      </c>
      <c r="B140" s="2197">
        <f t="shared" si="5"/>
        <v>2013</v>
      </c>
      <c r="C140" s="2198">
        <f t="shared" si="5"/>
        <v>9609</v>
      </c>
      <c r="D140" s="2198">
        <f t="shared" si="9"/>
        <v>450.21334165886151</v>
      </c>
      <c r="E140" s="2198">
        <f t="shared" si="9"/>
        <v>2.9139348527422206</v>
      </c>
      <c r="F140" s="2198">
        <f t="shared" si="9"/>
        <v>150.21230096784265</v>
      </c>
      <c r="G140" s="2198">
        <f t="shared" si="6"/>
        <v>68.971797273389527</v>
      </c>
      <c r="H140" s="2198">
        <f t="shared" si="6"/>
        <v>0</v>
      </c>
      <c r="I140" s="2198">
        <f t="shared" si="10"/>
        <v>228.11218649183058</v>
      </c>
      <c r="J140" s="2198">
        <f t="shared" si="7"/>
        <v>0</v>
      </c>
      <c r="K140" s="2198">
        <f t="shared" si="7"/>
        <v>0</v>
      </c>
      <c r="L140" s="2198">
        <f t="shared" si="7"/>
        <v>3.1220730565776704E-3</v>
      </c>
      <c r="M140" s="2187">
        <f t="shared" si="8"/>
        <v>450.21334165886151</v>
      </c>
    </row>
    <row r="141" spans="1:13" x14ac:dyDescent="0.25">
      <c r="A141" s="2210" t="s">
        <v>1234</v>
      </c>
      <c r="B141" s="2197">
        <f t="shared" si="5"/>
        <v>2011</v>
      </c>
      <c r="C141" s="2198">
        <f t="shared" si="5"/>
        <v>7912.3980000000001</v>
      </c>
      <c r="D141" s="2198">
        <f t="shared" si="9"/>
        <v>692.33119971973099</v>
      </c>
      <c r="E141" s="2198">
        <f t="shared" si="9"/>
        <v>0</v>
      </c>
      <c r="F141" s="2198">
        <f t="shared" si="9"/>
        <v>239.49755813597849</v>
      </c>
      <c r="G141" s="2198">
        <f t="shared" si="6"/>
        <v>107.55272927372965</v>
      </c>
      <c r="H141" s="2198">
        <f t="shared" si="6"/>
        <v>0</v>
      </c>
      <c r="I141" s="2198">
        <f t="shared" si="10"/>
        <v>345.28091231002281</v>
      </c>
      <c r="J141" s="2198">
        <f t="shared" si="7"/>
        <v>0</v>
      </c>
      <c r="K141" s="2198">
        <f t="shared" si="7"/>
        <v>0</v>
      </c>
      <c r="L141" s="2198">
        <f t="shared" si="7"/>
        <v>0</v>
      </c>
      <c r="M141" s="2187">
        <f t="shared" si="8"/>
        <v>692.33119971973099</v>
      </c>
    </row>
    <row r="142" spans="1:13" x14ac:dyDescent="0.25">
      <c r="A142" s="2210" t="s">
        <v>1163</v>
      </c>
      <c r="B142" s="2197">
        <f t="shared" si="5"/>
        <v>2014</v>
      </c>
      <c r="C142" s="2198">
        <f t="shared" si="5"/>
        <v>63650.01</v>
      </c>
      <c r="D142" s="2198">
        <f t="shared" si="9"/>
        <v>489.09654531083339</v>
      </c>
      <c r="E142" s="2198">
        <f t="shared" si="9"/>
        <v>136.0001357423196</v>
      </c>
      <c r="F142" s="2198">
        <f t="shared" si="9"/>
        <v>133.58395387526255</v>
      </c>
      <c r="G142" s="2198">
        <f t="shared" si="6"/>
        <v>79.990089553795826</v>
      </c>
      <c r="H142" s="2198">
        <f t="shared" si="6"/>
        <v>1.7910444947298516</v>
      </c>
      <c r="I142" s="2198">
        <f t="shared" si="10"/>
        <v>128.03250148743103</v>
      </c>
      <c r="J142" s="2198">
        <f t="shared" si="7"/>
        <v>0</v>
      </c>
      <c r="K142" s="2198">
        <f t="shared" si="7"/>
        <v>9.3008626392988774</v>
      </c>
      <c r="L142" s="2198">
        <f t="shared" si="7"/>
        <v>0.39795751799570411</v>
      </c>
      <c r="M142" s="2187">
        <f t="shared" si="8"/>
        <v>489.09654531083339</v>
      </c>
    </row>
    <row r="143" spans="1:13" x14ac:dyDescent="0.25">
      <c r="A143" s="2210" t="s">
        <v>1165</v>
      </c>
      <c r="B143" s="2197">
        <f t="shared" si="5"/>
        <v>2012</v>
      </c>
      <c r="C143" s="2198">
        <f t="shared" si="5"/>
        <v>314112.09999999998</v>
      </c>
      <c r="D143" s="2198">
        <f t="shared" si="9"/>
        <v>724.59481821935549</v>
      </c>
      <c r="E143" s="2198">
        <f t="shared" si="9"/>
        <v>389.92130516462117</v>
      </c>
      <c r="F143" s="2198">
        <f t="shared" si="9"/>
        <v>188.56325496534518</v>
      </c>
      <c r="G143" s="2198">
        <f t="shared" si="6"/>
        <v>61.602211439801273</v>
      </c>
      <c r="H143" s="2198">
        <f t="shared" si="6"/>
        <v>0</v>
      </c>
      <c r="I143" s="2198">
        <f t="shared" si="10"/>
        <v>84.504863072769254</v>
      </c>
      <c r="J143" s="2198">
        <f t="shared" si="7"/>
        <v>0</v>
      </c>
      <c r="K143" s="2198">
        <f t="shared" si="7"/>
        <v>0</v>
      </c>
      <c r="L143" s="2198">
        <f t="shared" si="7"/>
        <v>3.1835768185943811E-3</v>
      </c>
      <c r="M143" s="2187">
        <f t="shared" si="8"/>
        <v>724.59481821935549</v>
      </c>
    </row>
    <row r="144" spans="1:13" x14ac:dyDescent="0.25">
      <c r="A144" s="2208"/>
      <c r="B144" s="2211"/>
      <c r="C144" s="2208"/>
      <c r="D144" s="2208"/>
      <c r="E144" s="2208"/>
      <c r="F144" s="2208"/>
      <c r="G144" s="2208"/>
      <c r="H144" s="2208"/>
      <c r="I144" s="2208"/>
      <c r="J144" s="2208"/>
      <c r="K144" s="2208"/>
      <c r="L144" s="2208"/>
      <c r="M144" s="2208"/>
    </row>
    <row r="145" spans="1:16" s="2183" customFormat="1" ht="15.75" x14ac:dyDescent="0.25">
      <c r="A145" s="52" t="s">
        <v>1254</v>
      </c>
      <c r="B145" s="2182"/>
      <c r="C145" s="2182"/>
      <c r="D145" s="2182"/>
      <c r="E145" s="2182"/>
      <c r="F145" s="2182"/>
      <c r="G145" s="2182"/>
      <c r="H145" s="2182"/>
      <c r="I145" s="2182"/>
      <c r="J145" s="2182"/>
      <c r="K145" s="2182"/>
      <c r="L145" s="2182"/>
      <c r="M145" s="2182"/>
    </row>
    <row r="146" spans="1:16" x14ac:dyDescent="0.25">
      <c r="A146" s="2199" t="s">
        <v>1239</v>
      </c>
    </row>
    <row r="147" spans="1:16" x14ac:dyDescent="0.25">
      <c r="A147" s="2161" t="s">
        <v>1256</v>
      </c>
    </row>
    <row r="148" spans="1:16" ht="48" customHeight="1" x14ac:dyDescent="0.25">
      <c r="A148" s="2229" t="s">
        <v>1248</v>
      </c>
      <c r="B148" s="2226" t="s">
        <v>117</v>
      </c>
      <c r="C148" s="2226" t="s">
        <v>1205</v>
      </c>
      <c r="D148" s="2226" t="s">
        <v>1207</v>
      </c>
      <c r="E148" s="2226" t="s">
        <v>1209</v>
      </c>
      <c r="F148" s="2226" t="s">
        <v>1210</v>
      </c>
      <c r="G148" s="2226" t="s">
        <v>1240</v>
      </c>
      <c r="H148" s="2209" t="s">
        <v>1241</v>
      </c>
      <c r="J148" s="2161" t="s">
        <v>1273</v>
      </c>
      <c r="K148" s="2228" t="s">
        <v>1259</v>
      </c>
      <c r="L148" s="2228" t="s">
        <v>1260</v>
      </c>
      <c r="M148" s="2228" t="s">
        <v>1261</v>
      </c>
      <c r="N148" s="2228" t="s">
        <v>1262</v>
      </c>
      <c r="O148" s="2228" t="s">
        <v>1274</v>
      </c>
      <c r="P148" s="2245" t="s">
        <v>1272</v>
      </c>
    </row>
    <row r="149" spans="1:16" x14ac:dyDescent="0.25">
      <c r="A149" s="2210" t="str">
        <f t="shared" ref="A149:A177" si="11">A115</f>
        <v>Australia</v>
      </c>
      <c r="B149" s="2198">
        <f>VLOOKUP($A149,$A$115:$M$143,4,FALSE)</f>
        <v>565.10644347335494</v>
      </c>
      <c r="C149" s="2198">
        <f t="shared" ref="C149:C177" si="12">VLOOKUP($A149,$A$115:$M$143,5,FALSE)</f>
        <v>274.67066394520492</v>
      </c>
      <c r="D149" s="2198">
        <f t="shared" ref="D149:D177" si="13">VLOOKUP($A149,$A$115:$M$143,8,FALSE)</f>
        <v>0</v>
      </c>
      <c r="E149" s="2198">
        <f t="shared" ref="E149:E177" si="14">VLOOKUP($A149,$A$115:$M$143,11,FALSE)</f>
        <v>0</v>
      </c>
      <c r="F149" s="2198">
        <f t="shared" ref="F149:F177" si="15">VLOOKUP($A149,$A$115:$M$143,12,FALSE)</f>
        <v>0</v>
      </c>
      <c r="G149" s="2198">
        <f>SUM(C149:F149)</f>
        <v>274.67066394520492</v>
      </c>
      <c r="H149" s="2212">
        <f>G149/B149</f>
        <v>0.48605119817246567</v>
      </c>
      <c r="J149" s="2199" t="s">
        <v>433</v>
      </c>
      <c r="K149" s="2199">
        <f>_xlfn.RANK.EQ(B149,B149:B177,0)</f>
        <v>9</v>
      </c>
      <c r="L149" s="2199">
        <f>_xlfn.RANK.EQ(G149,G149:G177,0)</f>
        <v>6</v>
      </c>
      <c r="M149" s="2199">
        <f>_xlfn.RANK.EQ(C184,C184:C212,0)</f>
        <v>12</v>
      </c>
      <c r="N149" s="2199">
        <f>_xlfn.RANK.EQ(E184,E184:E212,0)</f>
        <v>21</v>
      </c>
      <c r="O149" s="2199">
        <f>_xlfn.RANK.EQ(H184,H184:H212,0)</f>
        <v>18</v>
      </c>
      <c r="P149" s="2199">
        <f>COUNTA(A149:A177)</f>
        <v>29</v>
      </c>
    </row>
    <row r="150" spans="1:16" x14ac:dyDescent="0.25">
      <c r="A150" s="2210" t="str">
        <f t="shared" si="11"/>
        <v>Austria</v>
      </c>
      <c r="B150" s="2198">
        <f t="shared" ref="B150:B177" si="16">VLOOKUP($A150,$A$115:$M$143,4,FALSE)</f>
        <v>570.63943499315712</v>
      </c>
      <c r="C150" s="2198">
        <f t="shared" si="12"/>
        <v>23.498654436345216</v>
      </c>
      <c r="D150" s="2198">
        <f t="shared" si="13"/>
        <v>0</v>
      </c>
      <c r="E150" s="2198">
        <f t="shared" si="14"/>
        <v>0</v>
      </c>
      <c r="F150" s="2198">
        <f t="shared" si="15"/>
        <v>10.509448466506152</v>
      </c>
      <c r="G150" s="2198">
        <f>SUM(C150:F150)</f>
        <v>34.00810290285137</v>
      </c>
      <c r="H150" s="2212">
        <f>G150/B150</f>
        <v>5.9596482152095183E-2</v>
      </c>
    </row>
    <row r="151" spans="1:16" x14ac:dyDescent="0.25">
      <c r="A151" s="2210" t="str">
        <f t="shared" si="11"/>
        <v>Belgium</v>
      </c>
      <c r="B151" s="2198">
        <f t="shared" si="16"/>
        <v>446.61110237458718</v>
      </c>
      <c r="C151" s="2198">
        <f t="shared" si="12"/>
        <v>4.5829308291959654</v>
      </c>
      <c r="D151" s="2198">
        <f t="shared" si="13"/>
        <v>9.7948913800462787</v>
      </c>
      <c r="E151" s="2198">
        <f t="shared" si="14"/>
        <v>0</v>
      </c>
      <c r="F151" s="2198">
        <f t="shared" si="15"/>
        <v>3.7741783299260891</v>
      </c>
      <c r="G151" s="2198">
        <f t="shared" ref="G151:G177" si="17">SUM(C151:F151)</f>
        <v>18.152000539168334</v>
      </c>
      <c r="H151" s="2212">
        <f t="shared" ref="H151:H177" si="18">G151/B151</f>
        <v>4.0643863179074452E-2</v>
      </c>
      <c r="J151" s="2161" t="s">
        <v>1271</v>
      </c>
    </row>
    <row r="152" spans="1:16" x14ac:dyDescent="0.25">
      <c r="A152" s="2210" t="str">
        <f t="shared" si="11"/>
        <v>Canada</v>
      </c>
      <c r="B152" s="2198">
        <f t="shared" si="16"/>
        <v>942.13444249206361</v>
      </c>
      <c r="C152" s="2198">
        <f t="shared" si="12"/>
        <v>681.25602593312192</v>
      </c>
      <c r="D152" s="2198">
        <f t="shared" si="13"/>
        <v>0</v>
      </c>
      <c r="E152" s="2198">
        <f t="shared" si="14"/>
        <v>0</v>
      </c>
      <c r="F152" s="2198">
        <f t="shared" si="15"/>
        <v>0</v>
      </c>
      <c r="G152" s="2198">
        <f t="shared" si="17"/>
        <v>681.25602593312192</v>
      </c>
      <c r="H152" s="2212">
        <f t="shared" si="18"/>
        <v>0.72309852522864404</v>
      </c>
    </row>
    <row r="153" spans="1:16" x14ac:dyDescent="0.25">
      <c r="A153" s="2210" t="str">
        <f t="shared" si="11"/>
        <v>Czech Republic</v>
      </c>
      <c r="B153" s="2198">
        <f t="shared" si="16"/>
        <v>309.80029986375013</v>
      </c>
      <c r="C153" s="2198">
        <f t="shared" si="12"/>
        <v>173.67298888907891</v>
      </c>
      <c r="D153" s="2198">
        <f t="shared" si="13"/>
        <v>0.38100558871539353</v>
      </c>
      <c r="E153" s="2198">
        <f t="shared" si="14"/>
        <v>0</v>
      </c>
      <c r="F153" s="2198">
        <f t="shared" si="15"/>
        <v>-8.551247627029647E-2</v>
      </c>
      <c r="G153" s="2198">
        <f t="shared" si="17"/>
        <v>173.96848200152399</v>
      </c>
      <c r="H153" s="2212">
        <f t="shared" si="18"/>
        <v>0.56155039900876524</v>
      </c>
    </row>
    <row r="154" spans="1:16" x14ac:dyDescent="0.25">
      <c r="A154" s="2210" t="str">
        <f t="shared" si="11"/>
        <v>Denmark</v>
      </c>
      <c r="B154" s="2198">
        <f t="shared" si="16"/>
        <v>752.10171734938194</v>
      </c>
      <c r="C154" s="2198">
        <f t="shared" si="12"/>
        <v>12.644854826380801</v>
      </c>
      <c r="D154" s="2198">
        <f t="shared" si="13"/>
        <v>0</v>
      </c>
      <c r="E154" s="2198">
        <f t="shared" si="14"/>
        <v>0</v>
      </c>
      <c r="F154" s="2198">
        <f t="shared" si="15"/>
        <v>0</v>
      </c>
      <c r="G154" s="2198">
        <f t="shared" si="17"/>
        <v>12.644854826380801</v>
      </c>
      <c r="H154" s="2212">
        <f t="shared" si="18"/>
        <v>1.6812692398768651E-2</v>
      </c>
    </row>
    <row r="155" spans="1:16" x14ac:dyDescent="0.25">
      <c r="A155" s="2210" t="str">
        <f t="shared" si="11"/>
        <v>Estonia</v>
      </c>
      <c r="B155" s="2198">
        <f t="shared" si="16"/>
        <v>292.61294344533371</v>
      </c>
      <c r="C155" s="2198">
        <f t="shared" si="12"/>
        <v>39.94170465408348</v>
      </c>
      <c r="D155" s="2198">
        <f t="shared" si="13"/>
        <v>0</v>
      </c>
      <c r="E155" s="2198">
        <f t="shared" si="14"/>
        <v>0</v>
      </c>
      <c r="F155" s="2198">
        <f t="shared" si="15"/>
        <v>23.292384185720973</v>
      </c>
      <c r="G155" s="2198">
        <f t="shared" si="17"/>
        <v>63.234088839804457</v>
      </c>
      <c r="H155" s="2212">
        <f t="shared" si="18"/>
        <v>0.21610147553714731</v>
      </c>
    </row>
    <row r="156" spans="1:16" x14ac:dyDescent="0.25">
      <c r="A156" s="2210" t="str">
        <f t="shared" si="11"/>
        <v>Finland</v>
      </c>
      <c r="B156" s="2198">
        <f t="shared" si="16"/>
        <v>492.94117647058823</v>
      </c>
      <c r="C156" s="2198">
        <f t="shared" si="12"/>
        <v>123.60294117647059</v>
      </c>
      <c r="D156" s="2198">
        <f t="shared" si="13"/>
        <v>0</v>
      </c>
      <c r="E156" s="2198">
        <f t="shared" si="14"/>
        <v>0</v>
      </c>
      <c r="F156" s="2198">
        <f t="shared" si="15"/>
        <v>1.1029411764695851E-2</v>
      </c>
      <c r="G156" s="2198">
        <f t="shared" si="17"/>
        <v>123.61397058823529</v>
      </c>
      <c r="H156" s="2212">
        <f t="shared" si="18"/>
        <v>0.25076819809069212</v>
      </c>
    </row>
    <row r="157" spans="1:16" x14ac:dyDescent="0.25">
      <c r="A157" s="2210" t="str">
        <f t="shared" si="11"/>
        <v>France</v>
      </c>
      <c r="B157" s="2198">
        <f t="shared" si="16"/>
        <v>526.09766282014755</v>
      </c>
      <c r="C157" s="2198">
        <f t="shared" si="12"/>
        <v>135.66491966797921</v>
      </c>
      <c r="D157" s="2198">
        <f t="shared" si="13"/>
        <v>5.8224617461921806</v>
      </c>
      <c r="E157" s="2198">
        <f t="shared" si="14"/>
        <v>0</v>
      </c>
      <c r="F157" s="2198">
        <f t="shared" si="15"/>
        <v>0</v>
      </c>
      <c r="G157" s="2198">
        <f t="shared" si="17"/>
        <v>141.48738141417138</v>
      </c>
      <c r="H157" s="2212">
        <f t="shared" si="18"/>
        <v>0.26893748331009115</v>
      </c>
    </row>
    <row r="158" spans="1:16" x14ac:dyDescent="0.25">
      <c r="A158" s="2210" t="str">
        <f t="shared" si="11"/>
        <v>Germany</v>
      </c>
      <c r="B158" s="2198">
        <f t="shared" si="16"/>
        <v>614.66458000627688</v>
      </c>
      <c r="C158" s="2198">
        <f t="shared" si="12"/>
        <v>1.6739906859158236</v>
      </c>
      <c r="D158" s="2198">
        <f t="shared" si="13"/>
        <v>64.92603875152038</v>
      </c>
      <c r="E158" s="2198">
        <f t="shared" si="14"/>
        <v>13.615124245448698</v>
      </c>
      <c r="F158" s="2198">
        <f t="shared" si="15"/>
        <v>1.2399931006783878E-2</v>
      </c>
      <c r="G158" s="2198">
        <f t="shared" si="17"/>
        <v>80.227553613891686</v>
      </c>
      <c r="H158" s="2212">
        <f t="shared" si="18"/>
        <v>0.13052249344361508</v>
      </c>
    </row>
    <row r="159" spans="1:16" x14ac:dyDescent="0.25">
      <c r="A159" s="2210" t="str">
        <f t="shared" si="11"/>
        <v>Greece</v>
      </c>
      <c r="B159" s="2198">
        <f t="shared" si="16"/>
        <v>503.60685302073938</v>
      </c>
      <c r="C159" s="2198">
        <f t="shared" si="12"/>
        <v>406.40216411181245</v>
      </c>
      <c r="D159" s="2198">
        <f t="shared" si="13"/>
        <v>0</v>
      </c>
      <c r="E159" s="2198">
        <f t="shared" si="14"/>
        <v>0</v>
      </c>
      <c r="F159" s="2198">
        <f t="shared" si="15"/>
        <v>0</v>
      </c>
      <c r="G159" s="2198">
        <f t="shared" si="17"/>
        <v>406.40216411181245</v>
      </c>
      <c r="H159" s="2212">
        <f t="shared" si="18"/>
        <v>0.80698299015219344</v>
      </c>
    </row>
    <row r="160" spans="1:16" x14ac:dyDescent="0.25">
      <c r="A160" s="2210" t="str">
        <f t="shared" si="11"/>
        <v>Hungary</v>
      </c>
      <c r="B160" s="2198">
        <f t="shared" si="16"/>
        <v>378.08085832648749</v>
      </c>
      <c r="C160" s="2198">
        <f t="shared" si="12"/>
        <v>244.26572307610149</v>
      </c>
      <c r="D160" s="2198">
        <f t="shared" si="13"/>
        <v>0</v>
      </c>
      <c r="E160" s="2198">
        <f t="shared" si="14"/>
        <v>0</v>
      </c>
      <c r="F160" s="2198">
        <f t="shared" si="15"/>
        <v>0</v>
      </c>
      <c r="G160" s="2198">
        <f t="shared" si="17"/>
        <v>244.26572307610149</v>
      </c>
      <c r="H160" s="2212">
        <f t="shared" si="18"/>
        <v>0.6460674157303371</v>
      </c>
    </row>
    <row r="161" spans="1:8" x14ac:dyDescent="0.25">
      <c r="A161" s="2210" t="str">
        <f t="shared" si="11"/>
        <v>Iceland</v>
      </c>
      <c r="B161" s="2198">
        <f t="shared" si="16"/>
        <v>319.73568516692865</v>
      </c>
      <c r="C161" s="2198">
        <f t="shared" si="12"/>
        <v>162.68903980552545</v>
      </c>
      <c r="D161" s="2198">
        <f t="shared" si="13"/>
        <v>5.3289280861154777</v>
      </c>
      <c r="E161" s="2198">
        <f t="shared" si="14"/>
        <v>0</v>
      </c>
      <c r="F161" s="2198">
        <f t="shared" si="15"/>
        <v>3.1346635800650773E-2</v>
      </c>
      <c r="G161" s="2198">
        <f t="shared" si="17"/>
        <v>168.04931452744157</v>
      </c>
      <c r="H161" s="2212">
        <f t="shared" si="18"/>
        <v>0.52558823529411747</v>
      </c>
    </row>
    <row r="162" spans="1:8" x14ac:dyDescent="0.25">
      <c r="A162" s="2210" t="str">
        <f t="shared" si="11"/>
        <v>Ireland</v>
      </c>
      <c r="B162" s="2198">
        <f t="shared" si="16"/>
        <v>587.18977624634715</v>
      </c>
      <c r="C162" s="2198">
        <f t="shared" si="12"/>
        <v>224.10258647010076</v>
      </c>
      <c r="D162" s="2198">
        <f t="shared" si="13"/>
        <v>0</v>
      </c>
      <c r="E162" s="2198">
        <f t="shared" si="14"/>
        <v>0</v>
      </c>
      <c r="F162" s="2198">
        <f t="shared" si="15"/>
        <v>55.196929384568399</v>
      </c>
      <c r="G162" s="2198">
        <f t="shared" si="17"/>
        <v>279.29951585466915</v>
      </c>
      <c r="H162" s="2212">
        <f t="shared" si="18"/>
        <v>0.47565459610027849</v>
      </c>
    </row>
    <row r="163" spans="1:8" x14ac:dyDescent="0.25">
      <c r="A163" s="2210" t="str">
        <f t="shared" si="11"/>
        <v>Italy</v>
      </c>
      <c r="B163" s="2198">
        <f t="shared" si="16"/>
        <v>483.38987838183306</v>
      </c>
      <c r="C163" s="2198">
        <f t="shared" si="12"/>
        <v>178.39641337231006</v>
      </c>
      <c r="D163" s="2198">
        <f t="shared" si="13"/>
        <v>0</v>
      </c>
      <c r="E163" s="2198">
        <f t="shared" si="14"/>
        <v>0</v>
      </c>
      <c r="F163" s="2198">
        <f t="shared" si="15"/>
        <v>16.917746732668217</v>
      </c>
      <c r="G163" s="2198">
        <f t="shared" si="17"/>
        <v>195.31416010497827</v>
      </c>
      <c r="H163" s="2212">
        <f t="shared" si="18"/>
        <v>0.40405099245933784</v>
      </c>
    </row>
    <row r="164" spans="1:8" x14ac:dyDescent="0.25">
      <c r="A164" s="2210" t="str">
        <f t="shared" si="11"/>
        <v>Korea</v>
      </c>
      <c r="B164" s="2198">
        <f t="shared" si="16"/>
        <v>354.16401581292752</v>
      </c>
      <c r="C164" s="2198">
        <f t="shared" si="12"/>
        <v>55.336882938498007</v>
      </c>
      <c r="D164" s="2198">
        <f t="shared" si="13"/>
        <v>5.9936674215501613</v>
      </c>
      <c r="E164" s="2198">
        <f t="shared" si="14"/>
        <v>0</v>
      </c>
      <c r="F164" s="2198">
        <f t="shared" si="15"/>
        <v>0</v>
      </c>
      <c r="G164" s="2198">
        <f t="shared" si="17"/>
        <v>61.330550360048171</v>
      </c>
      <c r="H164" s="2212">
        <f t="shared" si="18"/>
        <v>0.17316990891712583</v>
      </c>
    </row>
    <row r="165" spans="1:8" x14ac:dyDescent="0.25">
      <c r="A165" s="2210" t="str">
        <f t="shared" si="11"/>
        <v>Luxembourg</v>
      </c>
      <c r="B165" s="2198">
        <f t="shared" si="16"/>
        <v>651.85536758917101</v>
      </c>
      <c r="C165" s="2198">
        <f t="shared" si="12"/>
        <v>114.23007236140775</v>
      </c>
      <c r="D165" s="2198">
        <f t="shared" si="13"/>
        <v>0</v>
      </c>
      <c r="E165" s="2198">
        <f t="shared" si="14"/>
        <v>0</v>
      </c>
      <c r="F165" s="2198">
        <f t="shared" si="15"/>
        <v>1.8834307066991567E-2</v>
      </c>
      <c r="G165" s="2198">
        <f t="shared" si="17"/>
        <v>114.24890666847475</v>
      </c>
      <c r="H165" s="2212">
        <f t="shared" si="18"/>
        <v>0.17526726379659055</v>
      </c>
    </row>
    <row r="166" spans="1:8" x14ac:dyDescent="0.25">
      <c r="A166" s="2210" t="str">
        <f t="shared" si="11"/>
        <v>Mexico</v>
      </c>
      <c r="B166" s="2198">
        <f t="shared" si="16"/>
        <v>355.61269005220652</v>
      </c>
      <c r="C166" s="2198">
        <f t="shared" si="12"/>
        <v>337.8750471936761</v>
      </c>
      <c r="D166" s="2198">
        <f t="shared" si="13"/>
        <v>0</v>
      </c>
      <c r="E166" s="2198">
        <f t="shared" si="14"/>
        <v>0</v>
      </c>
      <c r="F166" s="2198">
        <f t="shared" si="15"/>
        <v>4.2231477487590603E-4</v>
      </c>
      <c r="G166" s="2198">
        <f t="shared" si="17"/>
        <v>337.87546950845098</v>
      </c>
      <c r="H166" s="2212">
        <f t="shared" si="18"/>
        <v>0.95012208214180549</v>
      </c>
    </row>
    <row r="167" spans="1:8" x14ac:dyDescent="0.25">
      <c r="A167" s="2210" t="str">
        <f t="shared" si="11"/>
        <v>Netherlands</v>
      </c>
      <c r="B167" s="2198">
        <f t="shared" si="16"/>
        <v>526.17077758662447</v>
      </c>
      <c r="C167" s="2198">
        <f t="shared" si="12"/>
        <v>7.7955634317855464</v>
      </c>
      <c r="D167" s="2198">
        <f t="shared" si="13"/>
        <v>6.1888442511885255</v>
      </c>
      <c r="E167" s="2198">
        <f t="shared" si="14"/>
        <v>0</v>
      </c>
      <c r="F167" s="2198">
        <f t="shared" si="15"/>
        <v>-5.0581900129906217</v>
      </c>
      <c r="G167" s="2198">
        <f t="shared" si="17"/>
        <v>8.9262176699834512</v>
      </c>
      <c r="H167" s="2212">
        <f t="shared" si="18"/>
        <v>1.6964487672472293E-2</v>
      </c>
    </row>
    <row r="168" spans="1:8" x14ac:dyDescent="0.25">
      <c r="A168" s="2210" t="str">
        <f t="shared" si="11"/>
        <v>Norway</v>
      </c>
      <c r="B168" s="2198">
        <f t="shared" si="16"/>
        <v>423.47673739536697</v>
      </c>
      <c r="C168" s="2198">
        <f t="shared" si="12"/>
        <v>11.68386217636753</v>
      </c>
      <c r="D168" s="2198">
        <f t="shared" si="13"/>
        <v>77.477126727662053</v>
      </c>
      <c r="E168" s="2198">
        <f t="shared" si="14"/>
        <v>0.19466614755693984</v>
      </c>
      <c r="F168" s="2198">
        <f t="shared" si="15"/>
        <v>-77.496593342417725</v>
      </c>
      <c r="G168" s="2198">
        <f>SUM(C168:F168)</f>
        <v>11.859061709168799</v>
      </c>
      <c r="H168" s="2212">
        <f>G168/B168</f>
        <v>2.8004045233060638E-2</v>
      </c>
    </row>
    <row r="169" spans="1:8" x14ac:dyDescent="0.25">
      <c r="A169" s="2210" t="str">
        <f t="shared" si="11"/>
        <v>Poland</v>
      </c>
      <c r="B169" s="2198">
        <f t="shared" si="16"/>
        <v>313.59489943761048</v>
      </c>
      <c r="C169" s="2198">
        <f t="shared" si="12"/>
        <v>185.75904420509895</v>
      </c>
      <c r="D169" s="2198">
        <f t="shared" si="13"/>
        <v>0</v>
      </c>
      <c r="E169" s="2198">
        <f t="shared" si="14"/>
        <v>0</v>
      </c>
      <c r="F169" s="2198">
        <f t="shared" si="15"/>
        <v>66.279491324367527</v>
      </c>
      <c r="G169" s="2198">
        <f t="shared" si="17"/>
        <v>252.03853552946646</v>
      </c>
      <c r="H169" s="2212">
        <f t="shared" si="18"/>
        <v>0.8037073816617013</v>
      </c>
    </row>
    <row r="170" spans="1:8" x14ac:dyDescent="0.25">
      <c r="A170" s="2210" t="str">
        <f t="shared" si="11"/>
        <v>Portugal</v>
      </c>
      <c r="B170" s="2198">
        <f t="shared" si="16"/>
        <v>439.68328344792639</v>
      </c>
      <c r="C170" s="2198">
        <f t="shared" si="12"/>
        <v>221.8727587426965</v>
      </c>
      <c r="D170" s="2198">
        <f t="shared" si="13"/>
        <v>0</v>
      </c>
      <c r="E170" s="2198">
        <f t="shared" si="14"/>
        <v>0</v>
      </c>
      <c r="F170" s="2198">
        <f t="shared" si="15"/>
        <v>-2.8688093485560173E-3</v>
      </c>
      <c r="G170" s="2198">
        <f t="shared" si="17"/>
        <v>221.86988993334793</v>
      </c>
      <c r="H170" s="2212">
        <f t="shared" si="18"/>
        <v>0.5046129754888099</v>
      </c>
    </row>
    <row r="171" spans="1:8" x14ac:dyDescent="0.25">
      <c r="A171" s="2210" t="str">
        <f t="shared" si="11"/>
        <v>Slovak Republic</v>
      </c>
      <c r="B171" s="2198">
        <f t="shared" si="16"/>
        <v>303.65869397957772</v>
      </c>
      <c r="C171" s="2198">
        <f t="shared" si="12"/>
        <v>212.68479448384764</v>
      </c>
      <c r="D171" s="2198">
        <f t="shared" si="13"/>
        <v>0</v>
      </c>
      <c r="E171" s="2198">
        <f t="shared" si="14"/>
        <v>3.1388774155738912</v>
      </c>
      <c r="F171" s="2198">
        <f t="shared" si="15"/>
        <v>4.8431032123824584</v>
      </c>
      <c r="G171" s="2198">
        <f t="shared" si="17"/>
        <v>220.66677511180399</v>
      </c>
      <c r="H171" s="2212">
        <f t="shared" si="18"/>
        <v>0.72669342089261812</v>
      </c>
    </row>
    <row r="172" spans="1:8" x14ac:dyDescent="0.25">
      <c r="A172" s="2210" t="str">
        <f t="shared" si="11"/>
        <v>Slovenia</v>
      </c>
      <c r="B172" s="2198">
        <f t="shared" si="16"/>
        <v>432.52330809270171</v>
      </c>
      <c r="C172" s="2198">
        <f t="shared" si="12"/>
        <v>100.73616757282976</v>
      </c>
      <c r="D172" s="2198">
        <f t="shared" si="13"/>
        <v>0</v>
      </c>
      <c r="E172" s="2198">
        <f t="shared" si="14"/>
        <v>0.48505473600168408</v>
      </c>
      <c r="F172" s="2198">
        <f t="shared" si="15"/>
        <v>13.993829133648596</v>
      </c>
      <c r="G172" s="2198">
        <f t="shared" si="17"/>
        <v>115.21505144248005</v>
      </c>
      <c r="H172" s="2212">
        <f t="shared" si="18"/>
        <v>0.26637882695973986</v>
      </c>
    </row>
    <row r="173" spans="1:8" x14ac:dyDescent="0.25">
      <c r="A173" s="2210" t="str">
        <f t="shared" si="11"/>
        <v>Spain</v>
      </c>
      <c r="B173" s="2198">
        <f t="shared" si="16"/>
        <v>435.11919430183116</v>
      </c>
      <c r="C173" s="2198">
        <f t="shared" si="12"/>
        <v>239.70790320688789</v>
      </c>
      <c r="D173" s="2198">
        <f t="shared" si="13"/>
        <v>0</v>
      </c>
      <c r="E173" s="2198">
        <f t="shared" si="14"/>
        <v>0</v>
      </c>
      <c r="F173" s="2198">
        <f t="shared" si="15"/>
        <v>0</v>
      </c>
      <c r="G173" s="2198">
        <f t="shared" si="17"/>
        <v>239.70790320688789</v>
      </c>
      <c r="H173" s="2212">
        <f t="shared" si="18"/>
        <v>0.55090169853690385</v>
      </c>
    </row>
    <row r="174" spans="1:8" x14ac:dyDescent="0.25">
      <c r="A174" s="2210" t="str">
        <f t="shared" si="11"/>
        <v>Sweden</v>
      </c>
      <c r="B174" s="2198">
        <f t="shared" si="16"/>
        <v>450.21334165886151</v>
      </c>
      <c r="C174" s="2198">
        <f t="shared" si="12"/>
        <v>2.9139348527422206</v>
      </c>
      <c r="D174" s="2198">
        <f t="shared" si="13"/>
        <v>0</v>
      </c>
      <c r="E174" s="2198">
        <f t="shared" si="14"/>
        <v>0</v>
      </c>
      <c r="F174" s="2198">
        <f t="shared" si="15"/>
        <v>3.1220730565776704E-3</v>
      </c>
      <c r="G174" s="2198">
        <f t="shared" si="17"/>
        <v>2.9170569257987982</v>
      </c>
      <c r="H174" s="2212">
        <f t="shared" si="18"/>
        <v>6.4792769469038279E-3</v>
      </c>
    </row>
    <row r="175" spans="1:8" x14ac:dyDescent="0.25">
      <c r="A175" s="2210" t="str">
        <f t="shared" si="11"/>
        <v>Switzerland</v>
      </c>
      <c r="B175" s="2198">
        <f t="shared" si="16"/>
        <v>692.33119971973099</v>
      </c>
      <c r="C175" s="2198">
        <f t="shared" si="12"/>
        <v>0</v>
      </c>
      <c r="D175" s="2198">
        <f t="shared" si="13"/>
        <v>0</v>
      </c>
      <c r="E175" s="2198">
        <f t="shared" si="14"/>
        <v>0</v>
      </c>
      <c r="F175" s="2198">
        <f t="shared" si="15"/>
        <v>0</v>
      </c>
      <c r="G175" s="2198">
        <f t="shared" si="17"/>
        <v>0</v>
      </c>
      <c r="H175" s="2212">
        <f t="shared" si="18"/>
        <v>0</v>
      </c>
    </row>
    <row r="176" spans="1:8" x14ac:dyDescent="0.25">
      <c r="A176" s="2210" t="str">
        <f t="shared" si="11"/>
        <v>United Kingdom</v>
      </c>
      <c r="B176" s="2198">
        <f t="shared" si="16"/>
        <v>489.09654531083339</v>
      </c>
      <c r="C176" s="2198">
        <f t="shared" si="12"/>
        <v>136.0001357423196</v>
      </c>
      <c r="D176" s="2198">
        <f t="shared" si="13"/>
        <v>1.7910444947298516</v>
      </c>
      <c r="E176" s="2198">
        <f t="shared" si="14"/>
        <v>9.3008626392988774</v>
      </c>
      <c r="F176" s="2198">
        <f t="shared" si="15"/>
        <v>0.39795751799570411</v>
      </c>
      <c r="G176" s="2198">
        <f t="shared" si="17"/>
        <v>147.49000039434404</v>
      </c>
      <c r="H176" s="2212">
        <f t="shared" si="18"/>
        <v>0.30155600526806087</v>
      </c>
    </row>
    <row r="177" spans="1:21" x14ac:dyDescent="0.25">
      <c r="A177" s="2210" t="str">
        <f t="shared" si="11"/>
        <v>United States</v>
      </c>
      <c r="B177" s="2198">
        <f t="shared" si="16"/>
        <v>724.59481821935549</v>
      </c>
      <c r="C177" s="2198">
        <f t="shared" si="12"/>
        <v>389.92130516462117</v>
      </c>
      <c r="D177" s="2198">
        <f t="shared" si="13"/>
        <v>0</v>
      </c>
      <c r="E177" s="2198">
        <f t="shared" si="14"/>
        <v>0</v>
      </c>
      <c r="F177" s="2198">
        <f t="shared" si="15"/>
        <v>3.1835768185943811E-3</v>
      </c>
      <c r="G177" s="2198">
        <f t="shared" si="17"/>
        <v>389.92448874143975</v>
      </c>
      <c r="H177" s="2212">
        <f t="shared" si="18"/>
        <v>0.53812762517354695</v>
      </c>
    </row>
    <row r="182" spans="1:21" x14ac:dyDescent="0.25">
      <c r="A182" s="2161" t="s">
        <v>1257</v>
      </c>
    </row>
    <row r="183" spans="1:21" s="2161" customFormat="1" ht="45.75" customHeight="1" x14ac:dyDescent="0.25">
      <c r="A183" s="2229" t="s">
        <v>1248</v>
      </c>
      <c r="B183" s="2226" t="s">
        <v>117</v>
      </c>
      <c r="C183" s="2226" t="s">
        <v>447</v>
      </c>
      <c r="D183" s="2226" t="s">
        <v>1206</v>
      </c>
      <c r="E183" s="2226" t="s">
        <v>38</v>
      </c>
      <c r="F183" s="2226" t="s">
        <v>1430</v>
      </c>
      <c r="G183" s="2226" t="s">
        <v>1242</v>
      </c>
      <c r="H183" s="2226" t="s">
        <v>116</v>
      </c>
      <c r="I183" s="2228" t="s">
        <v>1243</v>
      </c>
      <c r="J183" s="2228" t="s">
        <v>1244</v>
      </c>
      <c r="K183" s="2228" t="s">
        <v>1245</v>
      </c>
      <c r="L183" s="2228" t="s">
        <v>1246</v>
      </c>
      <c r="M183" s="2228"/>
      <c r="S183" s="2199"/>
      <c r="T183" s="2199"/>
      <c r="U183" s="2199"/>
    </row>
    <row r="184" spans="1:21" x14ac:dyDescent="0.25">
      <c r="A184" s="2210" t="str">
        <f t="shared" ref="A184:A212" si="19">A149</f>
        <v>Australia</v>
      </c>
      <c r="B184" s="2198">
        <f>VLOOKUP($A184,$A$115:$M$143,4,FALSE)</f>
        <v>565.10644347335494</v>
      </c>
      <c r="C184" s="2198">
        <f t="shared" ref="C184:C212" si="20">VLOOKUP($A184,$A$115:$M$143,6,FALSE)</f>
        <v>141.41924922654633</v>
      </c>
      <c r="D184" s="2198">
        <f t="shared" ref="D184:D212" si="21">VLOOKUP($A184,$A$115:$M$143,7,FALSE)</f>
        <v>95.94619650770214</v>
      </c>
      <c r="E184" s="2198">
        <f>VLOOKUP($A184,$A$115:$M$143,9,FALSE)</f>
        <v>53.070333793901511</v>
      </c>
      <c r="F184" s="2198">
        <f t="shared" ref="F184:F212" si="22">VLOOKUP($A184,$A$115:$M$143,10,FALSE)</f>
        <v>0</v>
      </c>
      <c r="G184" s="2208">
        <f t="shared" ref="G184:G212" si="23">SUM(C184:F184)</f>
        <v>290.43577952814996</v>
      </c>
      <c r="H184" s="2212">
        <f>SUM(C184:F184)/B184</f>
        <v>0.51394880182753422</v>
      </c>
      <c r="I184" s="2192">
        <f>C184/B184</f>
        <v>0.2502524097183017</v>
      </c>
      <c r="J184" s="2192">
        <f t="shared" ref="J184:J212" si="24">D184/B184</f>
        <v>0.16978429040373533</v>
      </c>
      <c r="K184" s="2192">
        <f t="shared" ref="K184:K212" si="25">E184/B184</f>
        <v>9.39121017054972E-2</v>
      </c>
      <c r="L184" s="2192">
        <f t="shared" ref="L184:L212" si="26">F184/B184</f>
        <v>0</v>
      </c>
    </row>
    <row r="185" spans="1:21" x14ac:dyDescent="0.25">
      <c r="A185" s="2210" t="str">
        <f t="shared" si="19"/>
        <v>Austria</v>
      </c>
      <c r="B185" s="2198">
        <f t="shared" ref="B185:B212" si="27">VLOOKUP($A185,$A$115:$M$143,4,FALSE)</f>
        <v>570.63943499315712</v>
      </c>
      <c r="C185" s="2198">
        <f t="shared" si="20"/>
        <v>141.98382961940447</v>
      </c>
      <c r="D185" s="2198">
        <f t="shared" si="21"/>
        <v>192.07493118672929</v>
      </c>
      <c r="E185" s="2198">
        <f t="shared" ref="E185:E212" si="28">VLOOKUP($A185,$A$115:$M$143,9,FALSE)</f>
        <v>202.57257128417194</v>
      </c>
      <c r="F185" s="2198">
        <f t="shared" si="22"/>
        <v>0</v>
      </c>
      <c r="G185" s="2208">
        <f t="shared" si="23"/>
        <v>536.6313320903057</v>
      </c>
      <c r="H185" s="2212">
        <f t="shared" ref="H185:H212" si="29">SUM(C185:F185)/B185</f>
        <v>0.94040351784790477</v>
      </c>
      <c r="I185" s="2192">
        <f t="shared" ref="I185:I212" si="30">C185/B185</f>
        <v>0.2488153129849974</v>
      </c>
      <c r="J185" s="2192">
        <f t="shared" si="24"/>
        <v>0.33659596482152093</v>
      </c>
      <c r="K185" s="2192">
        <f t="shared" si="25"/>
        <v>0.35499224004138641</v>
      </c>
      <c r="L185" s="2192">
        <f t="shared" si="26"/>
        <v>0</v>
      </c>
    </row>
    <row r="186" spans="1:21" x14ac:dyDescent="0.25">
      <c r="A186" s="2210" t="str">
        <f t="shared" si="19"/>
        <v>Belgium</v>
      </c>
      <c r="B186" s="2198">
        <f t="shared" si="27"/>
        <v>446.61110237458718</v>
      </c>
      <c r="C186" s="2198">
        <f t="shared" si="20"/>
        <v>155.99937097027833</v>
      </c>
      <c r="D186" s="2198">
        <f t="shared" si="21"/>
        <v>92.826814638420231</v>
      </c>
      <c r="E186" s="2198">
        <f t="shared" si="28"/>
        <v>179.63291622672028</v>
      </c>
      <c r="F186" s="2198">
        <f t="shared" si="22"/>
        <v>0</v>
      </c>
      <c r="G186" s="2208">
        <f t="shared" si="23"/>
        <v>428.45910183541883</v>
      </c>
      <c r="H186" s="2212">
        <f t="shared" si="29"/>
        <v>0.95935613682092558</v>
      </c>
      <c r="I186" s="2192">
        <f t="shared" si="30"/>
        <v>0.3492957746478873</v>
      </c>
      <c r="J186" s="2192">
        <f t="shared" si="24"/>
        <v>0.2078470824949698</v>
      </c>
      <c r="K186" s="2192">
        <f t="shared" si="25"/>
        <v>0.40221327967806841</v>
      </c>
      <c r="L186" s="2192">
        <f t="shared" si="26"/>
        <v>0</v>
      </c>
    </row>
    <row r="187" spans="1:21" x14ac:dyDescent="0.25">
      <c r="A187" s="2210" t="str">
        <f t="shared" si="19"/>
        <v>Canada</v>
      </c>
      <c r="B187" s="2198">
        <f t="shared" si="27"/>
        <v>942.13444249206361</v>
      </c>
      <c r="C187" s="2198">
        <f t="shared" si="20"/>
        <v>171.86332531452396</v>
      </c>
      <c r="D187" s="2198">
        <f t="shared" si="21"/>
        <v>70.335307789540806</v>
      </c>
      <c r="E187" s="2198">
        <f t="shared" si="28"/>
        <v>18.679783454876926</v>
      </c>
      <c r="F187" s="2198">
        <f t="shared" si="22"/>
        <v>0</v>
      </c>
      <c r="G187" s="2208">
        <f t="shared" si="23"/>
        <v>260.87841655894169</v>
      </c>
      <c r="H187" s="2212">
        <f t="shared" si="29"/>
        <v>0.27690147477135602</v>
      </c>
      <c r="I187" s="2192">
        <f t="shared" si="30"/>
        <v>0.18241910874197947</v>
      </c>
      <c r="J187" s="2192">
        <f t="shared" si="24"/>
        <v>7.4655277014918489E-2</v>
      </c>
      <c r="K187" s="2192">
        <f t="shared" si="25"/>
        <v>1.9827089014458021E-2</v>
      </c>
      <c r="L187" s="2192">
        <f t="shared" si="26"/>
        <v>0</v>
      </c>
    </row>
    <row r="188" spans="1:21" x14ac:dyDescent="0.25">
      <c r="A188" s="2210" t="str">
        <f t="shared" si="19"/>
        <v>Czech Republic</v>
      </c>
      <c r="B188" s="2198">
        <f t="shared" si="27"/>
        <v>309.80029986375013</v>
      </c>
      <c r="C188" s="2198">
        <f t="shared" si="20"/>
        <v>69.932103093841391</v>
      </c>
      <c r="D188" s="2198">
        <f t="shared" si="21"/>
        <v>8.8771451754811022</v>
      </c>
      <c r="E188" s="2198">
        <f t="shared" si="28"/>
        <v>57.022569592903601</v>
      </c>
      <c r="F188" s="2198">
        <f t="shared" si="22"/>
        <v>0</v>
      </c>
      <c r="G188" s="2208">
        <f t="shared" si="23"/>
        <v>135.8318178622261</v>
      </c>
      <c r="H188" s="2212">
        <f t="shared" si="29"/>
        <v>0.4384496009912347</v>
      </c>
      <c r="I188" s="2192">
        <f t="shared" si="30"/>
        <v>0.22573284507664279</v>
      </c>
      <c r="J188" s="2192">
        <f t="shared" si="24"/>
        <v>2.8654411178379306E-2</v>
      </c>
      <c r="K188" s="2192">
        <f t="shared" si="25"/>
        <v>0.18406234473621255</v>
      </c>
      <c r="L188" s="2192">
        <f t="shared" si="26"/>
        <v>0</v>
      </c>
    </row>
    <row r="189" spans="1:21" x14ac:dyDescent="0.25">
      <c r="A189" s="2210" t="str">
        <f t="shared" si="19"/>
        <v>Denmark</v>
      </c>
      <c r="B189" s="2198">
        <f t="shared" si="27"/>
        <v>752.10171734938194</v>
      </c>
      <c r="C189" s="2198">
        <f t="shared" si="20"/>
        <v>205.52341506540063</v>
      </c>
      <c r="D189" s="2198">
        <f t="shared" si="21"/>
        <v>121.6399414988463</v>
      </c>
      <c r="E189" s="2198">
        <f t="shared" si="28"/>
        <v>412.29350595875428</v>
      </c>
      <c r="F189" s="2198">
        <f t="shared" si="22"/>
        <v>0</v>
      </c>
      <c r="G189" s="2208">
        <f t="shared" si="23"/>
        <v>739.45686252300118</v>
      </c>
      <c r="H189" s="2212">
        <f t="shared" si="29"/>
        <v>0.98318730760123141</v>
      </c>
      <c r="I189" s="2192">
        <f t="shared" si="30"/>
        <v>0.273265451101113</v>
      </c>
      <c r="J189" s="2192">
        <f t="shared" si="24"/>
        <v>0.16173336490646462</v>
      </c>
      <c r="K189" s="2192">
        <f t="shared" si="25"/>
        <v>0.54818849159365379</v>
      </c>
      <c r="L189" s="2192">
        <f t="shared" si="26"/>
        <v>0</v>
      </c>
    </row>
    <row r="190" spans="1:21" x14ac:dyDescent="0.25">
      <c r="A190" s="2210" t="str">
        <f t="shared" si="19"/>
        <v>Estonia</v>
      </c>
      <c r="B190" s="2198">
        <f t="shared" si="27"/>
        <v>292.61294344533371</v>
      </c>
      <c r="C190" s="2198">
        <f t="shared" si="20"/>
        <v>37.010272888270791</v>
      </c>
      <c r="D190" s="2198">
        <f t="shared" si="21"/>
        <v>14.869252083437486</v>
      </c>
      <c r="E190" s="2198">
        <f t="shared" si="28"/>
        <v>162.34981146424639</v>
      </c>
      <c r="F190" s="2198">
        <f t="shared" si="22"/>
        <v>15.149518169574616</v>
      </c>
      <c r="G190" s="2208">
        <f t="shared" si="23"/>
        <v>229.37885460552928</v>
      </c>
      <c r="H190" s="2212">
        <f t="shared" si="29"/>
        <v>0.7838985244628528</v>
      </c>
      <c r="I190" s="2192">
        <f t="shared" si="30"/>
        <v>0.12648200880144966</v>
      </c>
      <c r="J190" s="2192">
        <f t="shared" si="24"/>
        <v>5.0815428423505046E-2</v>
      </c>
      <c r="K190" s="2192">
        <f t="shared" si="25"/>
        <v>0.55482785399948231</v>
      </c>
      <c r="L190" s="2192">
        <f t="shared" si="26"/>
        <v>5.177323323841574E-2</v>
      </c>
    </row>
    <row r="191" spans="1:21" x14ac:dyDescent="0.25">
      <c r="A191" s="2210" t="str">
        <f t="shared" si="19"/>
        <v>Finland</v>
      </c>
      <c r="B191" s="2198">
        <f t="shared" si="27"/>
        <v>492.94117647058823</v>
      </c>
      <c r="C191" s="2198">
        <f t="shared" si="20"/>
        <v>93.825367647058826</v>
      </c>
      <c r="D191" s="2198">
        <f t="shared" si="21"/>
        <v>66.505514705882348</v>
      </c>
      <c r="E191" s="2198">
        <f t="shared" si="28"/>
        <v>208.99632352941177</v>
      </c>
      <c r="F191" s="2198">
        <f t="shared" si="22"/>
        <v>0</v>
      </c>
      <c r="G191" s="2208">
        <f t="shared" si="23"/>
        <v>369.32720588235293</v>
      </c>
      <c r="H191" s="2212">
        <f t="shared" si="29"/>
        <v>0.74923180190930783</v>
      </c>
      <c r="I191" s="2192">
        <f t="shared" si="30"/>
        <v>0.19033785799522673</v>
      </c>
      <c r="J191" s="2192">
        <f t="shared" si="24"/>
        <v>0.13491572195704057</v>
      </c>
      <c r="K191" s="2192">
        <f t="shared" si="25"/>
        <v>0.4239782219570406</v>
      </c>
      <c r="L191" s="2192">
        <f t="shared" si="26"/>
        <v>0</v>
      </c>
    </row>
    <row r="192" spans="1:21" x14ac:dyDescent="0.25">
      <c r="A192" s="2210" t="str">
        <f t="shared" si="19"/>
        <v>France</v>
      </c>
      <c r="B192" s="2198">
        <f t="shared" si="27"/>
        <v>526.09766282014755</v>
      </c>
      <c r="C192" s="2198">
        <f t="shared" si="20"/>
        <v>116.07459931550953</v>
      </c>
      <c r="D192" s="2198">
        <f t="shared" si="21"/>
        <v>90.255961974485757</v>
      </c>
      <c r="E192" s="2198">
        <f t="shared" si="28"/>
        <v>178.27972011598095</v>
      </c>
      <c r="F192" s="2198">
        <f t="shared" si="22"/>
        <v>0</v>
      </c>
      <c r="G192" s="2208">
        <f t="shared" si="23"/>
        <v>384.61028140597625</v>
      </c>
      <c r="H192" s="2212">
        <f t="shared" si="29"/>
        <v>0.73106251668990907</v>
      </c>
      <c r="I192" s="2192">
        <f t="shared" si="30"/>
        <v>0.22063317805536603</v>
      </c>
      <c r="J192" s="2192">
        <f t="shared" si="24"/>
        <v>0.17155742812212565</v>
      </c>
      <c r="K192" s="2192">
        <f t="shared" si="25"/>
        <v>0.33887191051241733</v>
      </c>
      <c r="L192" s="2192">
        <f t="shared" si="26"/>
        <v>0</v>
      </c>
    </row>
    <row r="193" spans="1:12" x14ac:dyDescent="0.25">
      <c r="A193" s="2210" t="str">
        <f t="shared" si="19"/>
        <v>Germany</v>
      </c>
      <c r="B193" s="2198">
        <f t="shared" si="27"/>
        <v>614.66458000627688</v>
      </c>
      <c r="C193" s="2198">
        <f t="shared" si="20"/>
        <v>286.3268068776465</v>
      </c>
      <c r="D193" s="2198">
        <f t="shared" si="21"/>
        <v>105.87061093592075</v>
      </c>
      <c r="E193" s="2198">
        <f t="shared" si="28"/>
        <v>142.23960857881787</v>
      </c>
      <c r="F193" s="2198">
        <f t="shared" si="22"/>
        <v>0</v>
      </c>
      <c r="G193" s="2208">
        <f t="shared" si="23"/>
        <v>534.43702639238518</v>
      </c>
      <c r="H193" s="2212">
        <f t="shared" si="29"/>
        <v>0.86947750655638489</v>
      </c>
      <c r="I193" s="2192">
        <f t="shared" si="30"/>
        <v>0.46582610449868866</v>
      </c>
      <c r="J193" s="2192">
        <f t="shared" si="24"/>
        <v>0.17224127496469638</v>
      </c>
      <c r="K193" s="2192">
        <f t="shared" si="25"/>
        <v>0.2314101270929998</v>
      </c>
      <c r="L193" s="2192">
        <f t="shared" si="26"/>
        <v>0</v>
      </c>
    </row>
    <row r="194" spans="1:12" x14ac:dyDescent="0.25">
      <c r="A194" s="2210" t="str">
        <f t="shared" si="19"/>
        <v>Greece</v>
      </c>
      <c r="B194" s="2198">
        <f t="shared" si="27"/>
        <v>503.60685302073938</v>
      </c>
      <c r="C194" s="2198">
        <f t="shared" si="20"/>
        <v>78.358881875563569</v>
      </c>
      <c r="D194" s="2198">
        <f t="shared" si="21"/>
        <v>18.845807033363389</v>
      </c>
      <c r="E194" s="2198">
        <f t="shared" si="28"/>
        <v>0</v>
      </c>
      <c r="F194" s="2198">
        <f t="shared" si="22"/>
        <v>0</v>
      </c>
      <c r="G194" s="2208">
        <f t="shared" si="23"/>
        <v>97.204688908926954</v>
      </c>
      <c r="H194" s="2212">
        <f t="shared" si="29"/>
        <v>0.19301700984780662</v>
      </c>
      <c r="I194" s="2192">
        <f t="shared" si="30"/>
        <v>0.15559534467323188</v>
      </c>
      <c r="J194" s="2192">
        <f t="shared" si="24"/>
        <v>3.742166517457475E-2</v>
      </c>
      <c r="K194" s="2192">
        <f t="shared" si="25"/>
        <v>0</v>
      </c>
      <c r="L194" s="2192">
        <f t="shared" si="26"/>
        <v>0</v>
      </c>
    </row>
    <row r="195" spans="1:12" x14ac:dyDescent="0.25">
      <c r="A195" s="2210" t="str">
        <f t="shared" si="19"/>
        <v>Hungary</v>
      </c>
      <c r="B195" s="2198">
        <f t="shared" si="27"/>
        <v>378.08085832648749</v>
      </c>
      <c r="C195" s="2198">
        <f t="shared" si="20"/>
        <v>80.815036330354076</v>
      </c>
      <c r="D195" s="2198">
        <f t="shared" si="21"/>
        <v>19.015302665965663</v>
      </c>
      <c r="E195" s="2198">
        <f t="shared" si="28"/>
        <v>33.984796254066296</v>
      </c>
      <c r="F195" s="2198">
        <f t="shared" si="22"/>
        <v>0</v>
      </c>
      <c r="G195" s="2208">
        <f t="shared" si="23"/>
        <v>133.81513525038605</v>
      </c>
      <c r="H195" s="2212">
        <f t="shared" si="29"/>
        <v>0.35393258426966301</v>
      </c>
      <c r="I195" s="2192">
        <f t="shared" si="30"/>
        <v>0.21375066880684859</v>
      </c>
      <c r="J195" s="2192">
        <f t="shared" si="24"/>
        <v>5.029427501337614E-2</v>
      </c>
      <c r="K195" s="2192">
        <f t="shared" si="25"/>
        <v>8.9887640449438214E-2</v>
      </c>
      <c r="L195" s="2192">
        <f t="shared" si="26"/>
        <v>0</v>
      </c>
    </row>
    <row r="196" spans="1:12" x14ac:dyDescent="0.25">
      <c r="A196" s="2210" t="str">
        <f t="shared" si="19"/>
        <v>Iceland</v>
      </c>
      <c r="B196" s="2198">
        <f t="shared" si="27"/>
        <v>319.73568516692865</v>
      </c>
      <c r="C196" s="2198">
        <f t="shared" si="20"/>
        <v>100.49731437697778</v>
      </c>
      <c r="D196" s="2198">
        <f t="shared" si="21"/>
        <v>25.108655276344102</v>
      </c>
      <c r="E196" s="2198">
        <f t="shared" si="28"/>
        <v>26.080400986165159</v>
      </c>
      <c r="F196" s="2198">
        <f t="shared" si="22"/>
        <v>0</v>
      </c>
      <c r="G196" s="2208">
        <f t="shared" si="23"/>
        <v>151.68637063948705</v>
      </c>
      <c r="H196" s="2212">
        <f t="shared" si="29"/>
        <v>0.47441176470588242</v>
      </c>
      <c r="I196" s="2192">
        <f t="shared" si="30"/>
        <v>0.31431372549019615</v>
      </c>
      <c r="J196" s="2192">
        <f t="shared" si="24"/>
        <v>7.8529411764705875E-2</v>
      </c>
      <c r="K196" s="2192">
        <f t="shared" si="25"/>
        <v>8.1568627450980383E-2</v>
      </c>
      <c r="L196" s="2192">
        <f t="shared" si="26"/>
        <v>0</v>
      </c>
    </row>
    <row r="197" spans="1:12" x14ac:dyDescent="0.25">
      <c r="A197" s="2210" t="str">
        <f t="shared" si="19"/>
        <v>Ireland</v>
      </c>
      <c r="B197" s="2198">
        <f t="shared" si="27"/>
        <v>587.18977624634715</v>
      </c>
      <c r="C197" s="2198">
        <f t="shared" si="20"/>
        <v>180.68216513281286</v>
      </c>
      <c r="D197" s="2198">
        <f t="shared" si="21"/>
        <v>34.064639944170629</v>
      </c>
      <c r="E197" s="2198">
        <f t="shared" si="28"/>
        <v>93.143455314694478</v>
      </c>
      <c r="F197" s="2198">
        <f t="shared" si="22"/>
        <v>0</v>
      </c>
      <c r="G197" s="2208">
        <f t="shared" si="23"/>
        <v>307.890260391678</v>
      </c>
      <c r="H197" s="2212">
        <f t="shared" si="29"/>
        <v>0.52434540389972151</v>
      </c>
      <c r="I197" s="2192">
        <f t="shared" si="30"/>
        <v>0.30770659238625814</v>
      </c>
      <c r="J197" s="2192">
        <f t="shared" si="24"/>
        <v>5.8012999071494889E-2</v>
      </c>
      <c r="K197" s="2192">
        <f t="shared" si="25"/>
        <v>0.15862581244196844</v>
      </c>
      <c r="L197" s="2192">
        <f t="shared" si="26"/>
        <v>0</v>
      </c>
    </row>
    <row r="198" spans="1:12" x14ac:dyDescent="0.25">
      <c r="A198" s="2210" t="str">
        <f t="shared" si="19"/>
        <v>Italy</v>
      </c>
      <c r="B198" s="2198">
        <f t="shared" si="27"/>
        <v>483.38987838183306</v>
      </c>
      <c r="C198" s="2198">
        <f t="shared" si="20"/>
        <v>119.89533554021389</v>
      </c>
      <c r="D198" s="2198">
        <f t="shared" si="21"/>
        <v>70.59685810472854</v>
      </c>
      <c r="E198" s="2198">
        <f t="shared" si="28"/>
        <v>97.583524631912326</v>
      </c>
      <c r="F198" s="2198">
        <f t="shared" si="22"/>
        <v>0</v>
      </c>
      <c r="G198" s="2208">
        <f t="shared" si="23"/>
        <v>288.07571827685479</v>
      </c>
      <c r="H198" s="2212">
        <f t="shared" si="29"/>
        <v>0.59594900754066216</v>
      </c>
      <c r="I198" s="2192">
        <f t="shared" si="30"/>
        <v>0.2480302979068745</v>
      </c>
      <c r="J198" s="2192">
        <f t="shared" si="24"/>
        <v>0.14604537923105537</v>
      </c>
      <c r="K198" s="2192">
        <f t="shared" si="25"/>
        <v>0.2018733304027322</v>
      </c>
      <c r="L198" s="2192">
        <f t="shared" si="26"/>
        <v>0</v>
      </c>
    </row>
    <row r="199" spans="1:12" x14ac:dyDescent="0.25">
      <c r="A199" s="2210" t="str">
        <f t="shared" si="19"/>
        <v>Korea</v>
      </c>
      <c r="B199" s="2198">
        <f t="shared" si="27"/>
        <v>354.16401581292752</v>
      </c>
      <c r="C199" s="2198">
        <f t="shared" si="20"/>
        <v>207.72737057013717</v>
      </c>
      <c r="D199" s="2198">
        <f t="shared" si="21"/>
        <v>1.4735262099492092</v>
      </c>
      <c r="E199" s="2198">
        <f t="shared" si="28"/>
        <v>83.632568672792956</v>
      </c>
      <c r="F199" s="2198">
        <f t="shared" si="22"/>
        <v>0</v>
      </c>
      <c r="G199" s="2208">
        <f t="shared" si="23"/>
        <v>292.8334654528793</v>
      </c>
      <c r="H199" s="2212">
        <f t="shared" si="29"/>
        <v>0.82683009108287397</v>
      </c>
      <c r="I199" s="2192">
        <f t="shared" si="30"/>
        <v>0.58652873046216125</v>
      </c>
      <c r="J199" s="2192">
        <f t="shared" si="24"/>
        <v>4.1605757337231531E-3</v>
      </c>
      <c r="K199" s="2192">
        <f t="shared" si="25"/>
        <v>0.23614078488698975</v>
      </c>
      <c r="L199" s="2192">
        <f t="shared" si="26"/>
        <v>0</v>
      </c>
    </row>
    <row r="200" spans="1:12" x14ac:dyDescent="0.25">
      <c r="A200" s="2210" t="str">
        <f t="shared" si="19"/>
        <v>Luxembourg</v>
      </c>
      <c r="B200" s="2198">
        <f t="shared" si="27"/>
        <v>651.85536758917101</v>
      </c>
      <c r="C200" s="2198">
        <f t="shared" si="20"/>
        <v>181.58155443303085</v>
      </c>
      <c r="D200" s="2198">
        <f t="shared" si="21"/>
        <v>128.14862528392717</v>
      </c>
      <c r="E200" s="2198">
        <f t="shared" si="28"/>
        <v>227.87628120373822</v>
      </c>
      <c r="F200" s="2198">
        <f t="shared" si="22"/>
        <v>0</v>
      </c>
      <c r="G200" s="2208">
        <f t="shared" si="23"/>
        <v>537.60646092069624</v>
      </c>
      <c r="H200" s="2212">
        <f t="shared" si="29"/>
        <v>0.82473273620340937</v>
      </c>
      <c r="I200" s="2192">
        <f t="shared" si="30"/>
        <v>0.27856110950592311</v>
      </c>
      <c r="J200" s="2192">
        <f t="shared" si="24"/>
        <v>0.19659058075700664</v>
      </c>
      <c r="K200" s="2192">
        <f t="shared" si="25"/>
        <v>0.34958104594047962</v>
      </c>
      <c r="L200" s="2192">
        <f t="shared" si="26"/>
        <v>0</v>
      </c>
    </row>
    <row r="201" spans="1:12" x14ac:dyDescent="0.25">
      <c r="A201" s="2210" t="str">
        <f t="shared" si="19"/>
        <v>Mexico</v>
      </c>
      <c r="B201" s="2198">
        <f t="shared" si="27"/>
        <v>355.61269005220652</v>
      </c>
      <c r="C201" s="2198">
        <f t="shared" si="20"/>
        <v>17.737220543755612</v>
      </c>
      <c r="D201" s="2198">
        <f t="shared" si="21"/>
        <v>0</v>
      </c>
      <c r="E201" s="2198">
        <f t="shared" si="28"/>
        <v>0</v>
      </c>
      <c r="F201" s="2198">
        <f t="shared" si="22"/>
        <v>0</v>
      </c>
      <c r="G201" s="2208">
        <f t="shared" si="23"/>
        <v>17.737220543755612</v>
      </c>
      <c r="H201" s="2212">
        <f t="shared" si="29"/>
        <v>4.9877917858194711E-2</v>
      </c>
      <c r="I201" s="2192">
        <f t="shared" si="30"/>
        <v>4.9877917858194711E-2</v>
      </c>
      <c r="J201" s="2192">
        <f t="shared" si="24"/>
        <v>0</v>
      </c>
      <c r="K201" s="2192">
        <f t="shared" si="25"/>
        <v>0</v>
      </c>
      <c r="L201" s="2192">
        <f t="shared" si="26"/>
        <v>0</v>
      </c>
    </row>
    <row r="202" spans="1:12" x14ac:dyDescent="0.25">
      <c r="A202" s="2210" t="str">
        <f t="shared" si="19"/>
        <v>Netherlands</v>
      </c>
      <c r="B202" s="2198">
        <f t="shared" si="27"/>
        <v>526.17077758662447</v>
      </c>
      <c r="C202" s="2198">
        <f t="shared" si="20"/>
        <v>130.67982668855771</v>
      </c>
      <c r="D202" s="2198">
        <f t="shared" si="21"/>
        <v>136.57113035074678</v>
      </c>
      <c r="E202" s="2198">
        <f t="shared" si="28"/>
        <v>249.99360287733651</v>
      </c>
      <c r="F202" s="2198">
        <f t="shared" si="22"/>
        <v>0</v>
      </c>
      <c r="G202" s="2208">
        <f t="shared" si="23"/>
        <v>517.24455991664104</v>
      </c>
      <c r="H202" s="2212">
        <f t="shared" si="29"/>
        <v>0.98303551232752773</v>
      </c>
      <c r="I202" s="2192">
        <f t="shared" si="30"/>
        <v>0.24836009952499433</v>
      </c>
      <c r="J202" s="2192">
        <f t="shared" si="24"/>
        <v>0.25955666138882605</v>
      </c>
      <c r="K202" s="2192">
        <f t="shared" si="25"/>
        <v>0.4751187514137073</v>
      </c>
      <c r="L202" s="2192">
        <f t="shared" si="26"/>
        <v>0</v>
      </c>
    </row>
    <row r="203" spans="1:12" x14ac:dyDescent="0.25">
      <c r="A203" s="2210" t="str">
        <f t="shared" si="19"/>
        <v>Norway</v>
      </c>
      <c r="B203" s="2198">
        <f t="shared" si="27"/>
        <v>423.47673739536697</v>
      </c>
      <c r="C203" s="2198">
        <f t="shared" si="20"/>
        <v>110.36986568035819</v>
      </c>
      <c r="D203" s="2198">
        <f t="shared" si="21"/>
        <v>68.362857699046131</v>
      </c>
      <c r="E203" s="2198">
        <f t="shared" si="28"/>
        <v>223.54097722406073</v>
      </c>
      <c r="F203" s="2198">
        <f t="shared" si="22"/>
        <v>9.3439750827331132</v>
      </c>
      <c r="G203" s="2208">
        <f>SUM(C203:F203)</f>
        <v>411.61767568619814</v>
      </c>
      <c r="H203" s="2212">
        <f>SUM(C203:F203)/B203</f>
        <v>0.97199595476693934</v>
      </c>
      <c r="I203" s="2192">
        <f>C203/B203</f>
        <v>0.26062793049554106</v>
      </c>
      <c r="J203" s="2192">
        <f t="shared" si="24"/>
        <v>0.16143238025190768</v>
      </c>
      <c r="K203" s="2192">
        <f t="shared" si="25"/>
        <v>0.52787073641629123</v>
      </c>
      <c r="L203" s="2192">
        <f t="shared" si="26"/>
        <v>2.2064907603199412E-2</v>
      </c>
    </row>
    <row r="204" spans="1:12" x14ac:dyDescent="0.25">
      <c r="A204" s="2210" t="str">
        <f t="shared" si="19"/>
        <v>Poland</v>
      </c>
      <c r="B204" s="2198">
        <f t="shared" si="27"/>
        <v>313.59489943761048</v>
      </c>
      <c r="C204" s="2198">
        <f t="shared" si="20"/>
        <v>32.283354427374</v>
      </c>
      <c r="D204" s="2198">
        <f t="shared" si="21"/>
        <v>29.273009480769993</v>
      </c>
      <c r="E204" s="2198">
        <f t="shared" si="28"/>
        <v>0</v>
      </c>
      <c r="F204" s="2198">
        <f t="shared" si="22"/>
        <v>0</v>
      </c>
      <c r="G204" s="2208">
        <f t="shared" si="23"/>
        <v>61.556363908143993</v>
      </c>
      <c r="H204" s="2212">
        <f t="shared" si="29"/>
        <v>0.19629261833829856</v>
      </c>
      <c r="I204" s="2192">
        <f t="shared" si="30"/>
        <v>0.10294604435617345</v>
      </c>
      <c r="J204" s="2192">
        <f t="shared" si="24"/>
        <v>9.3346573982125119E-2</v>
      </c>
      <c r="K204" s="2192">
        <f t="shared" si="25"/>
        <v>0</v>
      </c>
      <c r="L204" s="2192">
        <f t="shared" si="26"/>
        <v>0</v>
      </c>
    </row>
    <row r="205" spans="1:12" x14ac:dyDescent="0.25">
      <c r="A205" s="2210" t="str">
        <f t="shared" si="19"/>
        <v>Portugal</v>
      </c>
      <c r="B205" s="2198">
        <f t="shared" si="27"/>
        <v>439.68328344792639</v>
      </c>
      <c r="C205" s="2198">
        <f t="shared" si="20"/>
        <v>56.81390033756324</v>
      </c>
      <c r="D205" s="2198">
        <f t="shared" si="21"/>
        <v>56.706798121886152</v>
      </c>
      <c r="E205" s="2198">
        <f t="shared" si="28"/>
        <v>104.29269505512896</v>
      </c>
      <c r="F205" s="2198">
        <f t="shared" si="22"/>
        <v>0</v>
      </c>
      <c r="G205" s="2208">
        <f t="shared" si="23"/>
        <v>217.81339351457837</v>
      </c>
      <c r="H205" s="2212">
        <f t="shared" si="29"/>
        <v>0.49538702451118988</v>
      </c>
      <c r="I205" s="2192">
        <f t="shared" si="30"/>
        <v>0.12921551142913068</v>
      </c>
      <c r="J205" s="2192">
        <f t="shared" si="24"/>
        <v>0.12897192196437504</v>
      </c>
      <c r="K205" s="2192">
        <f t="shared" si="25"/>
        <v>0.23719959111768416</v>
      </c>
      <c r="L205" s="2192">
        <f t="shared" si="26"/>
        <v>0</v>
      </c>
    </row>
    <row r="206" spans="1:12" x14ac:dyDescent="0.25">
      <c r="A206" s="2210" t="str">
        <f t="shared" si="19"/>
        <v>Slovak Republic</v>
      </c>
      <c r="B206" s="2198">
        <f t="shared" si="27"/>
        <v>303.65869397957772</v>
      </c>
      <c r="C206" s="2198">
        <f t="shared" si="20"/>
        <v>19.920793198015716</v>
      </c>
      <c r="D206" s="2198">
        <f t="shared" si="21"/>
        <v>12.727224720912254</v>
      </c>
      <c r="E206" s="2198">
        <f t="shared" si="28"/>
        <v>32.064555999327176</v>
      </c>
      <c r="F206" s="2198">
        <f t="shared" si="22"/>
        <v>18.279344949518542</v>
      </c>
      <c r="G206" s="2208">
        <f t="shared" si="23"/>
        <v>82.991918867773691</v>
      </c>
      <c r="H206" s="2212">
        <f t="shared" si="29"/>
        <v>0.27330657910738176</v>
      </c>
      <c r="I206" s="2192">
        <f t="shared" si="30"/>
        <v>6.5602578134500808E-2</v>
      </c>
      <c r="J206" s="2192">
        <f t="shared" si="24"/>
        <v>4.1912927155539341E-2</v>
      </c>
      <c r="K206" s="2192">
        <f t="shared" si="25"/>
        <v>0.10559406542624347</v>
      </c>
      <c r="L206" s="2192">
        <f t="shared" si="26"/>
        <v>6.0197008391098136E-2</v>
      </c>
    </row>
    <row r="207" spans="1:12" x14ac:dyDescent="0.25">
      <c r="A207" s="2210" t="str">
        <f t="shared" si="19"/>
        <v>Slovenia</v>
      </c>
      <c r="B207" s="2198">
        <f t="shared" si="27"/>
        <v>432.52330809270171</v>
      </c>
      <c r="C207" s="2198">
        <f t="shared" si="20"/>
        <v>125.54186677195588</v>
      </c>
      <c r="D207" s="2198">
        <f t="shared" si="21"/>
        <v>29.995784874344146</v>
      </c>
      <c r="E207" s="2198">
        <f t="shared" si="28"/>
        <v>0.73243265136254299</v>
      </c>
      <c r="F207" s="2198">
        <f t="shared" si="22"/>
        <v>161.03817235255912</v>
      </c>
      <c r="G207" s="2208">
        <f t="shared" si="23"/>
        <v>317.30825665022167</v>
      </c>
      <c r="H207" s="2212">
        <f t="shared" si="29"/>
        <v>0.73362117304026009</v>
      </c>
      <c r="I207" s="2192">
        <f t="shared" si="30"/>
        <v>0.29025456992261972</v>
      </c>
      <c r="J207" s="2192">
        <f t="shared" si="24"/>
        <v>6.9350678479309188E-2</v>
      </c>
      <c r="K207" s="2192">
        <f t="shared" si="25"/>
        <v>1.6933946394527308E-3</v>
      </c>
      <c r="L207" s="2192">
        <f t="shared" si="26"/>
        <v>0.37232252999887855</v>
      </c>
    </row>
    <row r="208" spans="1:12" x14ac:dyDescent="0.25">
      <c r="A208" s="2210" t="str">
        <f t="shared" si="19"/>
        <v>Spain</v>
      </c>
      <c r="B208" s="2198">
        <f t="shared" si="27"/>
        <v>435.11919430183116</v>
      </c>
      <c r="C208" s="2198">
        <f t="shared" si="20"/>
        <v>67.531779946001265</v>
      </c>
      <c r="D208" s="2198">
        <f t="shared" si="21"/>
        <v>74.160560691545399</v>
      </c>
      <c r="E208" s="2198">
        <f t="shared" si="28"/>
        <v>53.71895045739663</v>
      </c>
      <c r="F208" s="2198">
        <f t="shared" si="22"/>
        <v>0</v>
      </c>
      <c r="G208" s="2208">
        <f t="shared" si="23"/>
        <v>195.41129109494329</v>
      </c>
      <c r="H208" s="2212">
        <f t="shared" si="29"/>
        <v>0.44909830146309621</v>
      </c>
      <c r="I208" s="2192">
        <f t="shared" si="30"/>
        <v>0.15520294399873377</v>
      </c>
      <c r="J208" s="2192">
        <f t="shared" si="24"/>
        <v>0.17043734604845334</v>
      </c>
      <c r="K208" s="2192">
        <f t="shared" si="25"/>
        <v>0.12345801141590908</v>
      </c>
      <c r="L208" s="2192">
        <f t="shared" si="26"/>
        <v>0</v>
      </c>
    </row>
    <row r="209" spans="1:13" x14ac:dyDescent="0.25">
      <c r="A209" s="2210" t="str">
        <f t="shared" si="19"/>
        <v>Sweden</v>
      </c>
      <c r="B209" s="2198">
        <f t="shared" si="27"/>
        <v>450.21334165886151</v>
      </c>
      <c r="C209" s="2198">
        <f t="shared" si="20"/>
        <v>150.21230096784265</v>
      </c>
      <c r="D209" s="2198">
        <f t="shared" si="21"/>
        <v>68.971797273389527</v>
      </c>
      <c r="E209" s="2198">
        <f t="shared" si="28"/>
        <v>228.11218649183058</v>
      </c>
      <c r="F209" s="2198">
        <f t="shared" si="22"/>
        <v>0</v>
      </c>
      <c r="G209" s="2208">
        <f t="shared" si="23"/>
        <v>447.29628473306275</v>
      </c>
      <c r="H209" s="2212">
        <f t="shared" si="29"/>
        <v>0.99352072305309624</v>
      </c>
      <c r="I209" s="2192">
        <f t="shared" si="30"/>
        <v>0.33364693372783799</v>
      </c>
      <c r="J209" s="2192">
        <f t="shared" si="24"/>
        <v>0.15319803055870182</v>
      </c>
      <c r="K209" s="2192">
        <f t="shared" si="25"/>
        <v>0.50667575876655646</v>
      </c>
      <c r="L209" s="2192">
        <f t="shared" si="26"/>
        <v>0</v>
      </c>
    </row>
    <row r="210" spans="1:13" x14ac:dyDescent="0.25">
      <c r="A210" s="2210" t="str">
        <f t="shared" si="19"/>
        <v>Switzerland</v>
      </c>
      <c r="B210" s="2198">
        <f t="shared" si="27"/>
        <v>692.33119971973099</v>
      </c>
      <c r="C210" s="2198">
        <f t="shared" si="20"/>
        <v>239.49755813597849</v>
      </c>
      <c r="D210" s="2198">
        <f t="shared" si="21"/>
        <v>107.55272927372965</v>
      </c>
      <c r="E210" s="2198">
        <f t="shared" si="28"/>
        <v>345.28091231002281</v>
      </c>
      <c r="F210" s="2198">
        <f t="shared" si="22"/>
        <v>0</v>
      </c>
      <c r="G210" s="2208">
        <f t="shared" si="23"/>
        <v>692.33119971973099</v>
      </c>
      <c r="H210" s="2212">
        <f t="shared" si="29"/>
        <v>1</v>
      </c>
      <c r="I210" s="2192">
        <f t="shared" si="30"/>
        <v>0.34592917123037603</v>
      </c>
      <c r="J210" s="2192">
        <f t="shared" si="24"/>
        <v>0.15534866739686015</v>
      </c>
      <c r="K210" s="2192">
        <f t="shared" si="25"/>
        <v>0.49872216137276376</v>
      </c>
      <c r="L210" s="2192">
        <f t="shared" si="26"/>
        <v>0</v>
      </c>
    </row>
    <row r="211" spans="1:13" x14ac:dyDescent="0.25">
      <c r="A211" s="2210" t="str">
        <f t="shared" si="19"/>
        <v>United Kingdom</v>
      </c>
      <c r="B211" s="2198">
        <f t="shared" si="27"/>
        <v>489.09654531083339</v>
      </c>
      <c r="C211" s="2198">
        <f t="shared" si="20"/>
        <v>133.58395387526255</v>
      </c>
      <c r="D211" s="2198">
        <f t="shared" si="21"/>
        <v>79.990089553795826</v>
      </c>
      <c r="E211" s="2198">
        <f t="shared" si="28"/>
        <v>128.03250148743103</v>
      </c>
      <c r="F211" s="2198">
        <f t="shared" si="22"/>
        <v>0</v>
      </c>
      <c r="G211" s="2208">
        <f t="shared" si="23"/>
        <v>341.60654491648938</v>
      </c>
      <c r="H211" s="2212">
        <f t="shared" si="29"/>
        <v>0.69844399473193919</v>
      </c>
      <c r="I211" s="2192">
        <f t="shared" si="30"/>
        <v>0.27312389579518809</v>
      </c>
      <c r="J211" s="2192">
        <f t="shared" si="24"/>
        <v>0.16354662555009478</v>
      </c>
      <c r="K211" s="2192">
        <f t="shared" si="25"/>
        <v>0.26177347338665641</v>
      </c>
      <c r="L211" s="2192">
        <f t="shared" si="26"/>
        <v>0</v>
      </c>
    </row>
    <row r="212" spans="1:13" x14ac:dyDescent="0.25">
      <c r="A212" s="2210" t="str">
        <f t="shared" si="19"/>
        <v>United States</v>
      </c>
      <c r="B212" s="2198">
        <f t="shared" si="27"/>
        <v>724.59481821935549</v>
      </c>
      <c r="C212" s="2198">
        <f t="shared" si="20"/>
        <v>188.56325496534518</v>
      </c>
      <c r="D212" s="2198">
        <f t="shared" si="21"/>
        <v>61.602211439801273</v>
      </c>
      <c r="E212" s="2198">
        <f t="shared" si="28"/>
        <v>84.504863072769254</v>
      </c>
      <c r="F212" s="2198">
        <f t="shared" si="22"/>
        <v>0</v>
      </c>
      <c r="G212" s="2208">
        <f t="shared" si="23"/>
        <v>334.67032947791569</v>
      </c>
      <c r="H212" s="2212">
        <f t="shared" si="29"/>
        <v>0.46187237482645294</v>
      </c>
      <c r="I212" s="2192">
        <f t="shared" si="30"/>
        <v>0.26023268483857925</v>
      </c>
      <c r="J212" s="2192">
        <f t="shared" si="24"/>
        <v>8.501608056097433E-2</v>
      </c>
      <c r="K212" s="2192">
        <f t="shared" si="25"/>
        <v>0.11662360942689935</v>
      </c>
      <c r="L212" s="2192">
        <f t="shared" si="26"/>
        <v>0</v>
      </c>
    </row>
    <row r="213" spans="1:13" x14ac:dyDescent="0.25">
      <c r="A213" s="2208"/>
      <c r="B213" s="2208"/>
      <c r="C213" s="2208"/>
      <c r="D213" s="2208"/>
      <c r="E213" s="2208"/>
      <c r="F213" s="2208"/>
      <c r="G213" s="2208"/>
      <c r="H213" s="2212"/>
      <c r="I213" s="2208"/>
    </row>
    <row r="214" spans="1:13" x14ac:dyDescent="0.25">
      <c r="H214" s="2212"/>
      <c r="I214" s="2208"/>
    </row>
    <row r="215" spans="1:13" x14ac:dyDescent="0.25">
      <c r="A215" s="2161" t="s">
        <v>1247</v>
      </c>
    </row>
    <row r="217" spans="1:13" x14ac:dyDescent="0.25">
      <c r="A217" s="2213"/>
      <c r="B217" s="2815" t="s">
        <v>113</v>
      </c>
      <c r="C217" s="2815"/>
      <c r="D217" s="2815" t="s">
        <v>114</v>
      </c>
      <c r="E217" s="2815"/>
      <c r="F217" s="2815" t="s">
        <v>38</v>
      </c>
      <c r="G217" s="2815"/>
      <c r="H217" s="2815" t="s">
        <v>1206</v>
      </c>
      <c r="I217" s="2815"/>
      <c r="J217" s="2815" t="s">
        <v>1208</v>
      </c>
      <c r="K217" s="2816"/>
      <c r="L217" s="2214" t="s">
        <v>117</v>
      </c>
    </row>
    <row r="218" spans="1:13" ht="15" customHeight="1" x14ac:dyDescent="0.25">
      <c r="A218" s="2215"/>
      <c r="B218" s="2216" t="s">
        <v>1248</v>
      </c>
      <c r="C218" s="2216" t="s">
        <v>1249</v>
      </c>
      <c r="D218" s="2216" t="s">
        <v>1248</v>
      </c>
      <c r="E218" s="2216" t="s">
        <v>1249</v>
      </c>
      <c r="F218" s="2216" t="s">
        <v>1248</v>
      </c>
      <c r="G218" s="2216" t="s">
        <v>1249</v>
      </c>
      <c r="H218" s="2216" t="s">
        <v>1248</v>
      </c>
      <c r="I218" s="2216" t="s">
        <v>1249</v>
      </c>
      <c r="J218" s="2216" t="s">
        <v>1248</v>
      </c>
      <c r="K218" s="2217" t="s">
        <v>1249</v>
      </c>
      <c r="L218" s="2218" t="s">
        <v>1248</v>
      </c>
      <c r="M218" s="2200"/>
    </row>
    <row r="219" spans="1:13" x14ac:dyDescent="0.25">
      <c r="A219" s="2201" t="s">
        <v>433</v>
      </c>
      <c r="B219" s="2219">
        <f t="shared" ref="B219:B224" si="31">VLOOKUP($A219,$A$148:$H$177,7,FALSE)</f>
        <v>274.67066394520492</v>
      </c>
      <c r="C219" s="1278">
        <f t="shared" ref="C219:C224" si="32">VLOOKUP($A219,$A$148:$H$177,8,FALSE)</f>
        <v>0.48605119817246567</v>
      </c>
      <c r="D219" s="2219">
        <f>VLOOKUP($A219,$A$184:$L$212,3,FALSE)</f>
        <v>141.41924922654633</v>
      </c>
      <c r="E219" s="1278">
        <f t="shared" ref="E219:E224" si="33">VLOOKUP($A219,$A$184:$L$212,9,FALSE)</f>
        <v>0.2502524097183017</v>
      </c>
      <c r="F219" s="2219">
        <f t="shared" ref="F219:F224" si="34">VLOOKUP($A219,$A$184:$L$212,5,FALSE)</f>
        <v>53.070333793901511</v>
      </c>
      <c r="G219" s="1278">
        <f t="shared" ref="G219:G224" si="35">VLOOKUP($A219,$A$184:$L$212,11,FALSE)</f>
        <v>9.39121017054972E-2</v>
      </c>
      <c r="H219" s="2219">
        <f t="shared" ref="H219:H224" si="36">VLOOKUP($A219,$A$184:$L$212,4,FALSE)</f>
        <v>95.94619650770214</v>
      </c>
      <c r="I219" s="1278">
        <f t="shared" ref="I219:I224" si="37">VLOOKUP($A219,$A$184:$L$212,10,FALSE)</f>
        <v>0.16978429040373533</v>
      </c>
      <c r="J219" s="2219">
        <f t="shared" ref="J219:J224" si="38">VLOOKUP($A219,$A$184:$L$212,6,FALSE)</f>
        <v>0</v>
      </c>
      <c r="K219" s="1279">
        <f t="shared" ref="K219:K224" si="39">VLOOKUP($A219,$A$184:$L$212,12,FALSE)</f>
        <v>0</v>
      </c>
      <c r="L219" s="2220">
        <f t="shared" ref="L219:M224" si="40">SUM(B219,D219,F219,H219,J219)</f>
        <v>565.10644347335494</v>
      </c>
      <c r="M219" s="2202">
        <f t="shared" si="40"/>
        <v>1</v>
      </c>
    </row>
    <row r="220" spans="1:13" ht="15.75" customHeight="1" x14ac:dyDescent="0.25">
      <c r="A220" s="2201" t="s">
        <v>1155</v>
      </c>
      <c r="B220" s="2219">
        <f t="shared" si="31"/>
        <v>681.25602593312192</v>
      </c>
      <c r="C220" s="1278">
        <f t="shared" si="32"/>
        <v>0.72309852522864404</v>
      </c>
      <c r="D220" s="2219">
        <f>VLOOKUP($A220,$A$184:$F$212,3,FALSE)</f>
        <v>171.86332531452396</v>
      </c>
      <c r="E220" s="1278">
        <f t="shared" si="33"/>
        <v>0.18241910874197947</v>
      </c>
      <c r="F220" s="2219">
        <f t="shared" si="34"/>
        <v>18.679783454876926</v>
      </c>
      <c r="G220" s="1278">
        <f t="shared" si="35"/>
        <v>1.9827089014458021E-2</v>
      </c>
      <c r="H220" s="2219">
        <f t="shared" si="36"/>
        <v>70.335307789540806</v>
      </c>
      <c r="I220" s="1278">
        <f t="shared" si="37"/>
        <v>7.4655277014918489E-2</v>
      </c>
      <c r="J220" s="2219">
        <f t="shared" si="38"/>
        <v>0</v>
      </c>
      <c r="K220" s="1279">
        <f t="shared" si="39"/>
        <v>0</v>
      </c>
      <c r="L220" s="2220">
        <f t="shared" si="40"/>
        <v>942.13444249206361</v>
      </c>
      <c r="M220" s="2202">
        <f t="shared" si="40"/>
        <v>1</v>
      </c>
    </row>
    <row r="221" spans="1:13" ht="15.75" customHeight="1" x14ac:dyDescent="0.25">
      <c r="A221" s="2201" t="s">
        <v>1157</v>
      </c>
      <c r="B221" s="2219">
        <f t="shared" si="31"/>
        <v>12.644854826380801</v>
      </c>
      <c r="C221" s="1278">
        <f t="shared" si="32"/>
        <v>1.6812692398768651E-2</v>
      </c>
      <c r="D221" s="2219">
        <f>VLOOKUP($A221,$A$184:$F$212,3,FALSE)</f>
        <v>205.52341506540063</v>
      </c>
      <c r="E221" s="1278">
        <f t="shared" si="33"/>
        <v>0.273265451101113</v>
      </c>
      <c r="F221" s="2219">
        <f t="shared" si="34"/>
        <v>412.29350595875428</v>
      </c>
      <c r="G221" s="1278">
        <f t="shared" si="35"/>
        <v>0.54818849159365379</v>
      </c>
      <c r="H221" s="2219">
        <f t="shared" si="36"/>
        <v>121.6399414988463</v>
      </c>
      <c r="I221" s="1278">
        <f t="shared" si="37"/>
        <v>0.16173336490646462</v>
      </c>
      <c r="J221" s="2219">
        <f t="shared" si="38"/>
        <v>0</v>
      </c>
      <c r="K221" s="1279">
        <f t="shared" si="39"/>
        <v>0</v>
      </c>
      <c r="L221" s="2220">
        <f t="shared" si="40"/>
        <v>752.10171734938194</v>
      </c>
      <c r="M221" s="2202">
        <f t="shared" si="40"/>
        <v>1</v>
      </c>
    </row>
    <row r="222" spans="1:13" ht="15.75" customHeight="1" x14ac:dyDescent="0.25">
      <c r="A222" s="2203" t="s">
        <v>1161</v>
      </c>
      <c r="B222" s="2219">
        <f t="shared" si="31"/>
        <v>11.859061709168799</v>
      </c>
      <c r="C222" s="1278">
        <f t="shared" si="32"/>
        <v>2.8004045233060638E-2</v>
      </c>
      <c r="D222" s="2219">
        <f>VLOOKUP($A222,$A$184:$F$212,3,FALSE)</f>
        <v>110.36986568035819</v>
      </c>
      <c r="E222" s="1278">
        <f t="shared" si="33"/>
        <v>0.26062793049554106</v>
      </c>
      <c r="F222" s="2219">
        <f t="shared" si="34"/>
        <v>223.54097722406073</v>
      </c>
      <c r="G222" s="1278">
        <f t="shared" si="35"/>
        <v>0.52787073641629123</v>
      </c>
      <c r="H222" s="2219">
        <f t="shared" si="36"/>
        <v>68.362857699046131</v>
      </c>
      <c r="I222" s="1278">
        <f t="shared" si="37"/>
        <v>0.16143238025190768</v>
      </c>
      <c r="J222" s="2219">
        <f t="shared" si="38"/>
        <v>9.3439750827331132</v>
      </c>
      <c r="K222" s="1279">
        <f t="shared" si="39"/>
        <v>2.2064907603199412E-2</v>
      </c>
      <c r="L222" s="2220">
        <f t="shared" si="40"/>
        <v>423.47673739536691</v>
      </c>
      <c r="M222" s="2202">
        <f t="shared" si="40"/>
        <v>1</v>
      </c>
    </row>
    <row r="223" spans="1:13" ht="15" customHeight="1" x14ac:dyDescent="0.25">
      <c r="A223" s="2203" t="s">
        <v>1163</v>
      </c>
      <c r="B223" s="2219">
        <f t="shared" si="31"/>
        <v>147.49000039434404</v>
      </c>
      <c r="C223" s="1278">
        <f t="shared" si="32"/>
        <v>0.30155600526806087</v>
      </c>
      <c r="D223" s="2219">
        <f>VLOOKUP($A223,$A$184:$F$212,3,FALSE)</f>
        <v>133.58395387526255</v>
      </c>
      <c r="E223" s="1278">
        <f t="shared" si="33"/>
        <v>0.27312389579518809</v>
      </c>
      <c r="F223" s="2219">
        <f t="shared" si="34"/>
        <v>128.03250148743103</v>
      </c>
      <c r="G223" s="1278">
        <f t="shared" si="35"/>
        <v>0.26177347338665641</v>
      </c>
      <c r="H223" s="2219">
        <f t="shared" si="36"/>
        <v>79.990089553795826</v>
      </c>
      <c r="I223" s="1278">
        <f t="shared" si="37"/>
        <v>0.16354662555009478</v>
      </c>
      <c r="J223" s="2219">
        <f t="shared" si="38"/>
        <v>0</v>
      </c>
      <c r="K223" s="1279">
        <f t="shared" si="39"/>
        <v>0</v>
      </c>
      <c r="L223" s="2220">
        <f t="shared" si="40"/>
        <v>489.09654531083345</v>
      </c>
      <c r="M223" s="2202">
        <f t="shared" si="40"/>
        <v>1.0000000000000002</v>
      </c>
    </row>
    <row r="224" spans="1:13" ht="15" customHeight="1" x14ac:dyDescent="0.25">
      <c r="A224" s="2204" t="s">
        <v>1165</v>
      </c>
      <c r="B224" s="2221">
        <f t="shared" si="31"/>
        <v>389.92448874143975</v>
      </c>
      <c r="C224" s="1280">
        <f t="shared" si="32"/>
        <v>0.53812762517354695</v>
      </c>
      <c r="D224" s="2221">
        <f>VLOOKUP($A224,$A$184:$F$212,3,FALSE)</f>
        <v>188.56325496534518</v>
      </c>
      <c r="E224" s="1280">
        <f t="shared" si="33"/>
        <v>0.26023268483857925</v>
      </c>
      <c r="F224" s="2221">
        <f t="shared" si="34"/>
        <v>84.504863072769254</v>
      </c>
      <c r="G224" s="1280">
        <f t="shared" si="35"/>
        <v>0.11662360942689935</v>
      </c>
      <c r="H224" s="2221">
        <f t="shared" si="36"/>
        <v>61.602211439801273</v>
      </c>
      <c r="I224" s="1280">
        <f t="shared" si="37"/>
        <v>8.501608056097433E-2</v>
      </c>
      <c r="J224" s="2221">
        <f t="shared" si="38"/>
        <v>0</v>
      </c>
      <c r="K224" s="1281">
        <f t="shared" si="39"/>
        <v>0</v>
      </c>
      <c r="L224" s="2222">
        <f t="shared" si="40"/>
        <v>724.59481821935549</v>
      </c>
      <c r="M224" s="2202">
        <f t="shared" si="40"/>
        <v>0.99999999999999978</v>
      </c>
    </row>
    <row r="225" spans="9:9" ht="15.75" customHeight="1" x14ac:dyDescent="0.25"/>
    <row r="226" spans="9:9" ht="15" customHeight="1" x14ac:dyDescent="0.25"/>
    <row r="227" spans="9:9" ht="15" customHeight="1" x14ac:dyDescent="0.25"/>
    <row r="228" spans="9:9" x14ac:dyDescent="0.25">
      <c r="I228" s="2223"/>
    </row>
    <row r="229" spans="9:9" x14ac:dyDescent="0.25">
      <c r="I229" s="2223"/>
    </row>
    <row r="230" spans="9:9" x14ac:dyDescent="0.25">
      <c r="I230" s="2223"/>
    </row>
    <row r="231" spans="9:9" x14ac:dyDescent="0.25">
      <c r="I231" s="2223"/>
    </row>
    <row r="232" spans="9:9" x14ac:dyDescent="0.25">
      <c r="I232" s="2223"/>
    </row>
    <row r="233" spans="9:9" x14ac:dyDescent="0.25">
      <c r="I233" s="2223"/>
    </row>
  </sheetData>
  <sheetProtection sheet="1" objects="1" scenarios="1"/>
  <sortState ref="S152:T180">
    <sortCondition ref="T152:T180"/>
  </sortState>
  <mergeCells count="16">
    <mergeCell ref="B217:C217"/>
    <mergeCell ref="D217:E217"/>
    <mergeCell ref="F217:G217"/>
    <mergeCell ref="H217:I217"/>
    <mergeCell ref="J217:K217"/>
    <mergeCell ref="B12:M12"/>
    <mergeCell ref="B17:B22"/>
    <mergeCell ref="B24:B29"/>
    <mergeCell ref="B30:B33"/>
    <mergeCell ref="B34:B36"/>
    <mergeCell ref="B11:M11"/>
    <mergeCell ref="B6:M6"/>
    <mergeCell ref="B7:M7"/>
    <mergeCell ref="B8:M8"/>
    <mergeCell ref="B9:M9"/>
    <mergeCell ref="B10:M10"/>
  </mergeCells>
  <hyperlinks>
    <hyperlink ref="C77" r:id="rId1"/>
    <hyperlink ref="C76" r:id="rId2"/>
  </hyperlinks>
  <pageMargins left="0.7" right="0.7" top="0.75" bottom="0.75" header="0.3" footer="0.3"/>
  <pageSetup paperSize="9" orientation="portrait" r:id="rId3"/>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93"/>
  <sheetViews>
    <sheetView zoomScale="85" zoomScaleNormal="85" workbookViewId="0">
      <pane ySplit="2" topLeftCell="A104" activePane="bottomLeft" state="frozen"/>
      <selection activeCell="C21" sqref="C21"/>
      <selection pane="bottomLeft" activeCell="B198" sqref="B198"/>
    </sheetView>
  </sheetViews>
  <sheetFormatPr defaultColWidth="9.140625" defaultRowHeight="15" x14ac:dyDescent="0.25"/>
  <cols>
    <col min="1" max="1" width="2.85546875" style="523" customWidth="1"/>
    <col min="2" max="2" width="24.140625" style="523" customWidth="1"/>
    <col min="3" max="4" width="12.5703125" style="523" customWidth="1"/>
    <col min="5" max="5" width="13.140625" style="523" customWidth="1"/>
    <col min="6" max="7" width="12.5703125" style="523" customWidth="1"/>
    <col min="8" max="8" width="2.5703125" style="523" customWidth="1"/>
    <col min="9" max="9" width="22.28515625" style="523" customWidth="1"/>
    <col min="10" max="10" width="44.85546875" style="523" customWidth="1"/>
    <col min="11" max="11" width="4.7109375" style="523" customWidth="1"/>
    <col min="12" max="12" width="8.7109375" style="1065" customWidth="1"/>
    <col min="13" max="13" width="9.140625" style="523"/>
    <col min="14" max="14" width="9.140625" style="1235"/>
    <col min="15" max="16" width="9.140625" style="523"/>
    <col min="17" max="17" width="9.85546875" style="523" customWidth="1"/>
    <col min="18" max="18" width="10" style="523" customWidth="1"/>
    <col min="19" max="19" width="9.140625" style="523"/>
    <col min="20" max="20" width="10.28515625" style="523" bestFit="1" customWidth="1"/>
    <col min="21" max="16384" width="9.140625" style="523"/>
  </cols>
  <sheetData>
    <row r="1" spans="1:16" s="521" customFormat="1" ht="18.75" x14ac:dyDescent="0.3">
      <c r="A1" s="72" t="s">
        <v>854</v>
      </c>
      <c r="L1" s="1061"/>
      <c r="N1" s="1234"/>
    </row>
    <row r="2" spans="1:16" s="526" customFormat="1" ht="15.75" x14ac:dyDescent="0.2">
      <c r="A2" s="2817" t="s">
        <v>1013</v>
      </c>
      <c r="B2" s="2817"/>
      <c r="C2" s="2817"/>
      <c r="D2" s="2817"/>
      <c r="E2" s="2817"/>
      <c r="F2" s="2817"/>
      <c r="G2" s="2817"/>
      <c r="H2" s="2817"/>
      <c r="I2" s="2817"/>
      <c r="L2" s="1133" t="s">
        <v>856</v>
      </c>
      <c r="N2" s="1235"/>
    </row>
    <row r="3" spans="1:16" s="526" customFormat="1" ht="12.75" x14ac:dyDescent="0.2">
      <c r="L3" s="145"/>
      <c r="N3" s="1235"/>
    </row>
    <row r="4" spans="1:16" ht="15.75" x14ac:dyDescent="0.25">
      <c r="A4" s="52" t="s">
        <v>3</v>
      </c>
      <c r="B4" s="52"/>
      <c r="C4" s="52"/>
      <c r="D4" s="52"/>
      <c r="E4" s="52"/>
      <c r="F4" s="52"/>
      <c r="G4" s="52"/>
      <c r="H4" s="52"/>
      <c r="I4" s="52"/>
      <c r="J4" s="52"/>
      <c r="K4" s="52"/>
      <c r="L4" s="1062"/>
    </row>
    <row r="5" spans="1:16" s="526" customFormat="1" ht="12.75" x14ac:dyDescent="0.2">
      <c r="B5" s="11"/>
      <c r="C5" s="24" t="s">
        <v>16</v>
      </c>
      <c r="D5" s="24" t="s">
        <v>17</v>
      </c>
      <c r="E5" s="24" t="s">
        <v>18</v>
      </c>
      <c r="F5" s="11"/>
      <c r="G5" s="11"/>
      <c r="H5" s="11"/>
      <c r="I5" s="113" t="s">
        <v>104</v>
      </c>
      <c r="J5" s="37" t="s">
        <v>753</v>
      </c>
      <c r="L5" s="145"/>
      <c r="N5" s="1235"/>
    </row>
    <row r="6" spans="1:16" s="526" customFormat="1" ht="12.75" x14ac:dyDescent="0.2">
      <c r="B6" s="11"/>
      <c r="C6" s="403">
        <v>85380</v>
      </c>
      <c r="D6" s="456">
        <v>131320</v>
      </c>
      <c r="E6" s="404">
        <v>51300</v>
      </c>
      <c r="F6" s="11"/>
      <c r="G6" s="11"/>
      <c r="H6" s="11"/>
      <c r="I6" s="113" t="s">
        <v>100</v>
      </c>
      <c r="J6" s="37" t="s">
        <v>102</v>
      </c>
      <c r="L6" s="1063">
        <v>0.2</v>
      </c>
      <c r="N6" s="1235"/>
      <c r="P6" s="1134"/>
    </row>
    <row r="7" spans="1:16" s="526" customFormat="1" ht="12.75" x14ac:dyDescent="0.2">
      <c r="B7" s="11"/>
      <c r="C7" s="11"/>
      <c r="D7" s="11"/>
      <c r="E7" s="11"/>
      <c r="F7" s="11"/>
      <c r="G7" s="11"/>
      <c r="H7" s="11"/>
      <c r="I7" s="11"/>
      <c r="J7" s="11"/>
      <c r="L7" s="145"/>
      <c r="N7" s="1235"/>
    </row>
    <row r="8" spans="1:16" s="526" customFormat="1" ht="12.75" x14ac:dyDescent="0.2">
      <c r="B8" s="187"/>
      <c r="C8" s="187"/>
      <c r="D8" s="187"/>
      <c r="E8" s="187"/>
      <c r="F8" s="187"/>
      <c r="G8" s="187"/>
      <c r="H8" s="187"/>
      <c r="I8" s="186"/>
      <c r="J8" s="187"/>
      <c r="L8" s="145"/>
      <c r="N8" s="1235"/>
    </row>
    <row r="9" spans="1:16" s="526" customFormat="1" ht="12.75" x14ac:dyDescent="0.2">
      <c r="B9" s="320"/>
      <c r="C9" s="187"/>
      <c r="D9" s="187"/>
      <c r="E9" s="479" t="s">
        <v>527</v>
      </c>
      <c r="F9" s="187"/>
      <c r="G9" s="187"/>
      <c r="H9" s="187"/>
      <c r="I9" s="114" t="s">
        <v>104</v>
      </c>
      <c r="J9" s="94" t="s">
        <v>756</v>
      </c>
      <c r="L9" s="145"/>
      <c r="N9" s="1235"/>
    </row>
    <row r="10" spans="1:16" s="526" customFormat="1" ht="12.75" x14ac:dyDescent="0.2">
      <c r="B10" s="109" t="s">
        <v>499</v>
      </c>
      <c r="C10" s="187"/>
      <c r="D10" s="187"/>
      <c r="E10" s="1217">
        <v>1.9E-2</v>
      </c>
      <c r="F10" s="187"/>
      <c r="G10" s="187"/>
      <c r="H10" s="88"/>
      <c r="I10" s="114" t="s">
        <v>100</v>
      </c>
      <c r="J10" s="94" t="s">
        <v>101</v>
      </c>
      <c r="L10" s="1063">
        <v>0.2</v>
      </c>
      <c r="N10" s="1235"/>
    </row>
    <row r="11" spans="1:16" s="526" customFormat="1" ht="12.75" customHeight="1" x14ac:dyDescent="0.2">
      <c r="B11" s="109" t="s">
        <v>74</v>
      </c>
      <c r="C11" s="187"/>
      <c r="D11" s="187"/>
      <c r="E11" s="1218">
        <v>6.0000000000000001E-3</v>
      </c>
      <c r="F11" s="187"/>
      <c r="G11" s="187"/>
      <c r="H11" s="88"/>
      <c r="I11" s="186"/>
      <c r="J11" s="190"/>
      <c r="L11" s="1063">
        <v>0.2</v>
      </c>
      <c r="N11" s="1235"/>
    </row>
    <row r="12" spans="1:16" s="526" customFormat="1" ht="12.75" x14ac:dyDescent="0.2">
      <c r="B12" s="109" t="s">
        <v>403</v>
      </c>
      <c r="C12" s="187"/>
      <c r="D12" s="187"/>
      <c r="E12" s="1218">
        <v>2.0999999999999998E-2</v>
      </c>
      <c r="F12" s="187"/>
      <c r="G12" s="187"/>
      <c r="H12" s="88"/>
      <c r="I12" s="186"/>
      <c r="J12" s="190"/>
      <c r="L12" s="1063">
        <v>0.2</v>
      </c>
      <c r="N12" s="1235"/>
    </row>
    <row r="13" spans="1:16" s="526" customFormat="1" ht="12.75" x14ac:dyDescent="0.2">
      <c r="B13" s="109" t="s">
        <v>500</v>
      </c>
      <c r="C13" s="187"/>
      <c r="D13" s="187"/>
      <c r="E13" s="1218">
        <v>6.9000000000000006E-2</v>
      </c>
      <c r="F13" s="187"/>
      <c r="G13" s="187"/>
      <c r="H13" s="325"/>
      <c r="I13" s="186"/>
      <c r="J13" s="190"/>
      <c r="L13" s="1063">
        <v>0.2</v>
      </c>
      <c r="N13" s="1235"/>
    </row>
    <row r="14" spans="1:16" s="526" customFormat="1" ht="12.75" x14ac:dyDescent="0.2">
      <c r="B14" s="109" t="s">
        <v>477</v>
      </c>
      <c r="C14" s="187"/>
      <c r="D14" s="187"/>
      <c r="E14" s="1218">
        <v>0.39849999999999997</v>
      </c>
      <c r="F14" s="187"/>
      <c r="G14" s="187"/>
      <c r="H14" s="325"/>
      <c r="I14" s="186"/>
      <c r="J14" s="190"/>
      <c r="L14" s="1063">
        <v>0.2</v>
      </c>
      <c r="N14" s="1235"/>
    </row>
    <row r="15" spans="1:16" s="526" customFormat="1" ht="12.75" x14ac:dyDescent="0.2">
      <c r="B15" s="109" t="s">
        <v>501</v>
      </c>
      <c r="C15" s="187"/>
      <c r="D15" s="187"/>
      <c r="E15" s="1218">
        <v>7.400000000000001E-2</v>
      </c>
      <c r="F15" s="187"/>
      <c r="G15" s="187"/>
      <c r="H15" s="325"/>
      <c r="I15" s="186"/>
      <c r="J15" s="190"/>
      <c r="L15" s="1063">
        <v>0.2</v>
      </c>
      <c r="N15" s="1235"/>
    </row>
    <row r="16" spans="1:16" s="526" customFormat="1" ht="12.75" x14ac:dyDescent="0.2">
      <c r="B16" s="109" t="s">
        <v>502</v>
      </c>
      <c r="C16" s="187"/>
      <c r="D16" s="187"/>
      <c r="E16" s="1218">
        <v>1.4E-2</v>
      </c>
      <c r="F16" s="187"/>
      <c r="G16" s="187"/>
      <c r="H16" s="325"/>
      <c r="I16" s="186"/>
      <c r="J16" s="190"/>
      <c r="L16" s="1063">
        <v>0.2</v>
      </c>
      <c r="N16" s="1235"/>
    </row>
    <row r="17" spans="2:14" s="526" customFormat="1" ht="12.75" x14ac:dyDescent="0.2">
      <c r="B17" s="109" t="s">
        <v>503</v>
      </c>
      <c r="C17" s="187"/>
      <c r="D17" s="187"/>
      <c r="E17" s="1218">
        <v>4.3499999999999997E-2</v>
      </c>
      <c r="F17" s="187"/>
      <c r="G17" s="187"/>
      <c r="H17" s="325"/>
      <c r="I17" s="186"/>
      <c r="J17" s="190"/>
      <c r="L17" s="1063">
        <v>0.2</v>
      </c>
      <c r="N17" s="1235"/>
    </row>
    <row r="18" spans="2:14" s="526" customFormat="1" ht="12.75" x14ac:dyDescent="0.2">
      <c r="B18" s="109" t="s">
        <v>504</v>
      </c>
      <c r="C18" s="187"/>
      <c r="D18" s="187"/>
      <c r="E18" s="1218">
        <v>3.4500000000000003E-2</v>
      </c>
      <c r="F18" s="187"/>
      <c r="G18" s="187"/>
      <c r="H18" s="325"/>
      <c r="I18" s="186"/>
      <c r="J18" s="190"/>
      <c r="L18" s="1063">
        <v>0.2</v>
      </c>
      <c r="N18" s="1235"/>
    </row>
    <row r="19" spans="2:14" s="526" customFormat="1" ht="12.75" x14ac:dyDescent="0.2">
      <c r="B19" s="109" t="s">
        <v>505</v>
      </c>
      <c r="C19" s="187"/>
      <c r="D19" s="187"/>
      <c r="E19" s="1218">
        <v>5.0000000000000001E-3</v>
      </c>
      <c r="F19" s="187"/>
      <c r="G19" s="187"/>
      <c r="H19" s="325"/>
      <c r="I19" s="186"/>
      <c r="J19" s="190"/>
      <c r="L19" s="1063">
        <v>0.2</v>
      </c>
      <c r="N19" s="1235"/>
    </row>
    <row r="20" spans="2:14" s="526" customFormat="1" ht="12.75" x14ac:dyDescent="0.2">
      <c r="B20" s="109" t="s">
        <v>506</v>
      </c>
      <c r="C20" s="187"/>
      <c r="D20" s="187"/>
      <c r="E20" s="1218">
        <v>6.0000000000000001E-3</v>
      </c>
      <c r="F20" s="187"/>
      <c r="G20" s="187"/>
      <c r="H20" s="325"/>
      <c r="I20" s="186"/>
      <c r="J20" s="190"/>
      <c r="L20" s="1063">
        <v>0.2</v>
      </c>
      <c r="N20" s="1235"/>
    </row>
    <row r="21" spans="2:14" s="526" customFormat="1" ht="12.75" x14ac:dyDescent="0.2">
      <c r="B21" s="109" t="s">
        <v>507</v>
      </c>
      <c r="C21" s="187"/>
      <c r="D21" s="187"/>
      <c r="E21" s="1218">
        <v>3.5000000000000001E-3</v>
      </c>
      <c r="F21" s="187"/>
      <c r="G21" s="187"/>
      <c r="H21" s="325"/>
      <c r="I21" s="186"/>
      <c r="J21" s="190"/>
      <c r="L21" s="1063">
        <v>0.2</v>
      </c>
      <c r="N21" s="1235"/>
    </row>
    <row r="22" spans="2:14" s="526" customFormat="1" ht="12.75" x14ac:dyDescent="0.2">
      <c r="B22" s="109" t="s">
        <v>508</v>
      </c>
      <c r="C22" s="187"/>
      <c r="D22" s="187"/>
      <c r="E22" s="1218">
        <v>5.0000000000000001E-4</v>
      </c>
      <c r="F22" s="187"/>
      <c r="G22" s="187"/>
      <c r="H22" s="325"/>
      <c r="I22" s="186"/>
      <c r="J22" s="190"/>
      <c r="L22" s="1063">
        <v>0.2</v>
      </c>
      <c r="N22" s="1235"/>
    </row>
    <row r="23" spans="2:14" s="526" customFormat="1" ht="12.75" x14ac:dyDescent="0.2">
      <c r="B23" s="109" t="s">
        <v>509</v>
      </c>
      <c r="C23" s="187"/>
      <c r="D23" s="187"/>
      <c r="E23" s="1218">
        <v>0</v>
      </c>
      <c r="F23" s="187"/>
      <c r="G23" s="187"/>
      <c r="H23" s="325"/>
      <c r="I23" s="186"/>
      <c r="J23" s="190"/>
      <c r="L23" s="1063">
        <v>0.2</v>
      </c>
      <c r="N23" s="1235"/>
    </row>
    <row r="24" spans="2:14" s="526" customFormat="1" ht="12.75" x14ac:dyDescent="0.2">
      <c r="B24" s="1200" t="s">
        <v>510</v>
      </c>
      <c r="C24" s="187"/>
      <c r="D24" s="187"/>
      <c r="E24" s="1218">
        <v>4.0000000000000001E-3</v>
      </c>
      <c r="F24" s="187"/>
      <c r="G24" s="187"/>
      <c r="H24" s="325"/>
      <c r="I24" s="186"/>
      <c r="J24" s="187"/>
      <c r="L24" s="1063">
        <v>0.2</v>
      </c>
      <c r="N24" s="1235"/>
    </row>
    <row r="25" spans="2:14" s="526" customFormat="1" ht="12.75" x14ac:dyDescent="0.2">
      <c r="B25" s="1200" t="s">
        <v>511</v>
      </c>
      <c r="C25" s="187"/>
      <c r="D25" s="187"/>
      <c r="E25" s="1218">
        <v>5.0000000000000001E-3</v>
      </c>
      <c r="F25" s="187"/>
      <c r="G25" s="187"/>
      <c r="H25" s="325"/>
      <c r="I25" s="186"/>
      <c r="J25" s="187"/>
      <c r="L25" s="1063">
        <v>0.2</v>
      </c>
      <c r="N25" s="1235"/>
    </row>
    <row r="26" spans="2:14" s="526" customFormat="1" ht="12.75" x14ac:dyDescent="0.2">
      <c r="B26" s="1200" t="s">
        <v>512</v>
      </c>
      <c r="C26" s="187"/>
      <c r="D26" s="187"/>
      <c r="E26" s="1218">
        <v>5.45E-2</v>
      </c>
      <c r="F26" s="187"/>
      <c r="G26" s="187"/>
      <c r="H26" s="325"/>
      <c r="I26" s="186"/>
      <c r="J26" s="187"/>
      <c r="L26" s="1063">
        <v>0.2</v>
      </c>
      <c r="N26" s="1235"/>
    </row>
    <row r="27" spans="2:14" s="526" customFormat="1" ht="12.75" x14ac:dyDescent="0.2">
      <c r="B27" s="1200" t="s">
        <v>33</v>
      </c>
      <c r="C27" s="187"/>
      <c r="D27" s="187"/>
      <c r="E27" s="1218">
        <v>1.8499999999999999E-2</v>
      </c>
      <c r="F27" s="187"/>
      <c r="G27" s="187"/>
      <c r="H27" s="325"/>
      <c r="I27" s="186"/>
      <c r="J27" s="187"/>
      <c r="L27" s="1063">
        <v>0.2</v>
      </c>
      <c r="N27" s="1235"/>
    </row>
    <row r="28" spans="2:14" s="526" customFormat="1" ht="12.75" x14ac:dyDescent="0.2">
      <c r="B28" s="1200" t="s">
        <v>513</v>
      </c>
      <c r="C28" s="187"/>
      <c r="D28" s="187"/>
      <c r="E28" s="1218">
        <v>3.0000000000000001E-3</v>
      </c>
      <c r="F28" s="187"/>
      <c r="G28" s="187"/>
      <c r="H28" s="325"/>
      <c r="I28" s="186"/>
      <c r="J28" s="187"/>
      <c r="L28" s="1063">
        <v>0.2</v>
      </c>
      <c r="N28" s="1235"/>
    </row>
    <row r="29" spans="2:14" s="526" customFormat="1" ht="12.75" x14ac:dyDescent="0.2">
      <c r="B29" s="1200" t="s">
        <v>52</v>
      </c>
      <c r="C29" s="187"/>
      <c r="D29" s="187"/>
      <c r="E29" s="1218">
        <v>5.0000000000000001E-3</v>
      </c>
      <c r="F29" s="187"/>
      <c r="G29" s="187"/>
      <c r="H29" s="325"/>
      <c r="I29" s="186"/>
      <c r="J29" s="187"/>
      <c r="L29" s="1063">
        <v>0.2</v>
      </c>
      <c r="N29" s="1235"/>
    </row>
    <row r="30" spans="2:14" s="526" customFormat="1" ht="12.75" x14ac:dyDescent="0.2">
      <c r="B30" s="1200" t="s">
        <v>514</v>
      </c>
      <c r="C30" s="187"/>
      <c r="D30" s="187"/>
      <c r="E30" s="1218">
        <v>1.0999999999999999E-2</v>
      </c>
      <c r="F30" s="187"/>
      <c r="G30" s="187"/>
      <c r="H30" s="325"/>
      <c r="I30" s="186"/>
      <c r="J30" s="187"/>
      <c r="L30" s="1063">
        <v>0.2</v>
      </c>
      <c r="N30" s="1235"/>
    </row>
    <row r="31" spans="2:14" s="526" customFormat="1" ht="12.75" x14ac:dyDescent="0.2">
      <c r="B31" s="1200" t="s">
        <v>515</v>
      </c>
      <c r="C31" s="187"/>
      <c r="D31" s="187"/>
      <c r="E31" s="1218">
        <v>9.4999999999999998E-3</v>
      </c>
      <c r="F31" s="187"/>
      <c r="G31" s="187"/>
      <c r="H31" s="325"/>
      <c r="I31" s="186"/>
      <c r="J31" s="187"/>
      <c r="L31" s="1063">
        <v>0.2</v>
      </c>
      <c r="N31" s="1235"/>
    </row>
    <row r="32" spans="2:14" s="526" customFormat="1" ht="12.75" x14ac:dyDescent="0.2">
      <c r="B32" s="1200" t="s">
        <v>516</v>
      </c>
      <c r="C32" s="187"/>
      <c r="D32" s="187"/>
      <c r="E32" s="1218">
        <v>0</v>
      </c>
      <c r="F32" s="187"/>
      <c r="G32" s="187"/>
      <c r="H32" s="325"/>
      <c r="I32" s="186"/>
      <c r="J32" s="187"/>
      <c r="L32" s="1063">
        <v>0.2</v>
      </c>
      <c r="N32" s="1235"/>
    </row>
    <row r="33" spans="2:14" s="526" customFormat="1" ht="12.75" x14ac:dyDescent="0.2">
      <c r="B33" s="1200" t="s">
        <v>35</v>
      </c>
      <c r="C33" s="187"/>
      <c r="D33" s="187"/>
      <c r="E33" s="1218">
        <v>2.7E-2</v>
      </c>
      <c r="F33" s="187"/>
      <c r="G33" s="187"/>
      <c r="H33" s="325"/>
      <c r="I33" s="186"/>
      <c r="J33" s="187"/>
      <c r="L33" s="1063">
        <v>0.2</v>
      </c>
      <c r="N33" s="1235"/>
    </row>
    <row r="34" spans="2:14" s="526" customFormat="1" ht="12.75" x14ac:dyDescent="0.2">
      <c r="B34" s="1200" t="s">
        <v>517</v>
      </c>
      <c r="C34" s="187"/>
      <c r="D34" s="187"/>
      <c r="E34" s="1218">
        <v>1.5E-3</v>
      </c>
      <c r="F34" s="187"/>
      <c r="G34" s="187"/>
      <c r="H34" s="325"/>
      <c r="I34" s="186"/>
      <c r="J34" s="187"/>
      <c r="L34" s="1063">
        <v>0.2</v>
      </c>
      <c r="N34" s="1235"/>
    </row>
    <row r="35" spans="2:14" s="526" customFormat="1" ht="12.75" x14ac:dyDescent="0.2">
      <c r="B35" s="1200" t="s">
        <v>373</v>
      </c>
      <c r="C35" s="187"/>
      <c r="D35" s="187"/>
      <c r="E35" s="1218">
        <v>3.85E-2</v>
      </c>
      <c r="F35" s="187"/>
      <c r="G35" s="187"/>
      <c r="H35" s="187"/>
      <c r="I35" s="186"/>
      <c r="J35" s="187"/>
      <c r="L35" s="1063">
        <v>0.2</v>
      </c>
      <c r="N35" s="1235"/>
    </row>
    <row r="36" spans="2:14" s="526" customFormat="1" ht="12.75" x14ac:dyDescent="0.2">
      <c r="B36" s="1200" t="s">
        <v>518</v>
      </c>
      <c r="C36" s="187"/>
      <c r="D36" s="187"/>
      <c r="E36" s="1218">
        <v>2.5500000000000002E-2</v>
      </c>
      <c r="F36" s="187"/>
      <c r="G36" s="187"/>
      <c r="H36" s="187"/>
      <c r="I36" s="186"/>
      <c r="J36" s="187"/>
      <c r="L36" s="1063">
        <v>0.2</v>
      </c>
      <c r="N36" s="1235"/>
    </row>
    <row r="37" spans="2:14" s="526" customFormat="1" ht="12.75" x14ac:dyDescent="0.2">
      <c r="B37" s="1200" t="s">
        <v>496</v>
      </c>
      <c r="C37" s="187"/>
      <c r="D37" s="187"/>
      <c r="E37" s="1218">
        <v>5.0000000000000001E-3</v>
      </c>
      <c r="F37" s="187"/>
      <c r="G37" s="187"/>
      <c r="H37" s="187"/>
      <c r="I37" s="187"/>
      <c r="J37" s="187"/>
      <c r="L37" s="1063">
        <v>0.2</v>
      </c>
      <c r="N37" s="1235"/>
    </row>
    <row r="38" spans="2:14" s="526" customFormat="1" ht="12.75" x14ac:dyDescent="0.2">
      <c r="B38" s="109" t="s">
        <v>519</v>
      </c>
      <c r="C38" s="187"/>
      <c r="D38" s="187"/>
      <c r="E38" s="1218">
        <v>1.0999999999999999E-2</v>
      </c>
      <c r="F38" s="88"/>
      <c r="G38" s="88"/>
      <c r="H38" s="88"/>
      <c r="I38" s="187"/>
      <c r="J38" s="187"/>
      <c r="L38" s="1063">
        <v>0.2</v>
      </c>
      <c r="N38" s="1235"/>
    </row>
    <row r="39" spans="2:14" s="526" customFormat="1" ht="12.75" x14ac:dyDescent="0.2">
      <c r="B39" s="109" t="s">
        <v>520</v>
      </c>
      <c r="C39" s="187"/>
      <c r="D39" s="187"/>
      <c r="E39" s="1218">
        <v>1.95E-2</v>
      </c>
      <c r="F39" s="88"/>
      <c r="G39" s="88"/>
      <c r="H39" s="88"/>
      <c r="I39" s="187"/>
      <c r="J39" s="187"/>
      <c r="L39" s="1063">
        <v>0.2</v>
      </c>
      <c r="N39" s="1235"/>
    </row>
    <row r="40" spans="2:14" s="526" customFormat="1" ht="12.75" x14ac:dyDescent="0.2">
      <c r="B40" s="109" t="s">
        <v>521</v>
      </c>
      <c r="C40" s="187"/>
      <c r="D40" s="187"/>
      <c r="E40" s="1218">
        <v>5.0000000000000001E-4</v>
      </c>
      <c r="F40" s="88"/>
      <c r="G40" s="88"/>
      <c r="H40" s="88"/>
      <c r="I40" s="187"/>
      <c r="J40" s="187"/>
      <c r="L40" s="1063">
        <v>0.2</v>
      </c>
      <c r="N40" s="1235"/>
    </row>
    <row r="41" spans="2:14" s="526" customFormat="1" ht="12.75" x14ac:dyDescent="0.2">
      <c r="B41" s="109" t="s">
        <v>46</v>
      </c>
      <c r="C41" s="187"/>
      <c r="D41" s="187"/>
      <c r="E41" s="1218">
        <v>5.4999999999999997E-3</v>
      </c>
      <c r="F41" s="1091"/>
      <c r="G41" s="1091"/>
      <c r="H41" s="1091"/>
      <c r="I41" s="187"/>
      <c r="J41" s="187"/>
      <c r="L41" s="1063">
        <v>0.2</v>
      </c>
      <c r="N41" s="1235"/>
    </row>
    <row r="42" spans="2:14" s="526" customFormat="1" ht="12.75" x14ac:dyDescent="0.2">
      <c r="B42" s="109" t="s">
        <v>97</v>
      </c>
      <c r="C42" s="187"/>
      <c r="D42" s="187"/>
      <c r="E42" s="1218">
        <v>3.5000000000000001E-3</v>
      </c>
      <c r="F42" s="1091"/>
      <c r="G42" s="1091"/>
      <c r="H42" s="1091"/>
      <c r="I42" s="195"/>
      <c r="J42" s="195"/>
      <c r="L42" s="1063">
        <v>0.2</v>
      </c>
      <c r="N42" s="1235"/>
    </row>
    <row r="43" spans="2:14" s="526" customFormat="1" ht="12.75" x14ac:dyDescent="0.2">
      <c r="B43" s="109" t="s">
        <v>492</v>
      </c>
      <c r="C43" s="187"/>
      <c r="D43" s="187"/>
      <c r="E43" s="1218">
        <v>5.0000000000000001E-4</v>
      </c>
      <c r="F43" s="1091"/>
      <c r="G43" s="1091"/>
      <c r="H43" s="1091"/>
      <c r="I43" s="195"/>
      <c r="J43" s="195"/>
      <c r="L43" s="1063">
        <v>0.2</v>
      </c>
      <c r="N43" s="1235"/>
    </row>
    <row r="44" spans="2:14" s="526" customFormat="1" ht="12.75" x14ac:dyDescent="0.2">
      <c r="B44" s="109" t="s">
        <v>522</v>
      </c>
      <c r="C44" s="187"/>
      <c r="D44" s="187"/>
      <c r="E44" s="1218">
        <v>2.5000000000000001E-3</v>
      </c>
      <c r="F44" s="88"/>
      <c r="G44" s="88"/>
      <c r="H44" s="88"/>
      <c r="I44" s="195"/>
      <c r="J44" s="195"/>
      <c r="L44" s="1063">
        <v>0.2</v>
      </c>
      <c r="N44" s="1235"/>
    </row>
    <row r="45" spans="2:14" s="526" customFormat="1" ht="12.75" x14ac:dyDescent="0.2">
      <c r="B45" s="109" t="s">
        <v>523</v>
      </c>
      <c r="C45" s="187"/>
      <c r="D45" s="187"/>
      <c r="E45" s="1218">
        <v>0</v>
      </c>
      <c r="F45" s="88"/>
      <c r="G45" s="88"/>
      <c r="H45" s="88"/>
      <c r="I45" s="195"/>
      <c r="J45" s="195"/>
      <c r="L45" s="1063">
        <v>0.2</v>
      </c>
      <c r="N45" s="1235"/>
    </row>
    <row r="46" spans="2:14" s="526" customFormat="1" ht="12.75" x14ac:dyDescent="0.2">
      <c r="B46" s="109" t="s">
        <v>524</v>
      </c>
      <c r="C46" s="187"/>
      <c r="D46" s="187"/>
      <c r="E46" s="1218">
        <v>0</v>
      </c>
      <c r="F46" s="88"/>
      <c r="G46" s="88"/>
      <c r="H46" s="88"/>
      <c r="I46" s="195"/>
      <c r="J46" s="195"/>
      <c r="L46" s="1063">
        <v>0.2</v>
      </c>
      <c r="N46" s="1235"/>
    </row>
    <row r="47" spans="2:14" s="526" customFormat="1" ht="12.75" x14ac:dyDescent="0.2">
      <c r="B47" s="109" t="s">
        <v>525</v>
      </c>
      <c r="C47" s="187"/>
      <c r="D47" s="187"/>
      <c r="E47" s="1219">
        <v>5.6500000000000002E-2</v>
      </c>
      <c r="F47" s="88"/>
      <c r="G47" s="88"/>
      <c r="H47" s="88"/>
      <c r="I47" s="88"/>
      <c r="J47" s="88"/>
      <c r="L47" s="1063">
        <v>0.2</v>
      </c>
      <c r="N47" s="1235"/>
    </row>
    <row r="48" spans="2:14" s="526" customFormat="1" ht="12.75" x14ac:dyDescent="0.2">
      <c r="B48" s="88"/>
      <c r="C48" s="187"/>
      <c r="D48" s="187"/>
      <c r="E48" s="382">
        <f>SUM(E10:E47)</f>
        <v>1.0019999999999993</v>
      </c>
      <c r="F48" s="88"/>
      <c r="G48" s="88"/>
      <c r="H48" s="88"/>
      <c r="I48" s="88"/>
      <c r="J48" s="88"/>
      <c r="L48" s="145"/>
      <c r="N48" s="1235"/>
    </row>
    <row r="49" spans="2:14" s="526" customFormat="1" ht="12.75" x14ac:dyDescent="0.2">
      <c r="B49" s="191"/>
      <c r="C49" s="191"/>
      <c r="D49" s="34"/>
      <c r="E49" s="34"/>
      <c r="F49" s="11"/>
      <c r="G49" s="11"/>
      <c r="H49" s="11"/>
      <c r="I49" s="11"/>
      <c r="J49" s="11"/>
      <c r="L49" s="145"/>
      <c r="N49" s="1235"/>
    </row>
    <row r="50" spans="2:14" s="526" customFormat="1" ht="12.75" x14ac:dyDescent="0.2">
      <c r="B50" s="11"/>
      <c r="C50" s="24" t="s">
        <v>17</v>
      </c>
      <c r="D50" s="24" t="s">
        <v>18</v>
      </c>
      <c r="E50" s="34"/>
      <c r="F50" s="11"/>
      <c r="G50" s="11"/>
      <c r="H50" s="11"/>
      <c r="I50" s="113" t="s">
        <v>104</v>
      </c>
      <c r="J50" s="37" t="s">
        <v>758</v>
      </c>
      <c r="L50" s="145"/>
      <c r="N50" s="1235"/>
    </row>
    <row r="51" spans="2:14" s="526" customFormat="1" ht="12.75" x14ac:dyDescent="0.2">
      <c r="B51" s="369" t="s">
        <v>79</v>
      </c>
      <c r="C51" s="668">
        <v>2.3E-2</v>
      </c>
      <c r="D51" s="1201">
        <v>3.0000000000000001E-3</v>
      </c>
      <c r="E51" s="34"/>
      <c r="F51" s="11"/>
      <c r="G51" s="11"/>
      <c r="H51" s="11"/>
      <c r="I51" s="113" t="s">
        <v>100</v>
      </c>
      <c r="J51" s="37" t="s">
        <v>101</v>
      </c>
      <c r="L51" s="1063">
        <v>0.2</v>
      </c>
      <c r="N51" s="1235"/>
    </row>
    <row r="52" spans="2:14" s="526" customFormat="1" ht="12.75" x14ac:dyDescent="0.2">
      <c r="B52" s="369" t="s">
        <v>473</v>
      </c>
      <c r="C52" s="671">
        <v>0.01</v>
      </c>
      <c r="D52" s="1202">
        <v>2E-3</v>
      </c>
      <c r="E52" s="34"/>
      <c r="F52" s="11"/>
      <c r="G52" s="11"/>
      <c r="H52" s="11"/>
      <c r="I52" s="11"/>
      <c r="J52" s="11"/>
      <c r="L52" s="1063">
        <v>0.2</v>
      </c>
      <c r="N52" s="1235"/>
    </row>
    <row r="53" spans="2:14" s="526" customFormat="1" ht="12.75" x14ac:dyDescent="0.2">
      <c r="B53" s="369" t="s">
        <v>474</v>
      </c>
      <c r="C53" s="671">
        <v>5.0999999999999997E-2</v>
      </c>
      <c r="D53" s="1202">
        <v>5.0000000000000001E-3</v>
      </c>
      <c r="E53" s="34"/>
      <c r="F53" s="11"/>
      <c r="G53" s="11"/>
      <c r="H53" s="11"/>
      <c r="I53" s="11"/>
      <c r="J53" s="11"/>
      <c r="L53" s="1063">
        <v>0.2</v>
      </c>
      <c r="N53" s="1235"/>
    </row>
    <row r="54" spans="2:14" s="526" customFormat="1" ht="12.75" x14ac:dyDescent="0.2">
      <c r="B54" s="369" t="s">
        <v>475</v>
      </c>
      <c r="C54" s="671">
        <v>7.0999999999999994E-2</v>
      </c>
      <c r="D54" s="1202">
        <v>8.9999999999999993E-3</v>
      </c>
      <c r="E54" s="34"/>
      <c r="F54" s="11"/>
      <c r="G54" s="11"/>
      <c r="H54" s="11"/>
      <c r="I54" s="11"/>
      <c r="J54" s="11"/>
      <c r="L54" s="1063">
        <v>0.2</v>
      </c>
      <c r="N54" s="1235"/>
    </row>
    <row r="55" spans="2:14" s="526" customFormat="1" ht="12.75" x14ac:dyDescent="0.2">
      <c r="B55" s="369" t="s">
        <v>476</v>
      </c>
      <c r="C55" s="671">
        <v>0.08</v>
      </c>
      <c r="D55" s="1202">
        <v>1.7000000000000001E-2</v>
      </c>
      <c r="E55" s="34"/>
      <c r="F55" s="11"/>
      <c r="G55" s="11"/>
      <c r="H55" s="11"/>
      <c r="I55" s="11"/>
      <c r="J55" s="11"/>
      <c r="L55" s="1063">
        <v>0.2</v>
      </c>
      <c r="N55" s="1235"/>
    </row>
    <row r="56" spans="2:14" s="526" customFormat="1" ht="12.75" x14ac:dyDescent="0.2">
      <c r="B56" s="369" t="s">
        <v>477</v>
      </c>
      <c r="C56" s="671">
        <v>9.0999999999999998E-2</v>
      </c>
      <c r="D56" s="1202">
        <v>2.5000000000000001E-2</v>
      </c>
      <c r="E56" s="34"/>
      <c r="F56" s="11"/>
      <c r="G56" s="11"/>
      <c r="H56" s="11"/>
      <c r="I56" s="11"/>
      <c r="J56" s="11"/>
      <c r="L56" s="1063">
        <v>0.2</v>
      </c>
      <c r="N56" s="1235"/>
    </row>
    <row r="57" spans="2:14" s="526" customFormat="1" ht="12.75" x14ac:dyDescent="0.2">
      <c r="B57" s="369" t="s">
        <v>478</v>
      </c>
      <c r="C57" s="671">
        <v>0.105</v>
      </c>
      <c r="D57" s="1202">
        <v>1.4E-2</v>
      </c>
      <c r="E57" s="34"/>
      <c r="F57" s="11"/>
      <c r="G57" s="11"/>
      <c r="H57" s="11"/>
      <c r="I57" s="11"/>
      <c r="J57" s="11"/>
      <c r="L57" s="1063">
        <v>0.2</v>
      </c>
      <c r="N57" s="1235"/>
    </row>
    <row r="58" spans="2:14" s="526" customFormat="1" ht="12.75" x14ac:dyDescent="0.2">
      <c r="B58" s="369" t="s">
        <v>479</v>
      </c>
      <c r="C58" s="671">
        <v>6.8000000000000005E-2</v>
      </c>
      <c r="D58" s="1202">
        <v>0.122</v>
      </c>
      <c r="E58" s="34"/>
      <c r="F58" s="11"/>
      <c r="G58" s="11"/>
      <c r="H58" s="11"/>
      <c r="I58" s="11"/>
      <c r="J58" s="11"/>
      <c r="L58" s="1063">
        <v>0.2</v>
      </c>
      <c r="N58" s="1235"/>
    </row>
    <row r="59" spans="2:14" s="526" customFormat="1" ht="12.75" x14ac:dyDescent="0.2">
      <c r="B59" s="369" t="s">
        <v>480</v>
      </c>
      <c r="C59" s="671">
        <v>0.14499999999999999</v>
      </c>
      <c r="D59" s="1202">
        <v>0.09</v>
      </c>
      <c r="E59" s="34"/>
      <c r="F59" s="11"/>
      <c r="G59" s="11"/>
      <c r="H59" s="11"/>
      <c r="I59" s="11"/>
      <c r="J59" s="11"/>
      <c r="L59" s="1063">
        <v>0.2</v>
      </c>
      <c r="N59" s="1235"/>
    </row>
    <row r="60" spans="2:14" s="526" customFormat="1" ht="12.75" x14ac:dyDescent="0.2">
      <c r="B60" s="369" t="s">
        <v>481</v>
      </c>
      <c r="C60" s="671">
        <v>6.0000000000000001E-3</v>
      </c>
      <c r="D60" s="1202">
        <v>1E-3</v>
      </c>
      <c r="E60" s="34"/>
      <c r="F60" s="11"/>
      <c r="G60" s="11"/>
      <c r="H60" s="11"/>
      <c r="I60" s="11"/>
      <c r="J60" s="11"/>
      <c r="L60" s="1063">
        <v>0.2</v>
      </c>
      <c r="N60" s="1235"/>
    </row>
    <row r="61" spans="2:14" s="526" customFormat="1" ht="12.75" x14ac:dyDescent="0.2">
      <c r="B61" s="369" t="s">
        <v>70</v>
      </c>
      <c r="C61" s="671">
        <v>2.7E-2</v>
      </c>
      <c r="D61" s="1202">
        <v>4.0000000000000001E-3</v>
      </c>
      <c r="E61" s="34"/>
      <c r="F61" s="11"/>
      <c r="G61" s="11"/>
      <c r="H61" s="11"/>
      <c r="I61" s="11"/>
      <c r="J61" s="11"/>
      <c r="L61" s="1063">
        <v>0.2</v>
      </c>
      <c r="N61" s="1235"/>
    </row>
    <row r="62" spans="2:14" s="526" customFormat="1" ht="12.75" x14ac:dyDescent="0.2">
      <c r="B62" s="369" t="s">
        <v>482</v>
      </c>
      <c r="C62" s="671">
        <v>2E-3</v>
      </c>
      <c r="D62" s="1202">
        <v>5.0000000000000001E-3</v>
      </c>
      <c r="E62" s="34"/>
      <c r="F62" s="11"/>
      <c r="G62" s="11"/>
      <c r="H62" s="11"/>
      <c r="I62" s="11"/>
      <c r="J62" s="11"/>
      <c r="L62" s="1063">
        <v>0.2</v>
      </c>
      <c r="N62" s="1235"/>
    </row>
    <row r="63" spans="2:14" s="526" customFormat="1" ht="12.75" x14ac:dyDescent="0.2">
      <c r="B63" s="369" t="s">
        <v>483</v>
      </c>
      <c r="C63" s="671">
        <v>0.02</v>
      </c>
      <c r="D63" s="1202">
        <v>3.0000000000000001E-3</v>
      </c>
      <c r="E63" s="34"/>
      <c r="F63" s="11"/>
      <c r="G63" s="11"/>
      <c r="H63" s="11"/>
      <c r="I63" s="11"/>
      <c r="J63" s="11"/>
      <c r="L63" s="1063">
        <v>0.2</v>
      </c>
      <c r="N63" s="1235"/>
    </row>
    <row r="64" spans="2:14" s="526" customFormat="1" ht="12.75" x14ac:dyDescent="0.2">
      <c r="B64" s="369" t="s">
        <v>484</v>
      </c>
      <c r="C64" s="671">
        <v>0.06</v>
      </c>
      <c r="D64" s="1202">
        <v>1.4999999999999999E-2</v>
      </c>
      <c r="E64" s="34"/>
      <c r="F64" s="11"/>
      <c r="G64" s="11"/>
      <c r="H64" s="11"/>
      <c r="I64" s="11"/>
      <c r="J64" s="11"/>
      <c r="L64" s="1063">
        <v>0.2</v>
      </c>
      <c r="N64" s="1235"/>
    </row>
    <row r="65" spans="2:14" s="526" customFormat="1" ht="12.75" x14ac:dyDescent="0.2">
      <c r="B65" s="369" t="s">
        <v>485</v>
      </c>
      <c r="C65" s="671">
        <v>7.0000000000000001E-3</v>
      </c>
      <c r="D65" s="1202">
        <v>1E-3</v>
      </c>
      <c r="E65" s="34"/>
      <c r="F65" s="11"/>
      <c r="G65" s="11"/>
      <c r="H65" s="11"/>
      <c r="I65" s="11"/>
      <c r="J65" s="11"/>
      <c r="L65" s="1063">
        <v>0.2</v>
      </c>
      <c r="N65" s="1235"/>
    </row>
    <row r="66" spans="2:14" s="526" customFormat="1" ht="12.75" x14ac:dyDescent="0.2">
      <c r="B66" s="369" t="s">
        <v>486</v>
      </c>
      <c r="C66" s="671">
        <v>5.8999999999999997E-2</v>
      </c>
      <c r="D66" s="1202">
        <v>1.4999999999999999E-2</v>
      </c>
      <c r="E66" s="34"/>
      <c r="F66" s="11"/>
      <c r="G66" s="11"/>
      <c r="H66" s="11"/>
      <c r="I66" s="11"/>
      <c r="J66" s="11"/>
      <c r="L66" s="1063">
        <v>0.2</v>
      </c>
      <c r="N66" s="1235"/>
    </row>
    <row r="67" spans="2:14" s="526" customFormat="1" ht="12.75" x14ac:dyDescent="0.2">
      <c r="B67" s="369" t="s">
        <v>487</v>
      </c>
      <c r="C67" s="671">
        <v>4.0000000000000001E-3</v>
      </c>
      <c r="D67" s="1202">
        <v>1E-3</v>
      </c>
      <c r="E67" s="34"/>
      <c r="F67" s="11"/>
      <c r="G67" s="11"/>
      <c r="H67" s="11"/>
      <c r="I67" s="11"/>
      <c r="J67" s="11"/>
      <c r="L67" s="1063">
        <v>0.2</v>
      </c>
      <c r="N67" s="1235"/>
    </row>
    <row r="68" spans="2:14" s="526" customFormat="1" ht="12.75" x14ac:dyDescent="0.2">
      <c r="B68" s="369" t="s">
        <v>488</v>
      </c>
      <c r="C68" s="671">
        <v>8.9999999999999993E-3</v>
      </c>
      <c r="D68" s="1202">
        <v>1.0999999999999999E-2</v>
      </c>
      <c r="E68" s="34"/>
      <c r="F68" s="11"/>
      <c r="G68" s="11"/>
      <c r="H68" s="11"/>
      <c r="I68" s="11"/>
      <c r="J68" s="11"/>
      <c r="L68" s="1063">
        <v>0.2</v>
      </c>
      <c r="N68" s="1235"/>
    </row>
    <row r="69" spans="2:14" s="526" customFormat="1" ht="12.75" x14ac:dyDescent="0.2">
      <c r="B69" s="369" t="s">
        <v>489</v>
      </c>
      <c r="C69" s="671">
        <v>1.2999999999999999E-2</v>
      </c>
      <c r="D69" s="1202">
        <v>2.1999999999999999E-2</v>
      </c>
      <c r="E69" s="34"/>
      <c r="F69" s="11"/>
      <c r="G69" s="11"/>
      <c r="H69" s="11"/>
      <c r="I69" s="11"/>
      <c r="J69" s="11"/>
      <c r="L69" s="1063">
        <v>0.2</v>
      </c>
      <c r="N69" s="1235"/>
    </row>
    <row r="70" spans="2:14" s="526" customFormat="1" ht="12.75" x14ac:dyDescent="0.2">
      <c r="B70" s="369" t="s">
        <v>490</v>
      </c>
      <c r="C70" s="671">
        <v>0</v>
      </c>
      <c r="D70" s="1202">
        <v>3.9E-2</v>
      </c>
      <c r="E70" s="34"/>
      <c r="F70" s="11"/>
      <c r="G70" s="11"/>
      <c r="H70" s="11"/>
      <c r="I70" s="11"/>
      <c r="J70" s="11"/>
      <c r="L70" s="1063">
        <v>0.2</v>
      </c>
      <c r="N70" s="1235"/>
    </row>
    <row r="71" spans="2:14" s="526" customFormat="1" ht="12.75" x14ac:dyDescent="0.2">
      <c r="B71" s="369" t="s">
        <v>491</v>
      </c>
      <c r="C71" s="671">
        <v>2E-3</v>
      </c>
      <c r="D71" s="1202">
        <v>6.7000000000000004E-2</v>
      </c>
      <c r="E71" s="34"/>
      <c r="F71" s="11"/>
      <c r="G71" s="11"/>
      <c r="H71" s="11"/>
      <c r="I71" s="11"/>
      <c r="J71" s="11"/>
      <c r="L71" s="1063">
        <v>0.2</v>
      </c>
      <c r="N71" s="1235"/>
    </row>
    <row r="72" spans="2:14" s="526" customFormat="1" ht="12.75" x14ac:dyDescent="0.2">
      <c r="B72" s="369" t="s">
        <v>492</v>
      </c>
      <c r="C72" s="671">
        <v>0.01</v>
      </c>
      <c r="D72" s="1202">
        <v>0.09</v>
      </c>
      <c r="E72" s="34"/>
      <c r="F72" s="11"/>
      <c r="G72" s="11"/>
      <c r="H72" s="11"/>
      <c r="I72" s="11"/>
      <c r="J72" s="11"/>
      <c r="L72" s="1063">
        <v>0.2</v>
      </c>
      <c r="N72" s="1235"/>
    </row>
    <row r="73" spans="2:14" s="526" customFormat="1" ht="12.75" x14ac:dyDescent="0.2">
      <c r="B73" s="369" t="s">
        <v>493</v>
      </c>
      <c r="C73" s="671">
        <v>6.2E-2</v>
      </c>
      <c r="D73" s="1202">
        <v>0.33500000000000002</v>
      </c>
      <c r="E73" s="34"/>
      <c r="F73" s="11"/>
      <c r="G73" s="11"/>
      <c r="H73" s="11"/>
      <c r="I73" s="11"/>
      <c r="J73" s="11"/>
      <c r="L73" s="1063">
        <v>0.2</v>
      </c>
      <c r="N73" s="1235"/>
    </row>
    <row r="74" spans="2:14" s="526" customFormat="1" ht="12.75" x14ac:dyDescent="0.2">
      <c r="B74" s="369" t="s">
        <v>42</v>
      </c>
      <c r="C74" s="671">
        <v>0</v>
      </c>
      <c r="D74" s="1202">
        <v>0</v>
      </c>
      <c r="E74" s="34"/>
      <c r="F74" s="11"/>
      <c r="G74" s="11"/>
      <c r="H74" s="11"/>
      <c r="I74" s="11"/>
      <c r="J74" s="11"/>
      <c r="L74" s="1063">
        <v>0.2</v>
      </c>
      <c r="N74" s="1235"/>
    </row>
    <row r="75" spans="2:14" s="526" customFormat="1" ht="12.75" x14ac:dyDescent="0.2">
      <c r="B75" s="369" t="s">
        <v>494</v>
      </c>
      <c r="C75" s="671">
        <v>3.0000000000000001E-3</v>
      </c>
      <c r="D75" s="1202">
        <v>0</v>
      </c>
      <c r="E75" s="34"/>
      <c r="F75" s="11"/>
      <c r="G75" s="11"/>
      <c r="H75" s="11"/>
      <c r="I75" s="11"/>
      <c r="J75" s="11"/>
      <c r="L75" s="1063">
        <v>0.2</v>
      </c>
      <c r="N75" s="1235"/>
    </row>
    <row r="76" spans="2:14" s="526" customFormat="1" ht="12.75" x14ac:dyDescent="0.2">
      <c r="B76" s="369" t="s">
        <v>495</v>
      </c>
      <c r="C76" s="671">
        <v>0</v>
      </c>
      <c r="D76" s="1202">
        <v>0</v>
      </c>
      <c r="E76" s="34"/>
      <c r="F76" s="11"/>
      <c r="G76" s="11"/>
      <c r="H76" s="11"/>
      <c r="I76" s="11"/>
      <c r="J76" s="11"/>
      <c r="L76" s="1063">
        <v>0.2</v>
      </c>
      <c r="N76" s="1235"/>
    </row>
    <row r="77" spans="2:14" s="526" customFormat="1" ht="12.75" x14ac:dyDescent="0.2">
      <c r="B77" s="369" t="s">
        <v>373</v>
      </c>
      <c r="C77" s="671">
        <v>1.0999999999999999E-2</v>
      </c>
      <c r="D77" s="1202">
        <v>2E-3</v>
      </c>
      <c r="E77" s="34"/>
      <c r="F77" s="11"/>
      <c r="G77" s="11"/>
      <c r="H77" s="11"/>
      <c r="I77" s="11"/>
      <c r="J77" s="11"/>
      <c r="L77" s="1063">
        <v>0.2</v>
      </c>
      <c r="N77" s="1235"/>
    </row>
    <row r="78" spans="2:14" s="526" customFormat="1" ht="12.75" x14ac:dyDescent="0.2">
      <c r="B78" s="369" t="s">
        <v>496</v>
      </c>
      <c r="C78" s="671">
        <v>3.0000000000000001E-3</v>
      </c>
      <c r="D78" s="1202">
        <v>0.02</v>
      </c>
      <c r="E78" s="34"/>
      <c r="F78" s="11"/>
      <c r="G78" s="11"/>
      <c r="H78" s="11"/>
      <c r="I78" s="11"/>
      <c r="J78" s="11"/>
      <c r="L78" s="1063">
        <v>0.2</v>
      </c>
      <c r="N78" s="1235"/>
    </row>
    <row r="79" spans="2:14" s="526" customFormat="1" ht="12.75" x14ac:dyDescent="0.2">
      <c r="B79" s="369" t="s">
        <v>497</v>
      </c>
      <c r="C79" s="671">
        <v>1E-3</v>
      </c>
      <c r="D79" s="1202">
        <v>4.0000000000000001E-3</v>
      </c>
      <c r="E79" s="34"/>
      <c r="F79" s="11"/>
      <c r="G79" s="11"/>
      <c r="H79" s="11"/>
      <c r="I79" s="11"/>
      <c r="J79" s="11"/>
      <c r="L79" s="1063">
        <v>0.2</v>
      </c>
      <c r="N79" s="1235"/>
    </row>
    <row r="80" spans="2:14" s="526" customFormat="1" ht="12.75" x14ac:dyDescent="0.2">
      <c r="B80" s="369" t="s">
        <v>498</v>
      </c>
      <c r="C80" s="673">
        <v>5.7000000000000002E-2</v>
      </c>
      <c r="D80" s="1203">
        <v>8.1000000000000003E-2</v>
      </c>
      <c r="E80" s="34"/>
      <c r="F80" s="11"/>
      <c r="G80" s="11"/>
      <c r="H80" s="11"/>
      <c r="I80" s="11"/>
      <c r="J80" s="11"/>
      <c r="L80" s="1063">
        <v>0.2</v>
      </c>
      <c r="N80" s="1235"/>
    </row>
    <row r="81" spans="2:14" s="526" customFormat="1" ht="12.75" x14ac:dyDescent="0.2">
      <c r="B81" s="168" t="s">
        <v>397</v>
      </c>
      <c r="C81" s="174">
        <f>SUM(C51:C80)</f>
        <v>1</v>
      </c>
      <c r="D81" s="174">
        <f>SUM(D51:D80)</f>
        <v>1.0030000000000001</v>
      </c>
      <c r="E81" s="34"/>
      <c r="F81" s="11"/>
      <c r="G81" s="11"/>
      <c r="H81" s="11"/>
      <c r="I81" s="11"/>
      <c r="J81" s="11"/>
      <c r="L81" s="145"/>
      <c r="N81" s="1235"/>
    </row>
    <row r="82" spans="2:14" s="526" customFormat="1" ht="12.75" x14ac:dyDescent="0.2">
      <c r="B82" s="1091"/>
      <c r="C82" s="1091"/>
      <c r="D82" s="1091"/>
      <c r="E82" s="1091"/>
      <c r="F82" s="1091"/>
      <c r="G82" s="1091"/>
      <c r="H82" s="1091"/>
      <c r="I82" s="1091"/>
      <c r="J82" s="1091"/>
      <c r="L82" s="145"/>
      <c r="N82" s="1235"/>
    </row>
    <row r="83" spans="2:14" s="526" customFormat="1" ht="12.75" x14ac:dyDescent="0.2">
      <c r="B83" s="1091"/>
      <c r="C83" s="900" t="s">
        <v>16</v>
      </c>
      <c r="D83" s="900" t="s">
        <v>17</v>
      </c>
      <c r="E83" s="900" t="s">
        <v>18</v>
      </c>
      <c r="F83" s="1091"/>
      <c r="G83" s="1091"/>
      <c r="H83" s="1091"/>
      <c r="I83" s="114" t="s">
        <v>104</v>
      </c>
      <c r="J83" s="94" t="s">
        <v>760</v>
      </c>
      <c r="L83" s="145"/>
      <c r="N83" s="1235"/>
    </row>
    <row r="84" spans="2:14" s="526" customFormat="1" ht="12.75" x14ac:dyDescent="0.2">
      <c r="B84" s="639"/>
      <c r="C84" s="1204">
        <v>1329.434</v>
      </c>
      <c r="D84" s="1205">
        <v>744.56599999999992</v>
      </c>
      <c r="E84" s="1206">
        <v>0</v>
      </c>
      <c r="F84" s="1091"/>
      <c r="G84" s="1091"/>
      <c r="H84" s="1091"/>
      <c r="I84" s="114" t="s">
        <v>100</v>
      </c>
      <c r="J84" s="94" t="s">
        <v>102</v>
      </c>
      <c r="L84" s="1063">
        <v>0.2</v>
      </c>
      <c r="N84" s="1235"/>
    </row>
    <row r="85" spans="2:14" s="526" customFormat="1" ht="12.75" x14ac:dyDescent="0.2">
      <c r="B85" s="1091"/>
      <c r="C85" s="1091"/>
      <c r="D85" s="1091"/>
      <c r="E85" s="1091"/>
      <c r="F85" s="1091"/>
      <c r="G85" s="1091"/>
      <c r="H85" s="1091"/>
      <c r="I85" s="1091"/>
      <c r="J85" s="1091"/>
      <c r="L85" s="145"/>
      <c r="N85" s="1235"/>
    </row>
    <row r="86" spans="2:14" s="526" customFormat="1" ht="12.75" x14ac:dyDescent="0.2">
      <c r="B86" s="188"/>
      <c r="C86" s="188"/>
      <c r="D86" s="188"/>
      <c r="E86" s="188"/>
      <c r="F86" s="188"/>
      <c r="G86" s="188"/>
      <c r="H86" s="188"/>
      <c r="I86" s="188"/>
      <c r="J86" s="188"/>
      <c r="L86" s="145"/>
      <c r="N86" s="1235"/>
    </row>
    <row r="87" spans="2:14" s="526" customFormat="1" ht="12.75" x14ac:dyDescent="0.2">
      <c r="B87" s="1207" t="s">
        <v>513</v>
      </c>
      <c r="C87" s="1208">
        <v>1207.26</v>
      </c>
      <c r="D87" s="1215"/>
      <c r="E87" s="1209"/>
      <c r="F87" s="11"/>
      <c r="G87" s="11"/>
      <c r="H87" s="11"/>
      <c r="I87" s="1088" t="s">
        <v>104</v>
      </c>
      <c r="J87" s="772" t="s">
        <v>841</v>
      </c>
      <c r="L87" s="1063">
        <v>0.2</v>
      </c>
      <c r="N87" s="1235"/>
    </row>
    <row r="88" spans="2:14" s="526" customFormat="1" ht="12.75" x14ac:dyDescent="0.2">
      <c r="B88" s="1210" t="s">
        <v>403</v>
      </c>
      <c r="C88" s="1211">
        <v>56085.26</v>
      </c>
      <c r="D88" s="1215"/>
      <c r="E88" s="1209"/>
      <c r="F88" s="188"/>
      <c r="G88" s="188"/>
      <c r="H88" s="188"/>
      <c r="I88" s="113" t="s">
        <v>100</v>
      </c>
      <c r="J88" s="37" t="s">
        <v>102</v>
      </c>
      <c r="L88" s="1063">
        <v>0.2</v>
      </c>
      <c r="N88" s="1235"/>
    </row>
    <row r="89" spans="2:14" s="526" customFormat="1" ht="12.75" x14ac:dyDescent="0.2">
      <c r="B89" s="1210" t="s">
        <v>30</v>
      </c>
      <c r="C89" s="1211">
        <v>16590.05</v>
      </c>
      <c r="D89" s="1215"/>
      <c r="E89" s="1209"/>
      <c r="F89" s="188"/>
      <c r="G89" s="188"/>
      <c r="H89" s="188"/>
      <c r="I89" s="389"/>
      <c r="J89" s="389"/>
      <c r="L89" s="1063">
        <v>0.2</v>
      </c>
      <c r="N89" s="1235"/>
    </row>
    <row r="90" spans="2:14" s="526" customFormat="1" ht="12.75" x14ac:dyDescent="0.2">
      <c r="B90" s="1210" t="s">
        <v>538</v>
      </c>
      <c r="C90" s="1211">
        <v>599.33000000000004</v>
      </c>
      <c r="D90" s="1215"/>
      <c r="E90" s="1209"/>
      <c r="F90" s="188"/>
      <c r="G90" s="188"/>
      <c r="H90" s="188"/>
      <c r="I90" s="389"/>
      <c r="J90" s="389"/>
      <c r="L90" s="1063">
        <v>0.2</v>
      </c>
      <c r="N90" s="1235"/>
    </row>
    <row r="91" spans="2:14" s="526" customFormat="1" ht="12.75" x14ac:dyDescent="0.2">
      <c r="B91" s="1210" t="s">
        <v>507</v>
      </c>
      <c r="C91" s="1211">
        <v>708.31</v>
      </c>
      <c r="D91" s="1215"/>
      <c r="E91" s="1209"/>
      <c r="F91" s="188"/>
      <c r="G91" s="188"/>
      <c r="H91" s="188"/>
      <c r="I91" s="389"/>
      <c r="J91" s="389"/>
      <c r="L91" s="1063">
        <v>0.2</v>
      </c>
      <c r="N91" s="1235"/>
    </row>
    <row r="92" spans="2:14" s="526" customFormat="1" ht="12.75" x14ac:dyDescent="0.2">
      <c r="B92" s="1210" t="s">
        <v>52</v>
      </c>
      <c r="C92" s="1211">
        <v>267.83</v>
      </c>
      <c r="D92" s="1215"/>
      <c r="E92" s="1209"/>
      <c r="F92" s="389"/>
      <c r="G92" s="389"/>
      <c r="H92" s="389"/>
      <c r="I92" s="389"/>
      <c r="J92" s="389"/>
      <c r="L92" s="1063">
        <v>0.2</v>
      </c>
      <c r="N92" s="1235"/>
    </row>
    <row r="93" spans="2:14" s="526" customFormat="1" ht="12.75" x14ac:dyDescent="0.2">
      <c r="B93" s="1210" t="s">
        <v>539</v>
      </c>
      <c r="C93" s="1211">
        <v>0.01</v>
      </c>
      <c r="D93" s="1215"/>
      <c r="E93" s="1209"/>
      <c r="F93" s="389"/>
      <c r="G93" s="389"/>
      <c r="H93" s="389"/>
      <c r="I93" s="389"/>
      <c r="J93" s="389"/>
      <c r="L93" s="1063">
        <v>0.2</v>
      </c>
      <c r="N93" s="1235"/>
    </row>
    <row r="94" spans="2:14" s="526" customFormat="1" ht="12.75" x14ac:dyDescent="0.2">
      <c r="B94" s="1210" t="s">
        <v>540</v>
      </c>
      <c r="C94" s="1211">
        <v>4949.13</v>
      </c>
      <c r="D94" s="1215"/>
      <c r="E94" s="1209"/>
      <c r="F94" s="389"/>
      <c r="G94" s="389"/>
      <c r="H94" s="389"/>
      <c r="I94" s="389"/>
      <c r="J94" s="389"/>
      <c r="L94" s="1063">
        <v>0.2</v>
      </c>
      <c r="N94" s="1235"/>
    </row>
    <row r="95" spans="2:14" s="526" customFormat="1" ht="12.75" x14ac:dyDescent="0.2">
      <c r="B95" s="1210" t="s">
        <v>23</v>
      </c>
      <c r="C95" s="1211">
        <v>305670.94</v>
      </c>
      <c r="D95" s="1215"/>
      <c r="E95" s="1209"/>
      <c r="F95" s="389"/>
      <c r="G95" s="389"/>
      <c r="H95" s="389"/>
      <c r="I95" s="389"/>
      <c r="J95" s="389"/>
      <c r="L95" s="1063">
        <v>0.2</v>
      </c>
      <c r="N95" s="1235"/>
    </row>
    <row r="96" spans="2:14" s="526" customFormat="1" ht="12.75" x14ac:dyDescent="0.2">
      <c r="B96" s="1210" t="s">
        <v>21</v>
      </c>
      <c r="C96" s="1211">
        <v>726.3</v>
      </c>
      <c r="D96" s="1215"/>
      <c r="E96" s="1209"/>
      <c r="F96" s="389"/>
      <c r="G96" s="389"/>
      <c r="H96" s="389"/>
      <c r="I96" s="389"/>
      <c r="J96" s="389"/>
      <c r="L96" s="1063">
        <v>0.2</v>
      </c>
      <c r="N96" s="1235"/>
    </row>
    <row r="97" spans="2:14" s="526" customFormat="1" ht="12.75" x14ac:dyDescent="0.2">
      <c r="B97" s="1210" t="s">
        <v>67</v>
      </c>
      <c r="C97" s="1211">
        <v>14673.15</v>
      </c>
      <c r="D97" s="1215"/>
      <c r="E97" s="1209"/>
      <c r="F97" s="389"/>
      <c r="G97" s="389"/>
      <c r="H97" s="389"/>
      <c r="I97" s="389"/>
      <c r="J97" s="389"/>
      <c r="L97" s="1063">
        <v>0.2</v>
      </c>
      <c r="N97" s="1235"/>
    </row>
    <row r="98" spans="2:14" s="526" customFormat="1" ht="12.75" x14ac:dyDescent="0.2">
      <c r="B98" s="1210" t="s">
        <v>541</v>
      </c>
      <c r="C98" s="1211">
        <v>13450</v>
      </c>
      <c r="D98" s="1215"/>
      <c r="E98" s="1209"/>
      <c r="F98" s="389"/>
      <c r="G98" s="389"/>
      <c r="H98" s="389"/>
      <c r="I98" s="389"/>
      <c r="J98" s="389"/>
      <c r="L98" s="1063">
        <v>0.2</v>
      </c>
      <c r="N98" s="1235"/>
    </row>
    <row r="99" spans="2:14" s="526" customFormat="1" ht="12.75" x14ac:dyDescent="0.2">
      <c r="B99" s="1210" t="s">
        <v>542</v>
      </c>
      <c r="C99" s="1211">
        <v>24554.01</v>
      </c>
      <c r="D99" s="1215"/>
      <c r="E99" s="1212"/>
      <c r="F99" s="389"/>
      <c r="G99" s="389"/>
      <c r="H99" s="389"/>
      <c r="I99" s="389"/>
      <c r="J99" s="389"/>
      <c r="L99" s="1063">
        <v>0.2</v>
      </c>
      <c r="N99" s="1235"/>
    </row>
    <row r="100" spans="2:14" s="526" customFormat="1" ht="12.75" x14ac:dyDescent="0.2">
      <c r="B100" s="1210" t="s">
        <v>543</v>
      </c>
      <c r="C100" s="1211">
        <v>272046.69</v>
      </c>
      <c r="D100" s="1215"/>
      <c r="E100" s="1209"/>
      <c r="F100" s="389"/>
      <c r="G100" s="389"/>
      <c r="H100" s="389"/>
      <c r="I100" s="389"/>
      <c r="J100" s="389"/>
      <c r="L100" s="1063">
        <v>0.2</v>
      </c>
      <c r="N100" s="1235"/>
    </row>
    <row r="101" spans="2:14" s="526" customFormat="1" ht="12.75" x14ac:dyDescent="0.2">
      <c r="B101" s="1210" t="s">
        <v>544</v>
      </c>
      <c r="C101" s="1211">
        <v>30.28</v>
      </c>
      <c r="D101" s="1215"/>
      <c r="E101" s="1209"/>
      <c r="F101" s="389"/>
      <c r="G101" s="389"/>
      <c r="H101" s="389"/>
      <c r="I101" s="389"/>
      <c r="J101" s="389"/>
      <c r="L101" s="1063">
        <v>0.2</v>
      </c>
      <c r="N101" s="1235"/>
    </row>
    <row r="102" spans="2:14" s="526" customFormat="1" ht="12.75" x14ac:dyDescent="0.2">
      <c r="B102" s="1210" t="s">
        <v>545</v>
      </c>
      <c r="C102" s="1211">
        <v>694</v>
      </c>
      <c r="D102" s="1215"/>
      <c r="E102" s="1213"/>
      <c r="F102" s="389"/>
      <c r="G102" s="389"/>
      <c r="H102" s="389"/>
      <c r="I102" s="389"/>
      <c r="J102" s="389"/>
      <c r="L102" s="1063">
        <v>0.2</v>
      </c>
      <c r="N102" s="1235"/>
    </row>
    <row r="103" spans="2:14" s="526" customFormat="1" ht="12.75" x14ac:dyDescent="0.2">
      <c r="B103" s="1210" t="s">
        <v>546</v>
      </c>
      <c r="C103" s="1211">
        <v>1261</v>
      </c>
      <c r="D103" s="1215"/>
      <c r="E103" s="1209"/>
      <c r="F103" s="389"/>
      <c r="G103" s="389"/>
      <c r="H103" s="389"/>
      <c r="I103" s="389"/>
      <c r="J103" s="389"/>
      <c r="L103" s="1063">
        <v>0.2</v>
      </c>
      <c r="N103" s="1235"/>
    </row>
    <row r="104" spans="2:14" s="526" customFormat="1" ht="12.75" x14ac:dyDescent="0.2">
      <c r="B104" s="1210" t="s">
        <v>547</v>
      </c>
      <c r="C104" s="1211">
        <v>1041.54</v>
      </c>
      <c r="D104" s="1215"/>
      <c r="E104" s="1209"/>
      <c r="F104" s="389"/>
      <c r="G104" s="389"/>
      <c r="H104" s="389"/>
      <c r="I104" s="389"/>
      <c r="J104" s="389"/>
      <c r="L104" s="1063">
        <v>0.2</v>
      </c>
      <c r="N104" s="1235"/>
    </row>
    <row r="105" spans="2:14" s="526" customFormat="1" ht="12.75" x14ac:dyDescent="0.2">
      <c r="B105" s="1210" t="s">
        <v>548</v>
      </c>
      <c r="C105" s="1211">
        <v>1205.8599999999999</v>
      </c>
      <c r="D105" s="1215"/>
      <c r="E105" s="1209"/>
      <c r="F105" s="389"/>
      <c r="G105" s="389"/>
      <c r="H105" s="389"/>
      <c r="I105" s="389"/>
      <c r="J105" s="389"/>
      <c r="L105" s="1063">
        <v>0.2</v>
      </c>
      <c r="N105" s="1235"/>
    </row>
    <row r="106" spans="2:14" s="526" customFormat="1" ht="12.75" x14ac:dyDescent="0.2">
      <c r="B106" s="1210" t="s">
        <v>549</v>
      </c>
      <c r="C106" s="1211">
        <v>34.76</v>
      </c>
      <c r="D106" s="1215"/>
      <c r="E106" s="1209"/>
      <c r="F106" s="389"/>
      <c r="G106" s="389"/>
      <c r="H106" s="389"/>
      <c r="I106" s="389"/>
      <c r="J106" s="389"/>
      <c r="L106" s="1063">
        <v>0.2</v>
      </c>
      <c r="N106" s="1235"/>
    </row>
    <row r="107" spans="2:14" s="526" customFormat="1" ht="12.75" x14ac:dyDescent="0.2">
      <c r="B107" s="1210" t="s">
        <v>39</v>
      </c>
      <c r="C107" s="1211">
        <v>117.71</v>
      </c>
      <c r="D107" s="1215"/>
      <c r="E107" s="1209"/>
      <c r="F107" s="389"/>
      <c r="G107" s="389"/>
      <c r="H107" s="389"/>
      <c r="I107" s="389"/>
      <c r="J107" s="389"/>
      <c r="L107" s="1063">
        <v>0.2</v>
      </c>
      <c r="N107" s="1235"/>
    </row>
    <row r="108" spans="2:14" s="526" customFormat="1" ht="12.75" x14ac:dyDescent="0.2">
      <c r="B108" s="1210" t="s">
        <v>827</v>
      </c>
      <c r="C108" s="1211">
        <v>0.35</v>
      </c>
      <c r="D108" s="1215"/>
      <c r="E108" s="1209"/>
      <c r="F108" s="389"/>
      <c r="G108" s="389"/>
      <c r="H108" s="389"/>
      <c r="I108" s="389"/>
      <c r="J108" s="389"/>
      <c r="L108" s="1063">
        <v>0.2</v>
      </c>
      <c r="N108" s="1235"/>
    </row>
    <row r="109" spans="2:14" s="526" customFormat="1" ht="12.75" x14ac:dyDescent="0.2">
      <c r="B109" s="1210" t="s">
        <v>828</v>
      </c>
      <c r="C109" s="1211">
        <v>30600</v>
      </c>
      <c r="D109" s="1215"/>
      <c r="E109" s="1209"/>
      <c r="F109" s="389"/>
      <c r="G109" s="389"/>
      <c r="H109" s="389"/>
      <c r="I109" s="389"/>
      <c r="J109" s="389"/>
      <c r="L109" s="1063">
        <v>0.2</v>
      </c>
      <c r="N109" s="1235"/>
    </row>
    <row r="110" spans="2:14" s="526" customFormat="1" ht="12.75" x14ac:dyDescent="0.2">
      <c r="B110" s="1210" t="s">
        <v>829</v>
      </c>
      <c r="C110" s="1211">
        <v>5</v>
      </c>
      <c r="D110" s="1215"/>
      <c r="E110" s="1209"/>
      <c r="F110" s="389"/>
      <c r="G110" s="389"/>
      <c r="H110" s="389"/>
      <c r="I110" s="389"/>
      <c r="J110" s="389"/>
      <c r="L110" s="1063">
        <v>0.2</v>
      </c>
      <c r="N110" s="1235"/>
    </row>
    <row r="111" spans="2:14" s="526" customFormat="1" ht="12.75" x14ac:dyDescent="0.2">
      <c r="B111" s="1210" t="s">
        <v>830</v>
      </c>
      <c r="C111" s="1211">
        <v>55.48</v>
      </c>
      <c r="D111" s="1215"/>
      <c r="E111" s="1209"/>
      <c r="F111" s="389"/>
      <c r="G111" s="389"/>
      <c r="H111" s="389"/>
      <c r="I111" s="389"/>
      <c r="J111" s="389"/>
      <c r="L111" s="1063">
        <v>0.2</v>
      </c>
      <c r="N111" s="1235"/>
    </row>
    <row r="112" spans="2:14" s="526" customFormat="1" ht="12.75" x14ac:dyDescent="0.2">
      <c r="B112" s="1210" t="s">
        <v>831</v>
      </c>
      <c r="C112" s="1211">
        <v>396.03</v>
      </c>
      <c r="D112" s="1215"/>
      <c r="E112" s="1209"/>
      <c r="F112" s="389"/>
      <c r="G112" s="389"/>
      <c r="H112" s="389"/>
      <c r="I112" s="389"/>
      <c r="J112" s="389"/>
      <c r="L112" s="1063">
        <v>0.2</v>
      </c>
      <c r="N112" s="1235"/>
    </row>
    <row r="113" spans="1:16" s="526" customFormat="1" ht="12.75" x14ac:dyDescent="0.2">
      <c r="B113" s="1210" t="s">
        <v>832</v>
      </c>
      <c r="C113" s="1211">
        <v>2500</v>
      </c>
      <c r="D113" s="1215"/>
      <c r="E113" s="1209"/>
      <c r="F113" s="389"/>
      <c r="G113" s="389"/>
      <c r="H113" s="389"/>
      <c r="I113" s="389"/>
      <c r="J113" s="389"/>
      <c r="L113" s="1063">
        <v>0.2</v>
      </c>
      <c r="N113" s="1235"/>
    </row>
    <row r="114" spans="1:16" s="526" customFormat="1" ht="12.75" x14ac:dyDescent="0.2">
      <c r="B114" s="1210" t="s">
        <v>833</v>
      </c>
      <c r="C114" s="1211">
        <v>934.1</v>
      </c>
      <c r="D114" s="1215"/>
      <c r="E114" s="1209"/>
      <c r="F114" s="389"/>
      <c r="G114" s="389"/>
      <c r="H114" s="389"/>
      <c r="I114" s="389"/>
      <c r="J114" s="389"/>
      <c r="L114" s="1063">
        <v>0.2</v>
      </c>
      <c r="N114" s="1235"/>
    </row>
    <row r="115" spans="1:16" s="526" customFormat="1" ht="12.75" x14ac:dyDescent="0.2">
      <c r="B115" s="1210" t="s">
        <v>834</v>
      </c>
      <c r="C115" s="1211">
        <v>487.96</v>
      </c>
      <c r="D115" s="1216"/>
      <c r="E115" s="1213"/>
      <c r="F115" s="389"/>
      <c r="G115" s="389"/>
      <c r="H115" s="389"/>
      <c r="I115" s="389"/>
      <c r="J115" s="389"/>
      <c r="L115" s="1063">
        <v>0.2</v>
      </c>
      <c r="N115" s="1235"/>
    </row>
    <row r="116" spans="1:16" s="526" customFormat="1" ht="12.75" x14ac:dyDescent="0.2">
      <c r="B116" s="1210" t="s">
        <v>835</v>
      </c>
      <c r="C116" s="1211">
        <v>126</v>
      </c>
      <c r="D116" s="1216"/>
      <c r="E116" s="1213"/>
      <c r="F116" s="389"/>
      <c r="G116" s="389"/>
      <c r="H116" s="389"/>
      <c r="I116" s="389"/>
      <c r="J116" s="389"/>
      <c r="L116" s="1063">
        <v>0.2</v>
      </c>
      <c r="N116" s="1235"/>
    </row>
    <row r="117" spans="1:16" s="526" customFormat="1" ht="12.75" x14ac:dyDescent="0.2">
      <c r="B117" s="1210" t="s">
        <v>836</v>
      </c>
      <c r="C117" s="1214">
        <v>141.75</v>
      </c>
      <c r="D117" s="1216"/>
      <c r="E117" s="1213"/>
      <c r="F117" s="389"/>
      <c r="G117" s="389"/>
      <c r="H117" s="389"/>
      <c r="I117" s="389"/>
      <c r="J117" s="389"/>
      <c r="L117" s="1063">
        <v>0.2</v>
      </c>
      <c r="N117" s="1235"/>
    </row>
    <row r="118" spans="1:16" s="526" customFormat="1" ht="12.75" x14ac:dyDescent="0.2">
      <c r="B118" s="389"/>
      <c r="C118" s="389"/>
      <c r="D118" s="1213"/>
      <c r="E118" s="1213"/>
      <c r="F118" s="389"/>
      <c r="G118" s="389"/>
      <c r="H118" s="389"/>
      <c r="I118" s="389"/>
      <c r="J118" s="389"/>
      <c r="L118" s="145"/>
      <c r="N118" s="1235"/>
    </row>
    <row r="119" spans="1:16" ht="15.75" x14ac:dyDescent="0.25">
      <c r="A119" s="52" t="s">
        <v>4</v>
      </c>
      <c r="B119" s="52"/>
      <c r="C119" s="52"/>
      <c r="D119" s="52"/>
      <c r="E119" s="52"/>
      <c r="F119" s="52"/>
      <c r="G119" s="52"/>
      <c r="H119" s="52"/>
      <c r="I119" s="52"/>
      <c r="J119" s="52"/>
      <c r="K119" s="52"/>
      <c r="L119" s="1062"/>
    </row>
    <row r="120" spans="1:16" s="526" customFormat="1" ht="12.75" x14ac:dyDescent="0.2">
      <c r="B120" s="191"/>
      <c r="C120" s="6"/>
      <c r="D120" s="24" t="s">
        <v>16</v>
      </c>
      <c r="E120" s="24" t="s">
        <v>17</v>
      </c>
      <c r="F120" s="24" t="s">
        <v>18</v>
      </c>
      <c r="G120" s="191"/>
      <c r="H120" s="11"/>
      <c r="I120" s="113" t="s">
        <v>104</v>
      </c>
      <c r="J120" s="37" t="s">
        <v>753</v>
      </c>
      <c r="L120" s="145"/>
      <c r="N120" s="1235"/>
    </row>
    <row r="121" spans="1:16" s="526" customFormat="1" ht="12.75" x14ac:dyDescent="0.2">
      <c r="B121" s="191"/>
      <c r="C121" s="191"/>
      <c r="D121" s="1325">
        <v>2154982.8782059476</v>
      </c>
      <c r="E121" s="1326">
        <v>2023037.2803501091</v>
      </c>
      <c r="F121" s="1327">
        <v>1019361.7536372449</v>
      </c>
      <c r="G121" s="191"/>
      <c r="H121" s="11"/>
      <c r="I121" s="113" t="s">
        <v>100</v>
      </c>
      <c r="J121" s="37" t="s">
        <v>102</v>
      </c>
      <c r="L121" s="1063">
        <v>0.2</v>
      </c>
      <c r="N121" s="1235"/>
    </row>
    <row r="122" spans="1:16" s="526" customFormat="1" ht="12.75" x14ac:dyDescent="0.2">
      <c r="B122" s="191"/>
      <c r="C122" s="137"/>
      <c r="D122" s="137"/>
      <c r="E122" s="191"/>
      <c r="F122" s="191"/>
      <c r="G122" s="191"/>
      <c r="H122" s="1089"/>
      <c r="I122" s="99"/>
      <c r="J122" s="1089"/>
      <c r="L122" s="145"/>
      <c r="N122" s="1235"/>
    </row>
    <row r="123" spans="1:16" s="526" customFormat="1" ht="12.75" x14ac:dyDescent="0.2">
      <c r="B123" s="187"/>
      <c r="C123" s="187"/>
      <c r="D123" s="187"/>
      <c r="E123" s="187"/>
      <c r="F123" s="187"/>
      <c r="G123" s="187"/>
      <c r="H123" s="187"/>
      <c r="I123" s="187"/>
      <c r="J123" s="187"/>
      <c r="L123" s="145"/>
      <c r="N123" s="1235"/>
      <c r="P123" s="1134"/>
    </row>
    <row r="124" spans="1:16" s="526" customFormat="1" ht="12.75" x14ac:dyDescent="0.2">
      <c r="B124" s="685"/>
      <c r="C124" s="1537"/>
      <c r="D124" s="91" t="s">
        <v>16</v>
      </c>
      <c r="E124" s="91" t="s">
        <v>17</v>
      </c>
      <c r="F124" s="91" t="s">
        <v>18</v>
      </c>
      <c r="G124" s="88"/>
      <c r="H124" s="88"/>
      <c r="I124" s="1090" t="s">
        <v>648</v>
      </c>
      <c r="J124" s="895" t="s">
        <v>757</v>
      </c>
      <c r="L124" s="145"/>
      <c r="N124" s="1235"/>
    </row>
    <row r="125" spans="1:16" s="526" customFormat="1" ht="12.75" x14ac:dyDescent="0.2">
      <c r="B125" s="687"/>
      <c r="C125" s="1538" t="s">
        <v>25</v>
      </c>
      <c r="D125" s="1181">
        <v>1.4612399693521263E-2</v>
      </c>
      <c r="E125" s="1182">
        <v>0.12626613890554528</v>
      </c>
      <c r="F125" s="1183">
        <v>0.37540534435101758</v>
      </c>
      <c r="G125" s="195"/>
      <c r="H125" s="88"/>
      <c r="I125" s="114" t="s">
        <v>100</v>
      </c>
      <c r="J125" s="94" t="s">
        <v>101</v>
      </c>
      <c r="L125" s="1063">
        <v>0.2</v>
      </c>
      <c r="N125" s="1235"/>
    </row>
    <row r="126" spans="1:16" s="526" customFormat="1" ht="12.75" customHeight="1" x14ac:dyDescent="0.2">
      <c r="B126" s="687"/>
      <c r="C126" s="1538" t="s">
        <v>28</v>
      </c>
      <c r="D126" s="1184">
        <v>1.9049858500692692E-2</v>
      </c>
      <c r="E126" s="1185">
        <v>2.1483039299317566E-2</v>
      </c>
      <c r="F126" s="1186">
        <v>4.4550779658910578E-2</v>
      </c>
      <c r="G126" s="195"/>
      <c r="H126" s="88"/>
      <c r="I126" s="195"/>
      <c r="J126" s="195"/>
      <c r="L126" s="1063">
        <v>0.2</v>
      </c>
      <c r="N126" s="1235"/>
    </row>
    <row r="127" spans="1:16" s="526" customFormat="1" ht="12.75" x14ac:dyDescent="0.2">
      <c r="B127" s="687"/>
      <c r="C127" s="695" t="s">
        <v>61</v>
      </c>
      <c r="D127" s="1539">
        <v>0.50495421110217742</v>
      </c>
      <c r="E127" s="1540">
        <v>9.3416463321448012E-2</v>
      </c>
      <c r="F127" s="1541">
        <v>2.7654559237104582E-5</v>
      </c>
      <c r="G127" s="195"/>
      <c r="H127" s="1091"/>
      <c r="I127" s="195"/>
      <c r="J127" s="195"/>
      <c r="L127" s="1063">
        <v>0.2</v>
      </c>
      <c r="N127" s="1235"/>
    </row>
    <row r="128" spans="1:16" s="526" customFormat="1" ht="12.75" customHeight="1" x14ac:dyDescent="0.2">
      <c r="B128" s="687"/>
      <c r="C128" s="695" t="s">
        <v>63</v>
      </c>
      <c r="D128" s="1539">
        <v>5.7573114567786958E-2</v>
      </c>
      <c r="E128" s="1540">
        <v>4.0803226973848666E-2</v>
      </c>
      <c r="F128" s="1541">
        <v>1.3570407714929072E-2</v>
      </c>
      <c r="G128" s="195"/>
      <c r="H128" s="1091"/>
      <c r="I128" s="195"/>
      <c r="J128" s="195"/>
      <c r="L128" s="1063">
        <v>0.2</v>
      </c>
      <c r="N128" s="1235"/>
    </row>
    <row r="129" spans="2:14" s="526" customFormat="1" ht="12.75" x14ac:dyDescent="0.2">
      <c r="B129" s="687"/>
      <c r="C129" s="695" t="s">
        <v>67</v>
      </c>
      <c r="D129" s="1539">
        <v>1.7301668786825861E-3</v>
      </c>
      <c r="E129" s="1540">
        <v>0.13657353532721977</v>
      </c>
      <c r="F129" s="1541">
        <v>0.17211796908993002</v>
      </c>
      <c r="G129" s="195"/>
      <c r="H129" s="1091"/>
      <c r="I129" s="195"/>
      <c r="J129" s="195"/>
      <c r="L129" s="1063">
        <v>0.2</v>
      </c>
      <c r="N129" s="1235"/>
    </row>
    <row r="130" spans="2:14" s="526" customFormat="1" ht="12.75" customHeight="1" x14ac:dyDescent="0.2">
      <c r="B130" s="687"/>
      <c r="C130" s="695" t="s">
        <v>65</v>
      </c>
      <c r="D130" s="1539">
        <v>0</v>
      </c>
      <c r="E130" s="1540">
        <v>0</v>
      </c>
      <c r="F130" s="1541">
        <v>1.4692655761695017E-2</v>
      </c>
      <c r="G130" s="195"/>
      <c r="H130" s="1091"/>
      <c r="I130" s="195"/>
      <c r="J130" s="195"/>
      <c r="L130" s="1063">
        <v>0.2</v>
      </c>
      <c r="N130" s="1235"/>
    </row>
    <row r="131" spans="2:14" s="526" customFormat="1" ht="12.75" x14ac:dyDescent="0.2">
      <c r="B131" s="687"/>
      <c r="C131" s="1538" t="s">
        <v>20</v>
      </c>
      <c r="D131" s="1184">
        <v>5.1764741672919806E-2</v>
      </c>
      <c r="E131" s="1185">
        <v>0.13547705376552191</v>
      </c>
      <c r="F131" s="1186">
        <v>2.5894615949601435E-2</v>
      </c>
      <c r="G131" s="195"/>
      <c r="H131" s="1091"/>
      <c r="I131" s="195"/>
      <c r="J131" s="195"/>
      <c r="L131" s="1063">
        <v>0.2</v>
      </c>
      <c r="N131" s="1235"/>
    </row>
    <row r="132" spans="2:14" s="526" customFormat="1" ht="12.75" customHeight="1" x14ac:dyDescent="0.2">
      <c r="B132" s="687"/>
      <c r="C132" s="1538" t="s">
        <v>32</v>
      </c>
      <c r="D132" s="1184">
        <v>9.7792483792112306E-2</v>
      </c>
      <c r="E132" s="1185">
        <v>0.11662718821497849</v>
      </c>
      <c r="F132" s="1186">
        <v>2.3740403573184285E-2</v>
      </c>
      <c r="G132" s="195"/>
      <c r="H132" s="1091"/>
      <c r="I132" s="195"/>
      <c r="J132" s="195"/>
      <c r="L132" s="1063">
        <v>0.2</v>
      </c>
      <c r="N132" s="1235"/>
    </row>
    <row r="133" spans="2:14" s="526" customFormat="1" ht="12.75" x14ac:dyDescent="0.2">
      <c r="B133" s="687"/>
      <c r="C133" s="1538" t="s">
        <v>30</v>
      </c>
      <c r="D133" s="1539">
        <v>3.4199950132508233E-2</v>
      </c>
      <c r="E133" s="1540">
        <v>1.4241604985272214E-2</v>
      </c>
      <c r="F133" s="1541">
        <v>7.2527152469502379E-3</v>
      </c>
      <c r="G133" s="195"/>
      <c r="H133" s="1091"/>
      <c r="I133" s="195"/>
      <c r="J133" s="195"/>
      <c r="L133" s="1063">
        <v>0.2</v>
      </c>
      <c r="N133" s="1235"/>
    </row>
    <row r="134" spans="2:14" s="526" customFormat="1" ht="12.75" x14ac:dyDescent="0.2">
      <c r="B134" s="687"/>
      <c r="C134" s="1538" t="s">
        <v>27</v>
      </c>
      <c r="D134" s="1542">
        <v>0.21832307365959869</v>
      </c>
      <c r="E134" s="1543">
        <v>0.31511174920684815</v>
      </c>
      <c r="F134" s="1544">
        <v>0.32274745409454469</v>
      </c>
      <c r="G134" s="195"/>
      <c r="H134" s="1091"/>
      <c r="I134" s="195"/>
      <c r="J134" s="195"/>
      <c r="L134" s="1063">
        <v>0.2</v>
      </c>
      <c r="N134" s="1235"/>
    </row>
    <row r="135" spans="2:14" s="526" customFormat="1" ht="12.75" x14ac:dyDescent="0.2">
      <c r="B135" s="1091"/>
      <c r="C135" s="1091"/>
      <c r="D135" s="1187"/>
      <c r="E135" s="1187"/>
      <c r="F135" s="1187"/>
      <c r="G135" s="1091"/>
      <c r="H135" s="1091"/>
      <c r="I135" s="98"/>
      <c r="J135" s="88"/>
      <c r="L135" s="145"/>
      <c r="N135" s="1235"/>
    </row>
    <row r="136" spans="2:14" s="526" customFormat="1" ht="12.75" x14ac:dyDescent="0.2">
      <c r="B136" s="1602" t="s">
        <v>993</v>
      </c>
      <c r="C136" s="188"/>
      <c r="D136" s="188"/>
      <c r="E136" s="188"/>
      <c r="F136" s="188"/>
      <c r="G136" s="188"/>
      <c r="H136" s="188"/>
      <c r="I136" s="188"/>
      <c r="J136" s="188"/>
      <c r="L136" s="145"/>
      <c r="N136" s="1235"/>
    </row>
    <row r="137" spans="2:14" s="526" customFormat="1" ht="12.75" x14ac:dyDescent="0.2">
      <c r="B137" s="151"/>
      <c r="C137" s="513"/>
      <c r="D137" s="24" t="s">
        <v>16</v>
      </c>
      <c r="E137" s="24" t="s">
        <v>17</v>
      </c>
      <c r="F137" s="24" t="s">
        <v>18</v>
      </c>
      <c r="G137" s="11"/>
      <c r="H137" s="11"/>
      <c r="I137" s="1115" t="s">
        <v>648</v>
      </c>
      <c r="J137" s="2586" t="s">
        <v>763</v>
      </c>
      <c r="L137" s="145"/>
      <c r="N137" s="1235"/>
    </row>
    <row r="138" spans="2:14" s="526" customFormat="1" ht="12.75" x14ac:dyDescent="0.2">
      <c r="B138" s="516" t="s">
        <v>25</v>
      </c>
      <c r="C138" s="244" t="s">
        <v>42</v>
      </c>
      <c r="D138" s="1188"/>
      <c r="E138" s="1189"/>
      <c r="F138" s="1190"/>
      <c r="G138" s="188"/>
      <c r="H138" s="188"/>
      <c r="I138" s="1221"/>
      <c r="J138" s="2588"/>
      <c r="L138" s="1063">
        <v>0.2</v>
      </c>
      <c r="N138" s="1235"/>
    </row>
    <row r="139" spans="2:14" s="526" customFormat="1" ht="12.75" x14ac:dyDescent="0.2">
      <c r="B139" s="516"/>
      <c r="C139" s="244" t="s">
        <v>44</v>
      </c>
      <c r="D139" s="1191"/>
      <c r="E139" s="1192"/>
      <c r="F139" s="1193"/>
      <c r="G139" s="188"/>
      <c r="H139" s="471"/>
      <c r="I139" s="113" t="s">
        <v>100</v>
      </c>
      <c r="J139" s="37" t="s">
        <v>102</v>
      </c>
      <c r="L139" s="1063">
        <v>0.2</v>
      </c>
      <c r="N139" s="1235"/>
    </row>
    <row r="140" spans="2:14" s="526" customFormat="1" ht="12.75" x14ac:dyDescent="0.2">
      <c r="B140" s="516"/>
      <c r="C140" s="244" t="s">
        <v>46</v>
      </c>
      <c r="D140" s="1191"/>
      <c r="E140" s="1192"/>
      <c r="F140" s="1193"/>
      <c r="G140" s="471"/>
      <c r="H140" s="471"/>
      <c r="I140" s="191"/>
      <c r="J140" s="1179"/>
      <c r="L140" s="1063">
        <v>0.2</v>
      </c>
      <c r="N140" s="1235"/>
    </row>
    <row r="141" spans="2:14" s="526" customFormat="1" ht="12.75" x14ac:dyDescent="0.2">
      <c r="B141" s="516"/>
      <c r="C141" s="244" t="s">
        <v>47</v>
      </c>
      <c r="D141" s="1191"/>
      <c r="E141" s="1192"/>
      <c r="F141" s="1193"/>
      <c r="G141" s="471"/>
      <c r="H141" s="471"/>
      <c r="I141" s="191"/>
      <c r="J141" s="1179"/>
      <c r="L141" s="1063">
        <v>0.2</v>
      </c>
      <c r="N141" s="1235"/>
    </row>
    <row r="142" spans="2:14" s="526" customFormat="1" ht="12.75" x14ac:dyDescent="0.2">
      <c r="B142" s="516"/>
      <c r="C142" s="244" t="s">
        <v>49</v>
      </c>
      <c r="D142" s="1191"/>
      <c r="E142" s="1192"/>
      <c r="F142" s="1193"/>
      <c r="G142" s="471"/>
      <c r="H142" s="471"/>
      <c r="I142" s="191"/>
      <c r="J142" s="1179"/>
      <c r="L142" s="1063">
        <v>0.2</v>
      </c>
      <c r="N142" s="1235"/>
    </row>
    <row r="143" spans="2:14" s="526" customFormat="1" ht="12.75" x14ac:dyDescent="0.2">
      <c r="B143" s="516"/>
      <c r="C143" s="514" t="s">
        <v>88</v>
      </c>
      <c r="D143" s="1194">
        <f>SUM(D138:D142)</f>
        <v>0</v>
      </c>
      <c r="E143" s="1195">
        <f>SUM(E138:E142)</f>
        <v>0</v>
      </c>
      <c r="F143" s="1196">
        <f>SUM(F138:F142)</f>
        <v>0</v>
      </c>
      <c r="G143" s="471"/>
      <c r="H143" s="471"/>
      <c r="I143" s="191"/>
      <c r="J143" s="1179"/>
      <c r="L143" s="1063">
        <v>0.2</v>
      </c>
      <c r="N143" s="1235"/>
    </row>
    <row r="144" spans="2:14" s="526" customFormat="1" ht="12.75" x14ac:dyDescent="0.2">
      <c r="B144" s="517" t="s">
        <v>28</v>
      </c>
      <c r="C144" s="792" t="s">
        <v>56</v>
      </c>
      <c r="D144" s="1225"/>
      <c r="E144" s="1226"/>
      <c r="F144" s="1227"/>
      <c r="G144" s="471"/>
      <c r="H144" s="471"/>
      <c r="I144" s="191"/>
      <c r="J144" s="1179"/>
      <c r="L144" s="1063">
        <v>0.2</v>
      </c>
      <c r="N144" s="1235"/>
    </row>
    <row r="145" spans="2:14" s="526" customFormat="1" ht="12.75" x14ac:dyDescent="0.2">
      <c r="B145" s="516"/>
      <c r="C145" s="244" t="s">
        <v>52</v>
      </c>
      <c r="D145" s="1191"/>
      <c r="E145" s="1192"/>
      <c r="F145" s="1193"/>
      <c r="G145" s="471"/>
      <c r="H145" s="471"/>
      <c r="I145" s="191"/>
      <c r="J145" s="1179"/>
      <c r="L145" s="1063">
        <v>0.2</v>
      </c>
      <c r="N145" s="1235"/>
    </row>
    <row r="146" spans="2:14" s="526" customFormat="1" ht="12.75" x14ac:dyDescent="0.2">
      <c r="B146" s="516"/>
      <c r="C146" s="244" t="s">
        <v>54</v>
      </c>
      <c r="D146" s="1191"/>
      <c r="E146" s="1192"/>
      <c r="F146" s="1193"/>
      <c r="G146" s="471"/>
      <c r="H146" s="471"/>
      <c r="I146" s="191"/>
      <c r="J146" s="1179"/>
      <c r="L146" s="1063">
        <v>0.2</v>
      </c>
      <c r="N146" s="1235"/>
    </row>
    <row r="147" spans="2:14" s="526" customFormat="1" ht="12.75" x14ac:dyDescent="0.2">
      <c r="B147" s="518"/>
      <c r="C147" s="793" t="s">
        <v>88</v>
      </c>
      <c r="D147" s="1228">
        <f>SUM(D144:D146)</f>
        <v>0</v>
      </c>
      <c r="E147" s="1229">
        <f>SUM(E144:E146)</f>
        <v>0</v>
      </c>
      <c r="F147" s="1230">
        <f>SUM(F144:F146)</f>
        <v>0</v>
      </c>
      <c r="G147" s="471"/>
      <c r="H147" s="471"/>
      <c r="I147" s="191"/>
      <c r="J147" s="1180"/>
      <c r="L147" s="1063">
        <v>0.2</v>
      </c>
      <c r="N147" s="1235"/>
    </row>
    <row r="148" spans="2:14" s="526" customFormat="1" ht="12.75" x14ac:dyDescent="0.2">
      <c r="B148" s="517" t="s">
        <v>22</v>
      </c>
      <c r="C148" s="792" t="s">
        <v>61</v>
      </c>
      <c r="D148" s="1191"/>
      <c r="E148" s="1192"/>
      <c r="F148" s="1193"/>
      <c r="G148" s="471"/>
      <c r="H148" s="471"/>
      <c r="I148" s="191"/>
      <c r="J148" s="1180"/>
      <c r="L148" s="1063">
        <v>0.2</v>
      </c>
      <c r="N148" s="1235"/>
    </row>
    <row r="149" spans="2:14" s="526" customFormat="1" ht="12.75" x14ac:dyDescent="0.2">
      <c r="B149" s="516"/>
      <c r="C149" s="244" t="s">
        <v>63</v>
      </c>
      <c r="D149" s="1191"/>
      <c r="E149" s="1192"/>
      <c r="F149" s="1193"/>
      <c r="G149" s="471"/>
      <c r="H149" s="471"/>
      <c r="I149" s="99"/>
      <c r="J149" s="471"/>
      <c r="L149" s="1063">
        <v>0.2</v>
      </c>
      <c r="N149" s="1235"/>
    </row>
    <row r="150" spans="2:14" s="526" customFormat="1" ht="12.75" x14ac:dyDescent="0.2">
      <c r="B150" s="516"/>
      <c r="C150" s="244" t="s">
        <v>67</v>
      </c>
      <c r="D150" s="1191"/>
      <c r="E150" s="1192"/>
      <c r="F150" s="1193"/>
      <c r="G150" s="471"/>
      <c r="H150" s="471"/>
      <c r="I150" s="99"/>
      <c r="J150" s="471"/>
      <c r="L150" s="1063">
        <v>0.2</v>
      </c>
      <c r="N150" s="1235"/>
    </row>
    <row r="151" spans="2:14" s="526" customFormat="1" ht="12.75" x14ac:dyDescent="0.2">
      <c r="B151" s="516"/>
      <c r="C151" s="244" t="s">
        <v>65</v>
      </c>
      <c r="D151" s="1191"/>
      <c r="E151" s="1192"/>
      <c r="F151" s="1193"/>
      <c r="G151" s="471"/>
      <c r="H151" s="471"/>
      <c r="I151" s="471"/>
      <c r="J151" s="471"/>
      <c r="L151" s="1063">
        <v>0.2</v>
      </c>
      <c r="N151" s="1235"/>
    </row>
    <row r="152" spans="2:14" s="526" customFormat="1" ht="12.75" x14ac:dyDescent="0.2">
      <c r="B152" s="516"/>
      <c r="C152" s="244" t="s">
        <v>1</v>
      </c>
      <c r="D152" s="1191"/>
      <c r="E152" s="1192"/>
      <c r="F152" s="1193"/>
      <c r="G152" s="471"/>
      <c r="H152" s="471"/>
      <c r="I152" s="471"/>
      <c r="J152" s="471"/>
      <c r="L152" s="1063">
        <v>0.2</v>
      </c>
      <c r="N152" s="1235"/>
    </row>
    <row r="153" spans="2:14" s="526" customFormat="1" ht="12.75" x14ac:dyDescent="0.2">
      <c r="B153" s="518"/>
      <c r="C153" s="793" t="s">
        <v>88</v>
      </c>
      <c r="D153" s="1194">
        <f>SUM(D148:D152)</f>
        <v>0</v>
      </c>
      <c r="E153" s="1195">
        <f>SUM(E148:E152)</f>
        <v>0</v>
      </c>
      <c r="F153" s="1196">
        <f>SUM(F148:F152)</f>
        <v>0</v>
      </c>
      <c r="G153" s="471"/>
      <c r="H153" s="471"/>
      <c r="I153" s="99"/>
      <c r="J153" s="11"/>
      <c r="L153" s="1063">
        <v>0.2</v>
      </c>
      <c r="N153" s="1235"/>
    </row>
    <row r="154" spans="2:14" s="526" customFormat="1" ht="12.75" x14ac:dyDescent="0.2">
      <c r="B154" s="516" t="s">
        <v>20</v>
      </c>
      <c r="C154" s="244" t="s">
        <v>74</v>
      </c>
      <c r="D154" s="1225"/>
      <c r="E154" s="1226"/>
      <c r="F154" s="1227"/>
      <c r="G154" s="471"/>
      <c r="H154" s="471"/>
      <c r="I154" s="99"/>
      <c r="J154" s="11"/>
      <c r="L154" s="1063">
        <v>0.2</v>
      </c>
      <c r="N154" s="1235"/>
    </row>
    <row r="155" spans="2:14" s="526" customFormat="1" ht="12.75" x14ac:dyDescent="0.2">
      <c r="B155" s="516"/>
      <c r="C155" s="244" t="s">
        <v>89</v>
      </c>
      <c r="D155" s="1191"/>
      <c r="E155" s="1192"/>
      <c r="F155" s="1193"/>
      <c r="G155" s="471"/>
      <c r="H155" s="471"/>
      <c r="I155" s="99"/>
      <c r="J155" s="11"/>
      <c r="L155" s="1063">
        <v>0.2</v>
      </c>
      <c r="N155" s="1235"/>
    </row>
    <row r="156" spans="2:14" s="526" customFormat="1" ht="12.75" x14ac:dyDescent="0.2">
      <c r="B156" s="516"/>
      <c r="C156" s="244" t="s">
        <v>76</v>
      </c>
      <c r="D156" s="1191"/>
      <c r="E156" s="1192"/>
      <c r="F156" s="1193"/>
      <c r="G156" s="471"/>
      <c r="H156" s="471"/>
      <c r="I156" s="99"/>
      <c r="J156" s="11"/>
      <c r="L156" s="1063">
        <v>0.2</v>
      </c>
      <c r="N156" s="1235"/>
    </row>
    <row r="157" spans="2:14" s="526" customFormat="1" ht="12.75" x14ac:dyDescent="0.2">
      <c r="B157" s="516"/>
      <c r="C157" s="244" t="s">
        <v>79</v>
      </c>
      <c r="D157" s="1191"/>
      <c r="E157" s="1192"/>
      <c r="F157" s="1193"/>
      <c r="G157" s="471"/>
      <c r="H157" s="471"/>
      <c r="I157" s="99"/>
      <c r="J157" s="11"/>
      <c r="L157" s="1063">
        <v>0.2</v>
      </c>
      <c r="N157" s="1235"/>
    </row>
    <row r="158" spans="2:14" s="526" customFormat="1" ht="12.75" x14ac:dyDescent="0.2">
      <c r="B158" s="516"/>
      <c r="C158" s="514" t="s">
        <v>88</v>
      </c>
      <c r="D158" s="1228">
        <f>SUM(D154:D157)</f>
        <v>0</v>
      </c>
      <c r="E158" s="1229">
        <f>SUM(E154:E157)</f>
        <v>0</v>
      </c>
      <c r="F158" s="1230">
        <f>SUM(F154:F157)</f>
        <v>0</v>
      </c>
      <c r="G158" s="471"/>
      <c r="H158" s="471"/>
      <c r="I158" s="99"/>
      <c r="J158" s="11"/>
      <c r="L158" s="1063">
        <v>0.2</v>
      </c>
      <c r="N158" s="1235"/>
    </row>
    <row r="159" spans="2:14" s="526" customFormat="1" ht="12.75" x14ac:dyDescent="0.2">
      <c r="B159" s="517" t="s">
        <v>32</v>
      </c>
      <c r="C159" s="792" t="s">
        <v>90</v>
      </c>
      <c r="D159" s="1191"/>
      <c r="E159" s="1192"/>
      <c r="F159" s="1193"/>
      <c r="G159" s="471"/>
      <c r="H159" s="471"/>
      <c r="I159" s="99"/>
      <c r="J159" s="11"/>
      <c r="L159" s="1063">
        <v>0.2</v>
      </c>
      <c r="N159" s="1235"/>
    </row>
    <row r="160" spans="2:14" s="526" customFormat="1" ht="12.75" x14ac:dyDescent="0.2">
      <c r="B160" s="516"/>
      <c r="C160" s="244" t="s">
        <v>91</v>
      </c>
      <c r="D160" s="1191"/>
      <c r="E160" s="1192"/>
      <c r="F160" s="1193"/>
      <c r="G160" s="471"/>
      <c r="H160" s="471"/>
      <c r="I160" s="99"/>
      <c r="J160" s="11"/>
      <c r="L160" s="1063">
        <v>0.2</v>
      </c>
      <c r="N160" s="1235"/>
    </row>
    <row r="161" spans="2:14" s="526" customFormat="1" ht="12.75" x14ac:dyDescent="0.2">
      <c r="B161" s="516"/>
      <c r="C161" s="244" t="s">
        <v>92</v>
      </c>
      <c r="D161" s="1191"/>
      <c r="E161" s="1192"/>
      <c r="F161" s="1193"/>
      <c r="G161" s="471"/>
      <c r="H161" s="471"/>
      <c r="I161" s="99"/>
      <c r="J161" s="11"/>
      <c r="L161" s="1063">
        <v>0.2</v>
      </c>
      <c r="N161" s="1235"/>
    </row>
    <row r="162" spans="2:14" s="526" customFormat="1" ht="12.75" x14ac:dyDescent="0.2">
      <c r="B162" s="516"/>
      <c r="C162" s="244" t="s">
        <v>93</v>
      </c>
      <c r="D162" s="1191"/>
      <c r="E162" s="1192"/>
      <c r="F162" s="1193"/>
      <c r="G162" s="471"/>
      <c r="H162" s="471"/>
      <c r="I162" s="99"/>
      <c r="J162" s="11"/>
      <c r="L162" s="1063">
        <v>0.2</v>
      </c>
      <c r="N162" s="1235"/>
    </row>
    <row r="163" spans="2:14" s="526" customFormat="1" ht="12.75" x14ac:dyDescent="0.2">
      <c r="B163" s="516"/>
      <c r="C163" s="244" t="s">
        <v>94</v>
      </c>
      <c r="D163" s="1191"/>
      <c r="E163" s="1192"/>
      <c r="F163" s="1193"/>
      <c r="G163" s="471"/>
      <c r="H163" s="471"/>
      <c r="I163" s="99"/>
      <c r="J163" s="11"/>
      <c r="L163" s="1063">
        <v>0.2</v>
      </c>
      <c r="N163" s="1235"/>
    </row>
    <row r="164" spans="2:14" s="526" customFormat="1" ht="12.75" x14ac:dyDescent="0.2">
      <c r="B164" s="516"/>
      <c r="C164" s="244" t="s">
        <v>95</v>
      </c>
      <c r="D164" s="1191"/>
      <c r="E164" s="1192"/>
      <c r="F164" s="1193"/>
      <c r="G164" s="471"/>
      <c r="H164" s="471"/>
      <c r="I164" s="99"/>
      <c r="J164" s="11"/>
      <c r="L164" s="1063">
        <v>0.2</v>
      </c>
      <c r="N164" s="1235"/>
    </row>
    <row r="165" spans="2:14" s="526" customFormat="1" ht="12.75" x14ac:dyDescent="0.2">
      <c r="B165" s="516"/>
      <c r="C165" s="244" t="s">
        <v>96</v>
      </c>
      <c r="D165" s="1191"/>
      <c r="E165" s="1192"/>
      <c r="F165" s="1193"/>
      <c r="G165" s="471"/>
      <c r="H165" s="471"/>
      <c r="I165" s="99"/>
      <c r="J165" s="11"/>
      <c r="L165" s="1063">
        <v>0.2</v>
      </c>
      <c r="N165" s="1235"/>
    </row>
    <row r="166" spans="2:14" s="526" customFormat="1" ht="12.75" x14ac:dyDescent="0.2">
      <c r="B166" s="518"/>
      <c r="C166" s="793" t="s">
        <v>88</v>
      </c>
      <c r="D166" s="1194">
        <f>SUM(D159:D165)</f>
        <v>0</v>
      </c>
      <c r="E166" s="1195">
        <f>SUM(E159:E165)</f>
        <v>0</v>
      </c>
      <c r="F166" s="1196">
        <f>SUM(F159:F165)</f>
        <v>0</v>
      </c>
      <c r="G166" s="471"/>
      <c r="H166" s="471"/>
      <c r="I166" s="99"/>
      <c r="J166" s="11"/>
      <c r="L166" s="1063">
        <v>0.2</v>
      </c>
      <c r="N166" s="1235"/>
    </row>
    <row r="167" spans="2:14" s="526" customFormat="1" ht="12.75" x14ac:dyDescent="0.2">
      <c r="B167" s="516" t="s">
        <v>30</v>
      </c>
      <c r="C167" s="244" t="s">
        <v>30</v>
      </c>
      <c r="D167" s="1231"/>
      <c r="E167" s="1232"/>
      <c r="F167" s="1233"/>
      <c r="G167" s="471"/>
      <c r="H167" s="471"/>
      <c r="I167" s="99"/>
      <c r="J167" s="11"/>
      <c r="L167" s="1063">
        <v>0.2</v>
      </c>
      <c r="N167" s="1235"/>
    </row>
    <row r="168" spans="2:14" s="526" customFormat="1" ht="12.75" x14ac:dyDescent="0.2">
      <c r="B168" s="517" t="s">
        <v>27</v>
      </c>
      <c r="C168" s="792" t="s">
        <v>83</v>
      </c>
      <c r="D168" s="1225"/>
      <c r="E168" s="1226"/>
      <c r="F168" s="1227"/>
      <c r="G168" s="471"/>
      <c r="H168" s="471"/>
      <c r="I168" s="99"/>
      <c r="J168" s="11"/>
      <c r="L168" s="1063">
        <v>0.2</v>
      </c>
      <c r="N168" s="1235"/>
    </row>
    <row r="169" spans="2:14" s="526" customFormat="1" ht="12.75" x14ac:dyDescent="0.2">
      <c r="B169" s="516"/>
      <c r="C169" s="244" t="s">
        <v>80</v>
      </c>
      <c r="D169" s="1191"/>
      <c r="E169" s="1192"/>
      <c r="F169" s="1193"/>
      <c r="G169" s="471"/>
      <c r="H169" s="471"/>
      <c r="I169" s="99"/>
      <c r="J169" s="11"/>
      <c r="L169" s="1063">
        <v>0.2</v>
      </c>
      <c r="N169" s="1235"/>
    </row>
    <row r="170" spans="2:14" s="526" customFormat="1" ht="12.75" x14ac:dyDescent="0.2">
      <c r="B170" s="518"/>
      <c r="C170" s="793" t="s">
        <v>88</v>
      </c>
      <c r="D170" s="1228">
        <f>SUM(D168:D169)</f>
        <v>0</v>
      </c>
      <c r="E170" s="1229">
        <f>SUM(E168:E169)</f>
        <v>0</v>
      </c>
      <c r="F170" s="1230">
        <f>SUM(F168:F169)</f>
        <v>0</v>
      </c>
      <c r="G170" s="471"/>
      <c r="H170" s="471"/>
      <c r="I170" s="99"/>
      <c r="J170" s="11"/>
      <c r="L170" s="1063">
        <v>0.2</v>
      </c>
      <c r="N170" s="1235"/>
    </row>
    <row r="171" spans="2:14" s="526" customFormat="1" ht="12.75" x14ac:dyDescent="0.2">
      <c r="B171" s="519"/>
      <c r="C171" s="244" t="s">
        <v>98</v>
      </c>
      <c r="D171" s="1222"/>
      <c r="E171" s="1223"/>
      <c r="F171" s="1224"/>
      <c r="G171" s="471"/>
      <c r="H171" s="471"/>
      <c r="I171" s="99"/>
      <c r="J171" s="11"/>
      <c r="L171" s="145"/>
      <c r="N171" s="1235"/>
    </row>
    <row r="172" spans="2:14" s="526" customFormat="1" ht="12.75" x14ac:dyDescent="0.2">
      <c r="B172" s="188"/>
      <c r="C172" s="188"/>
      <c r="D172" s="188"/>
      <c r="E172" s="471"/>
      <c r="F172" s="471"/>
      <c r="G172" s="471"/>
      <c r="H172" s="471"/>
      <c r="I172" s="99"/>
      <c r="J172" s="11"/>
      <c r="L172" s="1063"/>
      <c r="N172" s="1235"/>
    </row>
    <row r="173" spans="2:14" s="526" customFormat="1" ht="12.75" x14ac:dyDescent="0.2">
      <c r="B173" s="88"/>
      <c r="C173" s="88"/>
      <c r="D173" s="88"/>
      <c r="E173" s="88"/>
      <c r="F173" s="88"/>
      <c r="G173" s="88"/>
      <c r="H173" s="88"/>
      <c r="I173" s="88"/>
      <c r="J173" s="88"/>
      <c r="L173" s="145"/>
      <c r="N173" s="1235"/>
    </row>
    <row r="174" spans="2:14" s="526" customFormat="1" ht="12.75" x14ac:dyDescent="0.2">
      <c r="B174" s="1197"/>
      <c r="C174" s="187"/>
      <c r="D174" s="88"/>
      <c r="E174" s="91" t="s">
        <v>17</v>
      </c>
      <c r="F174" s="88"/>
      <c r="G174" s="88"/>
      <c r="H174" s="88"/>
      <c r="I174" s="759" t="s">
        <v>393</v>
      </c>
      <c r="J174" s="2612" t="s">
        <v>718</v>
      </c>
      <c r="L174" s="145"/>
      <c r="N174" s="1235"/>
    </row>
    <row r="175" spans="2:14" s="526" customFormat="1" ht="12.75" x14ac:dyDescent="0.2">
      <c r="B175" s="88"/>
      <c r="C175" s="111" t="s">
        <v>61</v>
      </c>
      <c r="D175" s="88"/>
      <c r="E175" s="1198"/>
      <c r="F175" s="88"/>
      <c r="G175" s="88"/>
      <c r="H175" s="88"/>
      <c r="I175" s="375"/>
      <c r="J175" s="2614"/>
      <c r="L175" s="1063">
        <v>0.2</v>
      </c>
      <c r="N175" s="1235"/>
    </row>
    <row r="176" spans="2:14" s="526" customFormat="1" ht="12.75" x14ac:dyDescent="0.2">
      <c r="B176" s="88"/>
      <c r="C176" s="111"/>
      <c r="D176" s="88"/>
      <c r="E176" s="1199"/>
      <c r="F176" s="88"/>
      <c r="G176" s="88"/>
      <c r="H176" s="88"/>
      <c r="I176" s="114" t="s">
        <v>100</v>
      </c>
      <c r="J176" s="94" t="s">
        <v>102</v>
      </c>
      <c r="L176" s="145"/>
      <c r="N176" s="1235"/>
    </row>
    <row r="177" spans="1:16" ht="15.75" x14ac:dyDescent="0.25">
      <c r="A177" s="52" t="s">
        <v>5</v>
      </c>
      <c r="B177" s="52"/>
      <c r="C177" s="52"/>
      <c r="D177" s="52"/>
      <c r="E177" s="52"/>
      <c r="F177" s="52"/>
      <c r="G177" s="52"/>
      <c r="H177" s="52"/>
      <c r="I177" s="52"/>
      <c r="J177" s="52"/>
      <c r="K177" s="52"/>
      <c r="L177" s="1062"/>
    </row>
    <row r="178" spans="1:16" s="526" customFormat="1" ht="12.75" x14ac:dyDescent="0.2">
      <c r="B178" s="11"/>
      <c r="C178" s="474">
        <v>241590.04</v>
      </c>
      <c r="D178" s="1089"/>
      <c r="E178" s="1089"/>
      <c r="F178" s="11"/>
      <c r="G178" s="11"/>
      <c r="H178" s="11"/>
      <c r="I178" s="113" t="s">
        <v>104</v>
      </c>
      <c r="J178" s="37" t="s">
        <v>808</v>
      </c>
      <c r="L178" s="1063">
        <v>0.2</v>
      </c>
      <c r="N178" s="1235"/>
    </row>
    <row r="179" spans="1:16" s="526" customFormat="1" ht="12.75" x14ac:dyDescent="0.2">
      <c r="B179" s="11"/>
      <c r="C179" s="191"/>
      <c r="D179" s="1089"/>
      <c r="E179" s="1089"/>
      <c r="F179" s="11"/>
      <c r="G179" s="11"/>
      <c r="H179" s="11"/>
      <c r="I179" s="873" t="s">
        <v>100</v>
      </c>
      <c r="J179" s="37" t="s">
        <v>102</v>
      </c>
      <c r="L179" s="145"/>
      <c r="N179" s="1235"/>
    </row>
    <row r="180" spans="1:16" s="526" customFormat="1" ht="12.75" x14ac:dyDescent="0.2">
      <c r="B180" s="188"/>
      <c r="C180" s="188"/>
      <c r="D180" s="188"/>
      <c r="E180" s="188"/>
      <c r="F180" s="188"/>
      <c r="G180" s="188"/>
      <c r="H180" s="188"/>
      <c r="I180" s="188"/>
      <c r="J180" s="188"/>
      <c r="L180" s="145"/>
      <c r="N180" s="1235"/>
      <c r="P180" s="1134"/>
    </row>
    <row r="181" spans="1:16" s="526" customFormat="1" ht="12.75" x14ac:dyDescent="0.2">
      <c r="B181" s="187"/>
      <c r="C181" s="187"/>
      <c r="D181" s="187"/>
      <c r="E181" s="187"/>
      <c r="F181" s="187"/>
      <c r="G181" s="187"/>
      <c r="H181" s="187"/>
      <c r="I181" s="187"/>
      <c r="J181" s="187"/>
      <c r="L181" s="145"/>
      <c r="N181" s="1235"/>
    </row>
    <row r="182" spans="1:16" s="526" customFormat="1" ht="12.75" x14ac:dyDescent="0.2">
      <c r="B182" s="88"/>
      <c r="C182" s="479" t="s">
        <v>587</v>
      </c>
      <c r="D182" s="479" t="s">
        <v>17</v>
      </c>
      <c r="E182" s="479" t="s">
        <v>18</v>
      </c>
      <c r="F182" s="88"/>
      <c r="G182" s="88"/>
      <c r="H182" s="88"/>
      <c r="I182" s="114" t="s">
        <v>104</v>
      </c>
      <c r="J182" s="94" t="s">
        <v>816</v>
      </c>
      <c r="L182" s="145"/>
      <c r="N182" s="1235"/>
    </row>
    <row r="183" spans="1:16" s="526" customFormat="1" ht="12.75" x14ac:dyDescent="0.2">
      <c r="B183" s="476" t="s">
        <v>25</v>
      </c>
      <c r="C183" s="1525">
        <v>0</v>
      </c>
      <c r="D183" s="1526">
        <v>0</v>
      </c>
      <c r="E183" s="1527">
        <v>100</v>
      </c>
      <c r="F183" s="187"/>
      <c r="G183" s="187"/>
      <c r="H183" s="187"/>
      <c r="I183" s="114" t="s">
        <v>100</v>
      </c>
      <c r="J183" s="94" t="s">
        <v>102</v>
      </c>
      <c r="L183" s="1063">
        <v>0.2</v>
      </c>
      <c r="N183" s="1235"/>
    </row>
    <row r="184" spans="1:16" s="526" customFormat="1" ht="12.75" x14ac:dyDescent="0.2">
      <c r="B184" s="476" t="s">
        <v>56</v>
      </c>
      <c r="C184" s="1528">
        <v>62</v>
      </c>
      <c r="D184" s="1529">
        <v>0</v>
      </c>
      <c r="E184" s="1530">
        <v>5.94</v>
      </c>
      <c r="F184" s="187"/>
      <c r="G184" s="187"/>
      <c r="H184" s="187"/>
      <c r="I184" s="88"/>
      <c r="J184" s="88"/>
      <c r="L184" s="1063">
        <v>0.2</v>
      </c>
      <c r="N184" s="1235"/>
    </row>
    <row r="185" spans="1:16" s="526" customFormat="1" ht="12.75" x14ac:dyDescent="0.2">
      <c r="B185" s="476" t="s">
        <v>52</v>
      </c>
      <c r="C185" s="1528">
        <v>23</v>
      </c>
      <c r="D185" s="1529">
        <v>0</v>
      </c>
      <c r="E185" s="1530">
        <v>612.46</v>
      </c>
      <c r="F185" s="187"/>
      <c r="G185" s="187"/>
      <c r="H185" s="187"/>
      <c r="I185" s="88"/>
      <c r="J185" s="88"/>
      <c r="L185" s="1063">
        <v>0.2</v>
      </c>
      <c r="N185" s="1235"/>
    </row>
    <row r="186" spans="1:16" s="526" customFormat="1" ht="12.75" x14ac:dyDescent="0.2">
      <c r="B186" s="476" t="s">
        <v>22</v>
      </c>
      <c r="C186" s="1528">
        <v>13398.53</v>
      </c>
      <c r="D186" s="1529">
        <v>44.59</v>
      </c>
      <c r="E186" s="1530">
        <v>0</v>
      </c>
      <c r="F186" s="187"/>
      <c r="G186" s="187"/>
      <c r="H186" s="187"/>
      <c r="I186" s="88"/>
      <c r="J186" s="88"/>
      <c r="L186" s="1063">
        <v>0.2</v>
      </c>
      <c r="N186" s="1235"/>
    </row>
    <row r="187" spans="1:16" s="526" customFormat="1" ht="12.75" x14ac:dyDescent="0.2">
      <c r="B187" s="476" t="s">
        <v>74</v>
      </c>
      <c r="C187" s="1528">
        <v>1616</v>
      </c>
      <c r="D187" s="1529">
        <v>0</v>
      </c>
      <c r="E187" s="1530">
        <v>130.05000000000001</v>
      </c>
      <c r="F187" s="187"/>
      <c r="G187" s="187"/>
      <c r="H187" s="187"/>
      <c r="I187" s="88"/>
      <c r="J187" s="88"/>
      <c r="L187" s="1063">
        <v>0.2</v>
      </c>
      <c r="N187" s="1235"/>
    </row>
    <row r="188" spans="1:16" s="526" customFormat="1" ht="12.75" x14ac:dyDescent="0.2">
      <c r="B188" s="874" t="s">
        <v>538</v>
      </c>
      <c r="C188" s="1528">
        <v>93</v>
      </c>
      <c r="D188" s="1529">
        <v>0</v>
      </c>
      <c r="E188" s="1530">
        <v>0</v>
      </c>
      <c r="F188" s="187"/>
      <c r="G188" s="187"/>
      <c r="H188" s="187"/>
      <c r="I188" s="88"/>
      <c r="J188" s="88"/>
      <c r="L188" s="1063">
        <v>0.2</v>
      </c>
      <c r="N188" s="1235"/>
    </row>
    <row r="189" spans="1:16" s="526" customFormat="1" ht="12.75" x14ac:dyDescent="0.2">
      <c r="B189" s="874" t="s">
        <v>507</v>
      </c>
      <c r="C189" s="1528">
        <v>85</v>
      </c>
      <c r="D189" s="1529">
        <v>0</v>
      </c>
      <c r="E189" s="1530">
        <v>0</v>
      </c>
      <c r="F189" s="187"/>
      <c r="G189" s="187"/>
      <c r="H189" s="187"/>
      <c r="I189" s="88"/>
      <c r="J189" s="88"/>
      <c r="L189" s="1063">
        <v>0.2</v>
      </c>
      <c r="N189" s="1235"/>
    </row>
    <row r="190" spans="1:16" s="526" customFormat="1" ht="12.75" x14ac:dyDescent="0.2">
      <c r="B190" s="874" t="s">
        <v>96</v>
      </c>
      <c r="C190" s="1528">
        <v>33</v>
      </c>
      <c r="D190" s="1529">
        <v>0</v>
      </c>
      <c r="E190" s="1530">
        <v>0</v>
      </c>
      <c r="F190" s="187"/>
      <c r="G190" s="187"/>
      <c r="H190" s="187"/>
      <c r="I190" s="88"/>
      <c r="J190" s="88"/>
      <c r="L190" s="1063">
        <v>0.2</v>
      </c>
      <c r="N190" s="1235"/>
    </row>
    <row r="191" spans="1:16" s="526" customFormat="1" ht="12.75" x14ac:dyDescent="0.2">
      <c r="B191" s="476" t="s">
        <v>30</v>
      </c>
      <c r="C191" s="1528">
        <v>1329</v>
      </c>
      <c r="D191" s="1529">
        <v>0</v>
      </c>
      <c r="E191" s="1530">
        <v>0</v>
      </c>
      <c r="F191" s="187"/>
      <c r="G191" s="187"/>
      <c r="H191" s="187"/>
      <c r="I191" s="88"/>
      <c r="J191" s="88"/>
      <c r="L191" s="1063">
        <v>0.2</v>
      </c>
      <c r="N191" s="1235"/>
    </row>
    <row r="192" spans="1:16" s="526" customFormat="1" ht="12.75" x14ac:dyDescent="0.2">
      <c r="B192" s="476" t="s">
        <v>27</v>
      </c>
      <c r="C192" s="1531">
        <v>385.88</v>
      </c>
      <c r="D192" s="1532">
        <v>0</v>
      </c>
      <c r="E192" s="1533">
        <v>0</v>
      </c>
      <c r="F192" s="187"/>
      <c r="G192" s="187"/>
      <c r="H192" s="187"/>
      <c r="I192" s="88"/>
      <c r="J192" s="88"/>
      <c r="L192" s="1063">
        <v>0.2</v>
      </c>
      <c r="N192" s="1235"/>
    </row>
    <row r="193" spans="1:16" s="526" customFormat="1" ht="12.75" x14ac:dyDescent="0.2">
      <c r="B193" s="187"/>
      <c r="C193" s="187"/>
      <c r="D193" s="187"/>
      <c r="E193" s="187"/>
      <c r="F193" s="187"/>
      <c r="G193" s="187"/>
      <c r="H193" s="187"/>
      <c r="I193" s="88"/>
      <c r="J193" s="88"/>
      <c r="L193" s="145"/>
      <c r="N193" s="1235"/>
    </row>
    <row r="194" spans="1:16" s="526" customFormat="1" ht="12.75" x14ac:dyDescent="0.2">
      <c r="B194" s="471"/>
      <c r="C194" s="471"/>
      <c r="D194" s="471"/>
      <c r="E194" s="471"/>
      <c r="F194" s="471"/>
      <c r="G194" s="471"/>
      <c r="H194" s="471"/>
      <c r="I194" s="471"/>
      <c r="J194" s="471"/>
      <c r="L194" s="145"/>
      <c r="N194" s="1235"/>
    </row>
    <row r="195" spans="1:16" s="526" customFormat="1" ht="12.75" x14ac:dyDescent="0.2">
      <c r="B195" s="471"/>
      <c r="C195" s="180" t="s">
        <v>16</v>
      </c>
      <c r="D195" s="6"/>
      <c r="E195" s="6"/>
      <c r="F195" s="471"/>
      <c r="G195" s="471"/>
      <c r="H195" s="471"/>
      <c r="I195" s="1088" t="s">
        <v>104</v>
      </c>
      <c r="J195" s="366" t="s">
        <v>817</v>
      </c>
      <c r="L195" s="145"/>
      <c r="N195" s="1235"/>
    </row>
    <row r="196" spans="1:16" s="526" customFormat="1" ht="12.75" x14ac:dyDescent="0.2">
      <c r="B196" s="478" t="s">
        <v>56</v>
      </c>
      <c r="C196" s="1534">
        <v>0</v>
      </c>
      <c r="D196" s="472"/>
      <c r="E196" s="472"/>
      <c r="F196" s="471"/>
      <c r="G196" s="471"/>
      <c r="H196" s="471"/>
      <c r="I196" s="113" t="s">
        <v>100</v>
      </c>
      <c r="J196" s="37" t="s">
        <v>102</v>
      </c>
      <c r="L196" s="1063">
        <v>0.2</v>
      </c>
      <c r="N196" s="1235"/>
    </row>
    <row r="197" spans="1:16" s="526" customFormat="1" ht="12.75" x14ac:dyDescent="0.2">
      <c r="B197" s="478" t="s">
        <v>52</v>
      </c>
      <c r="C197" s="1535">
        <v>449.31599999999997</v>
      </c>
      <c r="D197" s="472"/>
      <c r="E197" s="472"/>
      <c r="F197" s="471"/>
      <c r="G197" s="471"/>
      <c r="H197" s="471"/>
      <c r="I197" s="99"/>
      <c r="J197" s="1089"/>
      <c r="L197" s="1063">
        <v>0.2</v>
      </c>
      <c r="N197" s="1235"/>
    </row>
    <row r="198" spans="1:16" s="526" customFormat="1" ht="12.75" x14ac:dyDescent="0.2">
      <c r="B198" s="875" t="s">
        <v>818</v>
      </c>
      <c r="C198" s="1535">
        <v>53.234999999999999</v>
      </c>
      <c r="D198" s="472"/>
      <c r="E198" s="472"/>
      <c r="F198" s="471"/>
      <c r="G198" s="471"/>
      <c r="H198" s="471"/>
      <c r="I198" s="99"/>
      <c r="J198" s="1089"/>
      <c r="L198" s="1063">
        <v>0.2</v>
      </c>
      <c r="N198" s="1235"/>
    </row>
    <row r="199" spans="1:16" s="526" customFormat="1" ht="12.75" x14ac:dyDescent="0.2">
      <c r="B199" s="875" t="s">
        <v>538</v>
      </c>
      <c r="C199" s="1535">
        <v>11494.82</v>
      </c>
      <c r="D199" s="472"/>
      <c r="E199" s="472"/>
      <c r="F199" s="471"/>
      <c r="G199" s="471"/>
      <c r="H199" s="471"/>
      <c r="I199" s="99"/>
      <c r="J199" s="1089"/>
      <c r="L199" s="1063">
        <v>0.2</v>
      </c>
      <c r="N199" s="1235"/>
    </row>
    <row r="200" spans="1:16" s="526" customFormat="1" ht="12.75" x14ac:dyDescent="0.2">
      <c r="B200" s="875" t="s">
        <v>507</v>
      </c>
      <c r="C200" s="1535">
        <v>121.265</v>
      </c>
      <c r="D200" s="472"/>
      <c r="E200" s="472"/>
      <c r="F200" s="471"/>
      <c r="G200" s="471"/>
      <c r="H200" s="471"/>
      <c r="I200" s="99"/>
      <c r="J200" s="1089"/>
      <c r="L200" s="1063">
        <v>0.2</v>
      </c>
      <c r="N200" s="1235"/>
    </row>
    <row r="201" spans="1:16" s="526" customFormat="1" ht="12.75" x14ac:dyDescent="0.2">
      <c r="B201" s="875" t="s">
        <v>96</v>
      </c>
      <c r="C201" s="1535">
        <v>0</v>
      </c>
      <c r="D201" s="471"/>
      <c r="E201" s="471"/>
      <c r="F201" s="471"/>
      <c r="G201" s="471"/>
      <c r="H201" s="471"/>
      <c r="I201" s="99"/>
      <c r="J201" s="1089"/>
      <c r="L201" s="1063">
        <v>0.2</v>
      </c>
      <c r="N201" s="1235"/>
    </row>
    <row r="202" spans="1:16" s="526" customFormat="1" ht="12.75" x14ac:dyDescent="0.2">
      <c r="B202" s="478" t="s">
        <v>30</v>
      </c>
      <c r="C202" s="1536">
        <v>2750.5309999999999</v>
      </c>
      <c r="D202" s="471"/>
      <c r="E202" s="471"/>
      <c r="F202" s="471"/>
      <c r="G202" s="471"/>
      <c r="H202" s="471"/>
      <c r="I202" s="99"/>
      <c r="J202" s="1089"/>
      <c r="L202" s="1063">
        <v>0.2</v>
      </c>
      <c r="N202" s="1235"/>
    </row>
    <row r="203" spans="1:16" s="526" customFormat="1" ht="12.75" x14ac:dyDescent="0.2">
      <c r="B203" s="471"/>
      <c r="C203" s="471"/>
      <c r="D203" s="471"/>
      <c r="E203" s="471"/>
      <c r="F203" s="471"/>
      <c r="G203" s="471"/>
      <c r="H203" s="471"/>
      <c r="I203" s="99"/>
      <c r="J203" s="1089"/>
      <c r="L203" s="145"/>
      <c r="N203" s="1235"/>
    </row>
    <row r="204" spans="1:16" ht="15.75" x14ac:dyDescent="0.25">
      <c r="A204" s="52" t="s">
        <v>6</v>
      </c>
      <c r="B204" s="52"/>
      <c r="C204" s="52"/>
      <c r="D204" s="52"/>
      <c r="E204" s="52"/>
      <c r="F204" s="52"/>
      <c r="G204" s="52"/>
      <c r="H204" s="52"/>
      <c r="I204" s="52"/>
      <c r="J204" s="52"/>
      <c r="K204" s="52"/>
      <c r="L204" s="1062"/>
    </row>
    <row r="205" spans="1:16" s="526" customFormat="1" ht="12.75" x14ac:dyDescent="0.2">
      <c r="A205" s="11"/>
      <c r="B205" s="11"/>
      <c r="C205" s="24" t="s">
        <v>16</v>
      </c>
      <c r="D205" s="24" t="s">
        <v>17</v>
      </c>
      <c r="E205" s="24" t="s">
        <v>18</v>
      </c>
      <c r="F205" s="11"/>
      <c r="G205" s="11"/>
      <c r="H205" s="11"/>
      <c r="I205" s="113" t="s">
        <v>104</v>
      </c>
      <c r="J205" s="37" t="s">
        <v>753</v>
      </c>
      <c r="L205" s="145"/>
      <c r="N205" s="1235"/>
    </row>
    <row r="206" spans="1:16" s="526" customFormat="1" ht="12.75" x14ac:dyDescent="0.2">
      <c r="A206" s="11"/>
      <c r="B206" s="11"/>
      <c r="C206" s="1325">
        <v>1713915</v>
      </c>
      <c r="D206" s="1326">
        <v>1494262</v>
      </c>
      <c r="E206" s="1327">
        <v>1586127</v>
      </c>
      <c r="F206" s="11"/>
      <c r="G206" s="11"/>
      <c r="H206" s="11"/>
      <c r="I206" s="113" t="s">
        <v>100</v>
      </c>
      <c r="J206" s="37" t="s">
        <v>102</v>
      </c>
      <c r="L206" s="1063">
        <v>0.2</v>
      </c>
      <c r="N206" s="1235"/>
    </row>
    <row r="207" spans="1:16" s="526" customFormat="1" ht="12.75" x14ac:dyDescent="0.2">
      <c r="A207" s="1089"/>
      <c r="B207" s="1089"/>
      <c r="C207" s="1089"/>
      <c r="D207" s="1089"/>
      <c r="E207" s="1089"/>
      <c r="F207" s="1089"/>
      <c r="G207" s="11"/>
      <c r="H207" s="11"/>
      <c r="I207" s="11"/>
      <c r="J207" s="11"/>
      <c r="K207" s="11"/>
      <c r="L207" s="11"/>
      <c r="N207" s="1235"/>
    </row>
    <row r="208" spans="1:16" s="526" customFormat="1" ht="12.75" x14ac:dyDescent="0.2">
      <c r="A208" s="1089"/>
      <c r="B208" s="488" t="s">
        <v>869</v>
      </c>
      <c r="C208" s="1089"/>
      <c r="D208" s="1580">
        <v>3933717</v>
      </c>
      <c r="E208" s="1089"/>
      <c r="F208" s="1089"/>
      <c r="G208" s="11"/>
      <c r="H208" s="11"/>
      <c r="I208" s="11"/>
      <c r="J208" s="11"/>
      <c r="K208" s="11"/>
      <c r="L208" s="1063">
        <v>0.2</v>
      </c>
      <c r="N208" s="1235"/>
      <c r="P208" s="1134"/>
    </row>
    <row r="209" spans="1:14" s="526" customFormat="1" ht="12.75" x14ac:dyDescent="0.2">
      <c r="A209" s="11"/>
      <c r="B209" s="11"/>
      <c r="C209" s="11"/>
      <c r="D209" s="11"/>
      <c r="E209" s="11"/>
      <c r="F209" s="11"/>
      <c r="G209" s="11"/>
      <c r="H209" s="11"/>
      <c r="K209" s="11"/>
      <c r="L209" s="11"/>
      <c r="N209" s="1235"/>
    </row>
    <row r="210" spans="1:14" s="526" customFormat="1" ht="12.75" x14ac:dyDescent="0.2">
      <c r="A210" s="11"/>
      <c r="B210" s="11"/>
      <c r="C210" s="1325">
        <v>47316</v>
      </c>
      <c r="D210" s="1326">
        <v>35750</v>
      </c>
      <c r="E210" s="1327">
        <v>374798</v>
      </c>
      <c r="F210" s="11"/>
      <c r="G210" s="11"/>
      <c r="H210" s="11"/>
      <c r="I210" s="113" t="s">
        <v>104</v>
      </c>
      <c r="J210" s="37" t="s">
        <v>988</v>
      </c>
      <c r="K210" s="11"/>
      <c r="L210" s="1063">
        <v>0.2</v>
      </c>
      <c r="N210" s="1235"/>
    </row>
    <row r="211" spans="1:14" s="526" customFormat="1" ht="12.75" x14ac:dyDescent="0.2">
      <c r="A211" s="11"/>
      <c r="B211" s="11"/>
      <c r="C211" s="11"/>
      <c r="D211" s="11"/>
      <c r="E211" s="11"/>
      <c r="F211" s="11"/>
      <c r="G211" s="11"/>
      <c r="H211" s="11"/>
      <c r="I211" s="113" t="s">
        <v>100</v>
      </c>
      <c r="J211" s="1581" t="s">
        <v>102</v>
      </c>
      <c r="K211" s="11"/>
      <c r="L211" s="11"/>
      <c r="N211" s="1235"/>
    </row>
    <row r="212" spans="1:14" s="526" customFormat="1" ht="12.75" x14ac:dyDescent="0.2">
      <c r="A212" s="11"/>
      <c r="B212" s="11"/>
      <c r="C212" s="11"/>
      <c r="D212" s="11"/>
      <c r="E212" s="11"/>
      <c r="F212" s="11"/>
      <c r="G212" s="11"/>
      <c r="H212" s="11"/>
      <c r="I212" s="11"/>
      <c r="J212" s="11"/>
      <c r="K212" s="11"/>
      <c r="L212" s="11"/>
      <c r="N212" s="1235"/>
    </row>
    <row r="213" spans="1:14" s="526" customFormat="1" ht="12.75" x14ac:dyDescent="0.2">
      <c r="A213" s="1089"/>
      <c r="B213" s="1596" t="s">
        <v>993</v>
      </c>
      <c r="C213" s="1091"/>
      <c r="D213" s="1091"/>
      <c r="E213" s="1091"/>
      <c r="F213" s="1091"/>
      <c r="G213" s="1091"/>
      <c r="H213" s="1091"/>
      <c r="I213" s="1091"/>
      <c r="J213" s="1091"/>
      <c r="L213" s="145"/>
      <c r="N213" s="1235"/>
    </row>
    <row r="214" spans="1:14" s="526" customFormat="1" ht="12.75" x14ac:dyDescent="0.2">
      <c r="A214" s="1089"/>
      <c r="B214" s="1091"/>
      <c r="C214" s="91" t="s">
        <v>16</v>
      </c>
      <c r="D214" s="91" t="s">
        <v>17</v>
      </c>
      <c r="E214" s="91" t="s">
        <v>18</v>
      </c>
      <c r="F214" s="1091"/>
      <c r="G214" s="1091"/>
      <c r="H214" s="1091"/>
      <c r="I214" s="114" t="s">
        <v>104</v>
      </c>
      <c r="J214" s="94" t="s">
        <v>761</v>
      </c>
      <c r="L214" s="145"/>
      <c r="N214" s="1235"/>
    </row>
    <row r="215" spans="1:14" s="526" customFormat="1" ht="12.75" x14ac:dyDescent="0.2">
      <c r="A215" s="1089"/>
      <c r="B215" s="639"/>
      <c r="C215" s="506">
        <v>10343</v>
      </c>
      <c r="D215" s="1119">
        <v>20104</v>
      </c>
      <c r="E215" s="1120">
        <v>153</v>
      </c>
      <c r="F215" s="1091"/>
      <c r="G215" s="1091"/>
      <c r="H215" s="1091"/>
      <c r="I215" s="114" t="s">
        <v>100</v>
      </c>
      <c r="J215" s="94" t="s">
        <v>102</v>
      </c>
      <c r="L215" s="1063">
        <v>0.2</v>
      </c>
      <c r="N215" s="1235"/>
    </row>
    <row r="216" spans="1:14" s="526" customFormat="1" ht="12.75" x14ac:dyDescent="0.2">
      <c r="A216" s="1089"/>
      <c r="B216" s="1091"/>
      <c r="C216" s="1091"/>
      <c r="D216" s="1091"/>
      <c r="E216" s="1091"/>
      <c r="F216" s="1091"/>
      <c r="G216" s="1091"/>
      <c r="H216" s="1091"/>
      <c r="I216" s="1091"/>
      <c r="J216" s="1091"/>
      <c r="L216" s="145"/>
      <c r="N216" s="1235"/>
    </row>
    <row r="217" spans="1:14" s="526" customFormat="1" ht="12.75" x14ac:dyDescent="0.2">
      <c r="A217" s="188"/>
      <c r="B217" s="188"/>
      <c r="C217" s="188"/>
      <c r="D217" s="188"/>
      <c r="E217" s="188"/>
      <c r="F217" s="188"/>
      <c r="G217" s="188"/>
      <c r="H217" s="188"/>
      <c r="L217" s="145"/>
      <c r="N217" s="1235"/>
    </row>
    <row r="218" spans="1:14" s="526" customFormat="1" ht="12.75" customHeight="1" x14ac:dyDescent="0.2">
      <c r="A218" s="11"/>
      <c r="B218" s="1121" t="s">
        <v>25</v>
      </c>
      <c r="C218" s="1584">
        <v>882100</v>
      </c>
      <c r="D218" s="188"/>
      <c r="E218" s="188"/>
      <c r="F218" s="188"/>
      <c r="G218" s="11"/>
      <c r="H218" s="11"/>
      <c r="I218" s="1088" t="s">
        <v>104</v>
      </c>
      <c r="J218" s="2586" t="s">
        <v>739</v>
      </c>
      <c r="L218" s="1063">
        <v>0.2</v>
      </c>
      <c r="N218" s="1235"/>
    </row>
    <row r="219" spans="1:14" s="526" customFormat="1" ht="12.75" x14ac:dyDescent="0.2">
      <c r="A219" s="188"/>
      <c r="B219" s="1121" t="s">
        <v>28</v>
      </c>
      <c r="C219" s="1585">
        <v>833901</v>
      </c>
      <c r="D219" s="188"/>
      <c r="E219" s="188"/>
      <c r="F219" s="188"/>
      <c r="G219" s="188"/>
      <c r="H219" s="188"/>
      <c r="I219" s="236"/>
      <c r="J219" s="2587"/>
      <c r="L219" s="1063">
        <v>0.2</v>
      </c>
      <c r="N219" s="1235"/>
    </row>
    <row r="220" spans="1:14" s="526" customFormat="1" ht="12.75" x14ac:dyDescent="0.2">
      <c r="A220" s="471"/>
      <c r="B220" s="1582" t="s">
        <v>61</v>
      </c>
      <c r="C220" s="1585">
        <v>37786</v>
      </c>
      <c r="D220" s="188"/>
      <c r="E220" s="188"/>
      <c r="F220" s="188"/>
      <c r="G220" s="471"/>
      <c r="H220" s="471"/>
      <c r="I220" s="236"/>
      <c r="J220" s="2587"/>
      <c r="L220" s="1063">
        <v>0.2</v>
      </c>
      <c r="N220" s="1235"/>
    </row>
    <row r="221" spans="1:14" s="526" customFormat="1" ht="12.75" x14ac:dyDescent="0.2">
      <c r="A221" s="471"/>
      <c r="B221" s="1582" t="s">
        <v>63</v>
      </c>
      <c r="C221" s="1585">
        <v>748626</v>
      </c>
      <c r="D221" s="188"/>
      <c r="E221" s="188"/>
      <c r="F221" s="188"/>
      <c r="G221" s="471"/>
      <c r="H221" s="471"/>
      <c r="I221" s="113" t="s">
        <v>100</v>
      </c>
      <c r="J221" s="37" t="s">
        <v>102</v>
      </c>
      <c r="L221" s="1063">
        <v>0.2</v>
      </c>
      <c r="N221" s="1235"/>
    </row>
    <row r="222" spans="1:14" s="526" customFormat="1" ht="12.75" x14ac:dyDescent="0.2">
      <c r="A222" s="471"/>
      <c r="B222" s="1582" t="s">
        <v>67</v>
      </c>
      <c r="C222" s="1585">
        <v>103083</v>
      </c>
      <c r="D222" s="188"/>
      <c r="E222" s="188"/>
      <c r="F222" s="188"/>
      <c r="G222" s="471"/>
      <c r="H222" s="471"/>
      <c r="I222" s="1485"/>
      <c r="J222" s="772"/>
      <c r="L222" s="1063">
        <v>0.2</v>
      </c>
      <c r="N222" s="1235"/>
    </row>
    <row r="223" spans="1:14" s="526" customFormat="1" ht="12.75" x14ac:dyDescent="0.2">
      <c r="A223" s="471"/>
      <c r="B223" s="1582" t="s">
        <v>65</v>
      </c>
      <c r="C223" s="1585">
        <v>26848</v>
      </c>
      <c r="D223" s="188"/>
      <c r="E223" s="188"/>
      <c r="F223" s="188"/>
      <c r="G223" s="471"/>
      <c r="H223" s="471"/>
      <c r="I223" s="191"/>
      <c r="J223" s="11"/>
      <c r="L223" s="1063">
        <v>0.2</v>
      </c>
      <c r="N223" s="1235"/>
    </row>
    <row r="224" spans="1:14" s="526" customFormat="1" ht="12.75" x14ac:dyDescent="0.2">
      <c r="A224" s="471"/>
      <c r="B224" s="1583" t="s">
        <v>22</v>
      </c>
      <c r="C224" s="1585"/>
      <c r="D224" s="188"/>
      <c r="E224" s="188"/>
      <c r="F224" s="188"/>
      <c r="G224" s="471"/>
      <c r="H224" s="471"/>
      <c r="I224" s="191"/>
      <c r="J224" s="11"/>
      <c r="L224" s="1063"/>
      <c r="N224" s="1235"/>
    </row>
    <row r="225" spans="1:14" s="526" customFormat="1" ht="12.75" x14ac:dyDescent="0.2">
      <c r="A225" s="188"/>
      <c r="B225" s="1121" t="s">
        <v>20</v>
      </c>
      <c r="C225" s="1585">
        <v>660974</v>
      </c>
      <c r="D225" s="188"/>
      <c r="E225" s="188"/>
      <c r="F225" s="188"/>
      <c r="G225" s="188"/>
      <c r="H225" s="188"/>
      <c r="I225" s="472"/>
      <c r="J225" s="11"/>
      <c r="L225" s="1063">
        <v>0.2</v>
      </c>
      <c r="N225" s="1235"/>
    </row>
    <row r="226" spans="1:14" s="526" customFormat="1" ht="12.75" x14ac:dyDescent="0.2">
      <c r="A226" s="471"/>
      <c r="B226" s="1121" t="s">
        <v>30</v>
      </c>
      <c r="C226" s="1585">
        <v>86872</v>
      </c>
      <c r="D226" s="188"/>
      <c r="E226" s="188"/>
      <c r="F226" s="188"/>
      <c r="G226" s="471"/>
      <c r="H226" s="471"/>
      <c r="I226" s="99"/>
      <c r="J226" s="11"/>
      <c r="L226" s="1063">
        <v>0.2</v>
      </c>
      <c r="N226" s="1235"/>
    </row>
    <row r="227" spans="1:14" s="526" customFormat="1" ht="12.75" x14ac:dyDescent="0.2">
      <c r="A227" s="471"/>
      <c r="B227" s="1583" t="s">
        <v>83</v>
      </c>
      <c r="C227" s="1585"/>
      <c r="D227" s="188"/>
      <c r="E227" s="188"/>
      <c r="F227" s="188"/>
      <c r="G227" s="471"/>
      <c r="H227" s="471"/>
      <c r="I227" s="99"/>
      <c r="J227" s="11"/>
      <c r="L227" s="1063">
        <v>0.2</v>
      </c>
      <c r="N227" s="1235"/>
    </row>
    <row r="228" spans="1:14" s="526" customFormat="1" ht="12.75" x14ac:dyDescent="0.2">
      <c r="A228" s="471"/>
      <c r="B228" s="244" t="s">
        <v>568</v>
      </c>
      <c r="C228" s="1586"/>
      <c r="D228" s="188"/>
      <c r="E228" s="1122"/>
      <c r="F228" s="188"/>
      <c r="G228" s="471"/>
      <c r="H228" s="471"/>
      <c r="L228" s="1063">
        <v>0.2</v>
      </c>
      <c r="N228" s="1235"/>
    </row>
    <row r="229" spans="1:14" s="526" customFormat="1" ht="12.75" x14ac:dyDescent="0.2">
      <c r="A229" s="471"/>
      <c r="B229" s="471"/>
      <c r="C229" s="471"/>
      <c r="D229" s="188"/>
      <c r="E229" s="188"/>
      <c r="F229" s="188"/>
      <c r="G229" s="471"/>
      <c r="H229" s="471"/>
      <c r="L229" s="145"/>
      <c r="N229" s="1235"/>
    </row>
    <row r="230" spans="1:14" s="526" customFormat="1" ht="12.75" x14ac:dyDescent="0.2">
      <c r="A230" s="471"/>
      <c r="B230" s="1123" t="s">
        <v>870</v>
      </c>
      <c r="C230" s="1587">
        <v>943833</v>
      </c>
      <c r="D230" s="188"/>
      <c r="E230" s="188"/>
      <c r="F230" s="188"/>
      <c r="G230" s="471"/>
      <c r="H230" s="471"/>
      <c r="L230" s="1063">
        <v>0.2</v>
      </c>
      <c r="N230" s="1235"/>
    </row>
    <row r="231" spans="1:14" s="526" customFormat="1" ht="12.75" x14ac:dyDescent="0.2">
      <c r="A231" s="471"/>
      <c r="B231" s="471"/>
      <c r="C231" s="471"/>
      <c r="D231" s="188"/>
      <c r="E231" s="188"/>
      <c r="F231" s="188"/>
      <c r="G231" s="471"/>
      <c r="H231" s="471"/>
      <c r="I231" s="471"/>
      <c r="J231" s="471"/>
      <c r="L231" s="145"/>
      <c r="N231" s="1235"/>
    </row>
    <row r="232" spans="1:14" s="526" customFormat="1" ht="12.75" x14ac:dyDescent="0.2">
      <c r="A232" s="471"/>
      <c r="B232" s="475"/>
      <c r="C232" s="475"/>
      <c r="D232" s="475"/>
      <c r="E232" s="475"/>
      <c r="F232" s="475"/>
      <c r="G232" s="475"/>
      <c r="H232" s="475"/>
      <c r="I232" s="475"/>
      <c r="J232" s="475"/>
      <c r="L232" s="145"/>
      <c r="N232" s="1235"/>
    </row>
    <row r="233" spans="1:14" s="526" customFormat="1" ht="12.75" customHeight="1" x14ac:dyDescent="0.2">
      <c r="A233" s="471"/>
      <c r="B233" s="88"/>
      <c r="C233" s="91" t="s">
        <v>16</v>
      </c>
      <c r="D233" s="91" t="s">
        <v>17</v>
      </c>
      <c r="E233" s="91" t="s">
        <v>18</v>
      </c>
      <c r="F233" s="1124" t="s">
        <v>659</v>
      </c>
      <c r="G233" s="475"/>
      <c r="H233" s="475"/>
      <c r="I233" s="2626" t="s">
        <v>104</v>
      </c>
      <c r="J233" s="2612" t="s">
        <v>886</v>
      </c>
      <c r="L233" s="145"/>
      <c r="N233" s="1235"/>
    </row>
    <row r="234" spans="1:14" s="526" customFormat="1" ht="12.75" x14ac:dyDescent="0.2">
      <c r="A234" s="471"/>
      <c r="B234" s="187"/>
      <c r="C234" s="506"/>
      <c r="D234" s="1119"/>
      <c r="E234" s="1120"/>
      <c r="F234" s="1125" t="str">
        <f>IF(SUM(C234:E234)=SUM(C215:E215,C218:C228),"Ok","Error")</f>
        <v>Error</v>
      </c>
      <c r="G234" s="475"/>
      <c r="H234" s="475"/>
      <c r="I234" s="2627"/>
      <c r="J234" s="2614"/>
      <c r="L234" s="1063">
        <v>0.2</v>
      </c>
      <c r="N234" s="1235"/>
    </row>
    <row r="235" spans="1:14" s="526" customFormat="1" ht="12.75" x14ac:dyDescent="0.2">
      <c r="A235" s="471"/>
      <c r="B235" s="187"/>
      <c r="C235" s="187"/>
      <c r="D235" s="187"/>
      <c r="E235" s="187"/>
      <c r="F235" s="187"/>
      <c r="G235" s="475"/>
      <c r="H235" s="475"/>
      <c r="I235" s="114" t="s">
        <v>100</v>
      </c>
      <c r="J235" s="94" t="s">
        <v>101</v>
      </c>
      <c r="L235" s="145"/>
      <c r="N235" s="1235"/>
    </row>
    <row r="236" spans="1:14" s="526" customFormat="1" ht="12.75" x14ac:dyDescent="0.2">
      <c r="A236" s="471"/>
      <c r="B236" s="187"/>
      <c r="C236" s="187"/>
      <c r="D236" s="187"/>
      <c r="E236" s="982"/>
      <c r="F236" s="187"/>
      <c r="G236" s="475"/>
      <c r="H236" s="475"/>
      <c r="I236" s="1126"/>
      <c r="J236" s="1126"/>
      <c r="L236" s="145"/>
      <c r="N236" s="1235"/>
    </row>
    <row r="237" spans="1:14" s="526" customFormat="1" ht="12.75" x14ac:dyDescent="0.2">
      <c r="A237" s="471"/>
      <c r="B237" s="188"/>
      <c r="C237" s="188"/>
      <c r="D237" s="188"/>
      <c r="E237" s="1122"/>
      <c r="F237" s="188"/>
      <c r="G237" s="471"/>
      <c r="H237" s="471"/>
      <c r="L237" s="145"/>
      <c r="N237" s="1235"/>
    </row>
    <row r="238" spans="1:14" s="526" customFormat="1" ht="12.75" x14ac:dyDescent="0.2">
      <c r="A238" s="471"/>
      <c r="B238" s="11"/>
      <c r="C238" s="580" t="s">
        <v>16</v>
      </c>
      <c r="D238" s="580" t="s">
        <v>17</v>
      </c>
      <c r="E238" s="11"/>
      <c r="F238" s="11"/>
      <c r="G238" s="11"/>
      <c r="H238" s="11"/>
      <c r="I238" s="1088" t="s">
        <v>393</v>
      </c>
      <c r="J238" s="2586" t="s">
        <v>801</v>
      </c>
      <c r="L238" s="145"/>
      <c r="N238" s="1235"/>
    </row>
    <row r="239" spans="1:14" s="526" customFormat="1" ht="12.75" x14ac:dyDescent="0.2">
      <c r="A239" s="471"/>
      <c r="B239" s="488" t="s">
        <v>63</v>
      </c>
      <c r="C239" s="1588">
        <v>96518</v>
      </c>
      <c r="D239" s="1589"/>
      <c r="E239" s="11"/>
      <c r="F239" s="11"/>
      <c r="G239" s="11"/>
      <c r="H239" s="11"/>
      <c r="I239" s="236"/>
      <c r="J239" s="2587"/>
      <c r="L239" s="1063">
        <v>0.2</v>
      </c>
      <c r="N239" s="1235"/>
    </row>
    <row r="240" spans="1:14" s="526" customFormat="1" ht="12.75" x14ac:dyDescent="0.2">
      <c r="A240" s="471"/>
      <c r="B240" s="488" t="s">
        <v>67</v>
      </c>
      <c r="C240" s="1590"/>
      <c r="D240" s="1591">
        <v>35146</v>
      </c>
      <c r="E240" s="11"/>
      <c r="F240" s="11"/>
      <c r="G240" s="11"/>
      <c r="H240" s="11"/>
      <c r="I240" s="221"/>
      <c r="J240" s="2588"/>
      <c r="L240" s="1063">
        <v>0.2</v>
      </c>
      <c r="N240" s="1235"/>
    </row>
    <row r="241" spans="1:16" s="526" customFormat="1" ht="12.75" x14ac:dyDescent="0.2">
      <c r="A241" s="471"/>
      <c r="B241" s="188"/>
      <c r="C241" s="188"/>
      <c r="D241" s="188"/>
      <c r="E241" s="1122"/>
      <c r="F241" s="188"/>
      <c r="G241" s="471"/>
      <c r="H241" s="471"/>
      <c r="L241" s="145"/>
      <c r="N241" s="1235"/>
    </row>
    <row r="242" spans="1:16" ht="15.75" x14ac:dyDescent="0.25">
      <c r="A242" s="52" t="s">
        <v>7</v>
      </c>
      <c r="B242" s="52"/>
      <c r="C242" s="52"/>
      <c r="D242" s="52"/>
      <c r="E242" s="52"/>
      <c r="F242" s="52"/>
      <c r="G242" s="52"/>
      <c r="H242" s="52"/>
      <c r="I242" s="52"/>
      <c r="J242" s="52"/>
      <c r="K242" s="52"/>
      <c r="L242" s="1062"/>
    </row>
    <row r="243" spans="1:16" s="526" customFormat="1" ht="12.75" x14ac:dyDescent="0.2">
      <c r="A243" s="11"/>
      <c r="B243" s="488" t="s">
        <v>342</v>
      </c>
      <c r="C243" s="474">
        <v>1084000</v>
      </c>
      <c r="D243" s="1089"/>
      <c r="E243" s="1089"/>
      <c r="F243" s="11"/>
      <c r="G243" s="11"/>
      <c r="H243" s="11"/>
      <c r="I243" s="113" t="s">
        <v>104</v>
      </c>
      <c r="J243" s="37" t="s">
        <v>754</v>
      </c>
      <c r="L243" s="1063">
        <v>0.2</v>
      </c>
      <c r="N243" s="1235"/>
    </row>
    <row r="244" spans="1:16" s="526" customFormat="1" ht="12.75" x14ac:dyDescent="0.2">
      <c r="A244" s="11"/>
      <c r="B244" s="11"/>
      <c r="C244" s="191"/>
      <c r="D244" s="1089"/>
      <c r="E244" s="1089"/>
      <c r="F244" s="11"/>
      <c r="G244" s="11"/>
      <c r="H244" s="11"/>
      <c r="I244" s="113" t="s">
        <v>100</v>
      </c>
      <c r="J244" s="37" t="s">
        <v>102</v>
      </c>
      <c r="L244" s="145"/>
      <c r="N244" s="1235"/>
    </row>
    <row r="245" spans="1:16" s="526" customFormat="1" ht="12.75" x14ac:dyDescent="0.2">
      <c r="A245" s="11"/>
      <c r="B245" s="488" t="s">
        <v>869</v>
      </c>
      <c r="C245" s="1097">
        <v>0</v>
      </c>
      <c r="D245" s="1089"/>
      <c r="E245" s="1089"/>
      <c r="F245" s="11"/>
      <c r="G245" s="11"/>
      <c r="H245" s="11"/>
      <c r="I245" s="11"/>
      <c r="J245" s="11"/>
      <c r="L245" s="1063">
        <v>0.2</v>
      </c>
      <c r="N245" s="1235"/>
      <c r="P245" s="1134"/>
    </row>
    <row r="246" spans="1:16" s="526" customFormat="1" ht="12.75" x14ac:dyDescent="0.2">
      <c r="A246" s="1089"/>
      <c r="B246" s="1089"/>
      <c r="C246" s="1089"/>
      <c r="D246" s="1089"/>
      <c r="E246" s="1089"/>
      <c r="F246" s="1089"/>
      <c r="G246" s="1089"/>
      <c r="H246" s="1089"/>
      <c r="I246" s="99"/>
      <c r="J246" s="1089"/>
      <c r="L246" s="145"/>
      <c r="N246" s="1235"/>
    </row>
    <row r="247" spans="1:16" s="526" customFormat="1" ht="12.75" x14ac:dyDescent="0.2">
      <c r="A247" s="197"/>
      <c r="B247" s="187"/>
      <c r="C247" s="92"/>
      <c r="D247" s="93"/>
      <c r="E247" s="187"/>
      <c r="F247" s="187"/>
      <c r="G247" s="187"/>
      <c r="H247" s="196"/>
      <c r="I247" s="98"/>
      <c r="J247" s="196"/>
      <c r="L247" s="145"/>
      <c r="N247" s="1235"/>
    </row>
    <row r="248" spans="1:16" s="526" customFormat="1" ht="12.75" x14ac:dyDescent="0.2">
      <c r="A248" s="197"/>
      <c r="B248" s="765" t="s">
        <v>746</v>
      </c>
      <c r="C248" s="740"/>
      <c r="D248" s="679"/>
      <c r="E248" s="679"/>
      <c r="F248" s="187"/>
      <c r="G248" s="187"/>
      <c r="H248" s="196"/>
      <c r="I248" s="114" t="s">
        <v>104</v>
      </c>
      <c r="J248" s="94" t="s">
        <v>745</v>
      </c>
      <c r="L248" s="1063">
        <v>0.2</v>
      </c>
      <c r="N248" s="1235"/>
    </row>
    <row r="249" spans="1:16" s="526" customFormat="1" ht="12.75" x14ac:dyDescent="0.2">
      <c r="A249" s="199"/>
      <c r="B249" s="765" t="s">
        <v>747</v>
      </c>
      <c r="C249" s="740"/>
      <c r="D249" s="679"/>
      <c r="E249" s="679"/>
      <c r="F249" s="187"/>
      <c r="G249" s="187"/>
      <c r="H249" s="190"/>
      <c r="I249" s="114" t="s">
        <v>100</v>
      </c>
      <c r="J249" s="210" t="s">
        <v>102</v>
      </c>
      <c r="L249" s="1063">
        <v>0.2</v>
      </c>
      <c r="N249" s="1235"/>
    </row>
    <row r="250" spans="1:16" s="526" customFormat="1" ht="12.75" x14ac:dyDescent="0.2">
      <c r="A250" s="1089"/>
      <c r="B250" s="195"/>
      <c r="C250" s="308"/>
      <c r="D250" s="308"/>
      <c r="E250" s="195"/>
      <c r="F250" s="195"/>
      <c r="G250" s="195"/>
      <c r="H250" s="1091"/>
      <c r="I250" s="98"/>
      <c r="J250" s="1091"/>
      <c r="L250" s="145"/>
      <c r="N250" s="1235"/>
    </row>
    <row r="251" spans="1:16" s="526" customFormat="1" ht="12.75" x14ac:dyDescent="0.2">
      <c r="A251" s="197"/>
      <c r="B251" s="197"/>
      <c r="C251" s="197"/>
      <c r="D251" s="197"/>
      <c r="E251" s="197"/>
      <c r="F251" s="197"/>
      <c r="G251" s="197"/>
      <c r="H251" s="197"/>
      <c r="I251" s="197"/>
      <c r="J251" s="197"/>
      <c r="L251" s="145"/>
      <c r="N251" s="1235"/>
    </row>
    <row r="252" spans="1:16" s="526" customFormat="1" ht="12.75" x14ac:dyDescent="0.2">
      <c r="A252" s="197"/>
      <c r="B252" s="708" t="s">
        <v>592</v>
      </c>
      <c r="C252" s="474">
        <v>120000</v>
      </c>
      <c r="D252" s="197"/>
      <c r="E252" s="197"/>
      <c r="F252" s="197"/>
      <c r="G252" s="197"/>
      <c r="H252" s="197"/>
      <c r="I252" s="113" t="s">
        <v>104</v>
      </c>
      <c r="J252" s="37" t="s">
        <v>591</v>
      </c>
      <c r="L252" s="1063">
        <v>0.2</v>
      </c>
      <c r="N252" s="1235"/>
    </row>
    <row r="253" spans="1:16" s="526" customFormat="1" ht="12.75" x14ac:dyDescent="0.2">
      <c r="A253" s="199"/>
      <c r="B253" s="199"/>
      <c r="C253" s="199"/>
      <c r="D253" s="199"/>
      <c r="E253" s="199"/>
      <c r="F253" s="199"/>
      <c r="G253" s="199"/>
      <c r="H253" s="199"/>
      <c r="I253" s="113" t="s">
        <v>100</v>
      </c>
      <c r="J253" s="37" t="s">
        <v>102</v>
      </c>
      <c r="L253" s="145"/>
      <c r="N253" s="1235"/>
    </row>
    <row r="254" spans="1:16" s="526" customFormat="1" ht="12.75" x14ac:dyDescent="0.2">
      <c r="A254" s="199"/>
      <c r="B254" s="199"/>
      <c r="C254" s="199"/>
      <c r="D254" s="199"/>
      <c r="E254" s="199"/>
      <c r="F254" s="199"/>
      <c r="G254" s="199"/>
      <c r="H254" s="199"/>
      <c r="I254" s="99"/>
      <c r="J254" s="1089"/>
      <c r="L254" s="145"/>
      <c r="N254" s="1235"/>
    </row>
    <row r="255" spans="1:16" s="526" customFormat="1" ht="12.75" x14ac:dyDescent="0.2">
      <c r="A255" s="188"/>
      <c r="B255" s="187"/>
      <c r="C255" s="187"/>
      <c r="D255" s="187"/>
      <c r="E255" s="187"/>
      <c r="F255" s="187"/>
      <c r="G255" s="187"/>
      <c r="H255" s="187"/>
      <c r="I255" s="186"/>
      <c r="J255" s="187"/>
      <c r="L255" s="145"/>
      <c r="N255" s="1235"/>
    </row>
    <row r="256" spans="1:16" s="526" customFormat="1" ht="12.75" customHeight="1" x14ac:dyDescent="0.2">
      <c r="A256" s="188"/>
      <c r="B256" s="823"/>
      <c r="C256" s="187"/>
      <c r="D256" s="187"/>
      <c r="E256" s="187"/>
      <c r="F256" s="2818" t="s">
        <v>604</v>
      </c>
      <c r="G256" s="1145"/>
      <c r="H256" s="187"/>
      <c r="I256" s="114" t="s">
        <v>104</v>
      </c>
      <c r="J256" s="94" t="s">
        <v>756</v>
      </c>
      <c r="L256" s="145"/>
      <c r="N256" s="1235"/>
    </row>
    <row r="257" spans="1:14" s="526" customFormat="1" ht="12.75" x14ac:dyDescent="0.2">
      <c r="A257" s="11"/>
      <c r="B257" s="187"/>
      <c r="C257" s="187"/>
      <c r="D257" s="187"/>
      <c r="E257" s="187"/>
      <c r="F257" s="2819"/>
      <c r="G257" s="187"/>
      <c r="H257" s="88"/>
      <c r="I257" s="114" t="s">
        <v>100</v>
      </c>
      <c r="J257" s="94" t="s">
        <v>605</v>
      </c>
      <c r="L257" s="145"/>
      <c r="N257" s="1235"/>
    </row>
    <row r="258" spans="1:14" s="526" customFormat="1" ht="12.75" customHeight="1" x14ac:dyDescent="0.2">
      <c r="A258" s="11"/>
      <c r="B258" s="1146" t="s">
        <v>25</v>
      </c>
      <c r="C258" s="187"/>
      <c r="D258" s="187"/>
      <c r="E258" s="187"/>
      <c r="F258" s="1147">
        <v>1.5856451422500296E-2</v>
      </c>
      <c r="G258" s="187"/>
      <c r="H258" s="88"/>
      <c r="I258" s="186"/>
      <c r="J258" s="190"/>
      <c r="L258" s="1063">
        <v>0.2</v>
      </c>
      <c r="N258" s="1235"/>
    </row>
    <row r="259" spans="1:14" s="526" customFormat="1" ht="12.75" x14ac:dyDescent="0.2">
      <c r="A259" s="11"/>
      <c r="B259" s="490" t="s">
        <v>28</v>
      </c>
      <c r="C259" s="187"/>
      <c r="D259" s="187"/>
      <c r="E259" s="187"/>
      <c r="F259" s="1148">
        <v>3.5726596623775225E-2</v>
      </c>
      <c r="G259" s="187"/>
      <c r="H259" s="88"/>
      <c r="I259" s="186"/>
      <c r="J259" s="190"/>
      <c r="L259" s="1063">
        <v>0.2</v>
      </c>
      <c r="N259" s="1235"/>
    </row>
    <row r="260" spans="1:14" s="526" customFormat="1" ht="12.75" x14ac:dyDescent="0.2">
      <c r="A260" s="11"/>
      <c r="B260" s="1146" t="s">
        <v>595</v>
      </c>
      <c r="C260" s="187"/>
      <c r="D260" s="187"/>
      <c r="E260" s="187"/>
      <c r="F260" s="1148">
        <v>0.48548695549521892</v>
      </c>
      <c r="G260" s="187"/>
      <c r="H260" s="325"/>
      <c r="I260" s="186"/>
      <c r="J260" s="190"/>
      <c r="L260" s="1063">
        <v>0.2</v>
      </c>
      <c r="N260" s="1235"/>
    </row>
    <row r="261" spans="1:14" s="526" customFormat="1" ht="12.75" x14ac:dyDescent="0.2">
      <c r="A261" s="11"/>
      <c r="B261" s="1146" t="s">
        <v>63</v>
      </c>
      <c r="C261" s="187"/>
      <c r="D261" s="187"/>
      <c r="E261" s="187"/>
      <c r="F261" s="1148">
        <v>7.7974265139889032E-2</v>
      </c>
      <c r="G261" s="187"/>
      <c r="H261" s="325"/>
      <c r="I261" s="186"/>
      <c r="J261" s="190"/>
      <c r="L261" s="1063">
        <v>0.2</v>
      </c>
      <c r="N261" s="1235"/>
    </row>
    <row r="262" spans="1:14" s="526" customFormat="1" ht="12.75" x14ac:dyDescent="0.2">
      <c r="A262" s="370"/>
      <c r="B262" s="1146" t="s">
        <v>67</v>
      </c>
      <c r="C262" s="187"/>
      <c r="D262" s="187"/>
      <c r="E262" s="187"/>
      <c r="F262" s="1148">
        <v>1.6012277180970369E-2</v>
      </c>
      <c r="G262" s="187"/>
      <c r="H262" s="325"/>
      <c r="I262" s="186"/>
      <c r="J262" s="190"/>
      <c r="L262" s="1063">
        <v>0.2</v>
      </c>
      <c r="N262" s="1235"/>
    </row>
    <row r="263" spans="1:14" s="526" customFormat="1" ht="12.75" x14ac:dyDescent="0.2">
      <c r="A263" s="370"/>
      <c r="B263" s="1146" t="s">
        <v>596</v>
      </c>
      <c r="C263" s="187"/>
      <c r="D263" s="187"/>
      <c r="E263" s="187"/>
      <c r="F263" s="1148">
        <v>6.0025970959745011E-2</v>
      </c>
      <c r="G263" s="187"/>
      <c r="H263" s="325"/>
      <c r="I263" s="186"/>
      <c r="J263" s="190"/>
      <c r="L263" s="1063">
        <v>0.2</v>
      </c>
      <c r="N263" s="1235"/>
    </row>
    <row r="264" spans="1:14" s="526" customFormat="1" ht="12.75" x14ac:dyDescent="0.2">
      <c r="A264" s="368"/>
      <c r="B264" s="1146" t="s">
        <v>1</v>
      </c>
      <c r="C264" s="187"/>
      <c r="D264" s="187"/>
      <c r="E264" s="187"/>
      <c r="F264" s="1148">
        <v>0</v>
      </c>
      <c r="G264" s="187"/>
      <c r="H264" s="325"/>
      <c r="I264" s="186"/>
      <c r="J264" s="190"/>
      <c r="L264" s="1063">
        <v>0.2</v>
      </c>
      <c r="N264" s="1235"/>
    </row>
    <row r="265" spans="1:14" s="526" customFormat="1" ht="12.75" x14ac:dyDescent="0.2">
      <c r="A265" s="188"/>
      <c r="B265" s="490" t="s">
        <v>20</v>
      </c>
      <c r="C265" s="187"/>
      <c r="D265" s="187"/>
      <c r="E265" s="187"/>
      <c r="F265" s="1148">
        <v>0.14256640302207529</v>
      </c>
      <c r="G265" s="187"/>
      <c r="H265" s="325"/>
      <c r="I265" s="186"/>
      <c r="J265" s="190"/>
      <c r="L265" s="1063">
        <v>0.2</v>
      </c>
      <c r="N265" s="1235"/>
    </row>
    <row r="266" spans="1:14" s="526" customFormat="1" ht="12.75" x14ac:dyDescent="0.2">
      <c r="A266" s="188"/>
      <c r="B266" s="490" t="s">
        <v>597</v>
      </c>
      <c r="C266" s="187"/>
      <c r="D266" s="187"/>
      <c r="E266" s="187"/>
      <c r="F266" s="1148">
        <v>8.8135993389210229E-2</v>
      </c>
      <c r="G266" s="187"/>
      <c r="H266" s="325"/>
      <c r="I266" s="186"/>
      <c r="J266" s="190"/>
      <c r="L266" s="1063">
        <v>0.2</v>
      </c>
      <c r="N266" s="1235"/>
    </row>
    <row r="267" spans="1:14" s="526" customFormat="1" ht="12.75" x14ac:dyDescent="0.2">
      <c r="A267" s="188"/>
      <c r="B267" s="1146" t="s">
        <v>30</v>
      </c>
      <c r="C267" s="187"/>
      <c r="D267" s="187"/>
      <c r="E267" s="187"/>
      <c r="F267" s="1148">
        <v>3.8536182268917474E-2</v>
      </c>
      <c r="G267" s="187"/>
      <c r="H267" s="325"/>
      <c r="I267" s="186"/>
      <c r="J267" s="190"/>
      <c r="L267" s="1063">
        <v>0.2</v>
      </c>
      <c r="N267" s="1235"/>
    </row>
    <row r="268" spans="1:14" s="526" customFormat="1" ht="12.75" x14ac:dyDescent="0.2">
      <c r="A268" s="188"/>
      <c r="B268" s="1146" t="s">
        <v>83</v>
      </c>
      <c r="C268" s="187"/>
      <c r="D268" s="187"/>
      <c r="E268" s="187"/>
      <c r="F268" s="1148">
        <v>3.967890449769803E-2</v>
      </c>
      <c r="G268" s="187"/>
      <c r="H268" s="325"/>
      <c r="I268" s="186"/>
      <c r="J268" s="190"/>
      <c r="L268" s="1063">
        <v>0.2</v>
      </c>
      <c r="N268" s="1235"/>
    </row>
    <row r="269" spans="1:14" s="526" customFormat="1" ht="12.75" x14ac:dyDescent="0.2">
      <c r="A269" s="188"/>
      <c r="B269" s="1146" t="s">
        <v>80</v>
      </c>
      <c r="C269" s="187"/>
      <c r="D269" s="187"/>
      <c r="E269" s="187"/>
      <c r="F269" s="1149">
        <v>0</v>
      </c>
      <c r="G269" s="187"/>
      <c r="H269" s="325"/>
      <c r="I269" s="186"/>
      <c r="J269" s="190"/>
      <c r="L269" s="1063">
        <v>0.2</v>
      </c>
      <c r="N269" s="1235"/>
    </row>
    <row r="270" spans="1:14" s="526" customFormat="1" ht="12.75" x14ac:dyDescent="0.2">
      <c r="A270" s="11"/>
      <c r="B270" s="88"/>
      <c r="C270" s="187"/>
      <c r="D270" s="187"/>
      <c r="E270" s="187"/>
      <c r="F270" s="88"/>
      <c r="G270" s="88"/>
      <c r="H270" s="88"/>
      <c r="I270" s="88"/>
      <c r="J270" s="88"/>
      <c r="L270" s="145"/>
      <c r="N270" s="1235"/>
    </row>
    <row r="271" spans="1:14" s="526" customFormat="1" ht="12.75" x14ac:dyDescent="0.2">
      <c r="A271" s="11"/>
      <c r="B271" s="11"/>
      <c r="C271" s="11"/>
      <c r="D271" s="11"/>
      <c r="E271" s="11"/>
      <c r="F271" s="11"/>
      <c r="G271" s="11"/>
      <c r="H271" s="11"/>
      <c r="I271" s="11"/>
      <c r="J271" s="11"/>
      <c r="L271" s="145"/>
      <c r="N271" s="1235"/>
    </row>
    <row r="272" spans="1:14" s="526" customFormat="1" ht="12.75" x14ac:dyDescent="0.2">
      <c r="A272" s="11"/>
      <c r="B272" s="493"/>
      <c r="C272" s="1150"/>
      <c r="D272" s="495" t="s">
        <v>17</v>
      </c>
      <c r="E272" s="495" t="s">
        <v>18</v>
      </c>
      <c r="F272" s="11"/>
      <c r="G272" s="11"/>
      <c r="H272" s="11"/>
      <c r="I272" s="113" t="s">
        <v>104</v>
      </c>
      <c r="J272" s="37" t="s">
        <v>589</v>
      </c>
      <c r="L272" s="145"/>
      <c r="N272" s="1235"/>
    </row>
    <row r="273" spans="1:14" s="526" customFormat="1" ht="12.75" x14ac:dyDescent="0.2">
      <c r="A273" s="11"/>
      <c r="B273" s="493"/>
      <c r="C273" s="1151" t="s">
        <v>611</v>
      </c>
      <c r="D273" s="1152">
        <v>0.3201</v>
      </c>
      <c r="E273" s="1153"/>
      <c r="F273" s="11"/>
      <c r="G273" s="11"/>
      <c r="H273" s="11"/>
      <c r="I273" s="113" t="s">
        <v>100</v>
      </c>
      <c r="J273" s="37" t="s">
        <v>102</v>
      </c>
      <c r="L273" s="1063">
        <v>0.2</v>
      </c>
      <c r="N273" s="1235"/>
    </row>
    <row r="274" spans="1:14" s="526" customFormat="1" ht="12.75" customHeight="1" x14ac:dyDescent="0.2">
      <c r="A274" s="11"/>
      <c r="B274" s="493"/>
      <c r="C274" s="1151" t="s">
        <v>612</v>
      </c>
      <c r="D274" s="1154">
        <v>8.6699999999999999E-2</v>
      </c>
      <c r="E274" s="1155">
        <v>1.4E-3</v>
      </c>
      <c r="F274" s="11"/>
      <c r="G274" s="11"/>
      <c r="H274" s="11"/>
      <c r="I274" s="11"/>
      <c r="J274" s="11"/>
      <c r="L274" s="1063">
        <v>0.2</v>
      </c>
      <c r="N274" s="1235"/>
    </row>
    <row r="275" spans="1:14" s="526" customFormat="1" ht="12.75" x14ac:dyDescent="0.2">
      <c r="A275" s="11"/>
      <c r="B275" s="493"/>
      <c r="C275" s="1151" t="s">
        <v>74</v>
      </c>
      <c r="D275" s="1154">
        <v>8.1099999999999992E-2</v>
      </c>
      <c r="E275" s="1155">
        <v>3.8E-3</v>
      </c>
      <c r="F275" s="11"/>
      <c r="G275" s="11"/>
      <c r="H275" s="11"/>
      <c r="I275" s="11"/>
      <c r="J275" s="11"/>
      <c r="L275" s="1063">
        <v>0.2</v>
      </c>
      <c r="N275" s="1235"/>
    </row>
    <row r="276" spans="1:14" s="526" customFormat="1" ht="12.75" x14ac:dyDescent="0.2">
      <c r="A276" s="11"/>
      <c r="B276" s="493"/>
      <c r="C276" s="1151" t="s">
        <v>613</v>
      </c>
      <c r="D276" s="1154">
        <v>7.9399999999999998E-2</v>
      </c>
      <c r="E276" s="1155">
        <v>7.6700000000000004E-2</v>
      </c>
      <c r="F276" s="11"/>
      <c r="G276" s="11"/>
      <c r="H276" s="11"/>
      <c r="I276" s="11"/>
      <c r="J276" s="11"/>
      <c r="L276" s="1063">
        <v>0.2</v>
      </c>
      <c r="N276" s="1235"/>
    </row>
    <row r="277" spans="1:14" s="526" customFormat="1" ht="12.75" x14ac:dyDescent="0.2">
      <c r="A277" s="11"/>
      <c r="B277" s="493"/>
      <c r="C277" s="1151" t="s">
        <v>614</v>
      </c>
      <c r="D277" s="1154">
        <v>6.4199999999999993E-2</v>
      </c>
      <c r="E277" s="1155">
        <v>1.5E-3</v>
      </c>
      <c r="F277" s="11"/>
      <c r="G277" s="11"/>
      <c r="H277" s="11"/>
      <c r="I277" s="11"/>
      <c r="J277" s="11"/>
      <c r="L277" s="1063">
        <v>0.2</v>
      </c>
      <c r="N277" s="1235"/>
    </row>
    <row r="278" spans="1:14" s="526" customFormat="1" ht="12.75" x14ac:dyDescent="0.2">
      <c r="A278" s="11"/>
      <c r="B278" s="493"/>
      <c r="C278" s="1151" t="s">
        <v>615</v>
      </c>
      <c r="D278" s="1154">
        <v>4.5899999999999996E-2</v>
      </c>
      <c r="E278" s="1155">
        <v>1.84E-2</v>
      </c>
      <c r="F278" s="11"/>
      <c r="G278" s="11"/>
      <c r="H278" s="11"/>
      <c r="I278" s="11"/>
      <c r="J278" s="11"/>
      <c r="L278" s="1063">
        <v>0.2</v>
      </c>
      <c r="N278" s="1235"/>
    </row>
    <row r="279" spans="1:14" s="526" customFormat="1" ht="12.75" x14ac:dyDescent="0.2">
      <c r="A279" s="11"/>
      <c r="B279" s="493"/>
      <c r="C279" s="1151" t="s">
        <v>616</v>
      </c>
      <c r="D279" s="1154">
        <v>4.5499999999999999E-2</v>
      </c>
      <c r="E279" s="1155">
        <v>9.7000000000000003E-3</v>
      </c>
      <c r="F279" s="11"/>
      <c r="G279" s="11"/>
      <c r="H279" s="11"/>
      <c r="I279" s="11"/>
      <c r="J279" s="11"/>
      <c r="L279" s="1063">
        <v>0.2</v>
      </c>
      <c r="N279" s="1235"/>
    </row>
    <row r="280" spans="1:14" s="526" customFormat="1" ht="12.75" x14ac:dyDescent="0.2">
      <c r="A280" s="11"/>
      <c r="B280" s="493"/>
      <c r="C280" s="1151" t="s">
        <v>493</v>
      </c>
      <c r="D280" s="1154">
        <v>4.4400000000000002E-2</v>
      </c>
      <c r="E280" s="1155">
        <v>0.4612</v>
      </c>
      <c r="F280" s="11"/>
      <c r="G280" s="11"/>
      <c r="H280" s="11"/>
      <c r="I280" s="11"/>
      <c r="J280" s="11"/>
      <c r="L280" s="1063">
        <v>0.2</v>
      </c>
      <c r="N280" s="1235"/>
    </row>
    <row r="281" spans="1:14" s="526" customFormat="1" ht="12.75" x14ac:dyDescent="0.2">
      <c r="A281" s="11"/>
      <c r="B281" s="493"/>
      <c r="C281" s="1151" t="s">
        <v>27</v>
      </c>
      <c r="D281" s="1154">
        <v>4.0999999999999995E-2</v>
      </c>
      <c r="E281" s="1155">
        <v>1.1999999999999999E-3</v>
      </c>
      <c r="F281" s="11"/>
      <c r="G281" s="11"/>
      <c r="H281" s="11"/>
      <c r="I281" s="11"/>
      <c r="J281" s="11"/>
      <c r="L281" s="1063">
        <v>0.2</v>
      </c>
      <c r="N281" s="1235"/>
    </row>
    <row r="282" spans="1:14" s="526" customFormat="1" ht="12.75" x14ac:dyDescent="0.2">
      <c r="A282" s="11"/>
      <c r="B282" s="493"/>
      <c r="C282" s="1151" t="s">
        <v>617</v>
      </c>
      <c r="D282" s="1154">
        <v>3.5400000000000001E-2</v>
      </c>
      <c r="E282" s="1155">
        <v>3.8999999999999998E-3</v>
      </c>
      <c r="F282" s="11"/>
      <c r="G282" s="11"/>
      <c r="H282" s="11"/>
      <c r="I282" s="11"/>
      <c r="J282" s="11"/>
      <c r="L282" s="1063">
        <v>0.2</v>
      </c>
      <c r="N282" s="1235"/>
    </row>
    <row r="283" spans="1:14" s="526" customFormat="1" ht="12.75" x14ac:dyDescent="0.2">
      <c r="A283" s="11"/>
      <c r="B283" s="493"/>
      <c r="C283" s="1151" t="s">
        <v>618</v>
      </c>
      <c r="D283" s="1154">
        <v>3.3500000000000002E-2</v>
      </c>
      <c r="E283" s="1155">
        <v>4.0000000000000002E-4</v>
      </c>
      <c r="F283" s="11"/>
      <c r="G283" s="11"/>
      <c r="H283" s="11"/>
      <c r="I283" s="11"/>
      <c r="J283" s="11"/>
      <c r="L283" s="1063">
        <v>0.2</v>
      </c>
      <c r="N283" s="1235"/>
    </row>
    <row r="284" spans="1:14" s="526" customFormat="1" ht="12.75" x14ac:dyDescent="0.2">
      <c r="A284" s="11"/>
      <c r="B284" s="493"/>
      <c r="C284" s="1151" t="s">
        <v>619</v>
      </c>
      <c r="D284" s="1154">
        <v>2.0400000000000001E-2</v>
      </c>
      <c r="E284" s="1155">
        <v>6.83E-2</v>
      </c>
      <c r="F284" s="11"/>
      <c r="G284" s="11"/>
      <c r="H284" s="11"/>
      <c r="I284" s="11"/>
      <c r="J284" s="11"/>
      <c r="L284" s="1063">
        <v>0.2</v>
      </c>
      <c r="N284" s="1235"/>
    </row>
    <row r="285" spans="1:14" s="526" customFormat="1" ht="12.75" x14ac:dyDescent="0.2">
      <c r="A285" s="11"/>
      <c r="B285" s="493"/>
      <c r="C285" s="1151" t="s">
        <v>620</v>
      </c>
      <c r="D285" s="1154">
        <v>1.9299999999999998E-2</v>
      </c>
      <c r="E285" s="1155">
        <v>6.9999999999999999E-4</v>
      </c>
      <c r="F285" s="11"/>
      <c r="G285" s="11"/>
      <c r="H285" s="11"/>
      <c r="I285" s="11"/>
      <c r="J285" s="11"/>
      <c r="L285" s="1063">
        <v>0.2</v>
      </c>
      <c r="N285" s="1235"/>
    </row>
    <row r="286" spans="1:14" s="526" customFormat="1" ht="12.75" x14ac:dyDescent="0.2">
      <c r="A286" s="11"/>
      <c r="B286" s="493"/>
      <c r="C286" s="1151" t="s">
        <v>621</v>
      </c>
      <c r="D286" s="1154">
        <v>1.9199999999999998E-2</v>
      </c>
      <c r="E286" s="1155">
        <v>5.0000000000000001E-4</v>
      </c>
      <c r="F286" s="11"/>
      <c r="G286" s="11"/>
      <c r="H286" s="11"/>
      <c r="I286" s="11"/>
      <c r="J286" s="11"/>
      <c r="L286" s="1063">
        <v>0.2</v>
      </c>
      <c r="N286" s="1235"/>
    </row>
    <row r="287" spans="1:14" s="526" customFormat="1" ht="12.75" x14ac:dyDescent="0.2">
      <c r="A287" s="11"/>
      <c r="B287" s="493"/>
      <c r="C287" s="1151" t="s">
        <v>30</v>
      </c>
      <c r="D287" s="1154">
        <v>1.11E-2</v>
      </c>
      <c r="E287" s="1155">
        <v>8.0000000000000004E-4</v>
      </c>
      <c r="F287" s="11"/>
      <c r="G287" s="11"/>
      <c r="H287" s="11"/>
      <c r="I287" s="11"/>
      <c r="J287" s="11"/>
      <c r="L287" s="1063">
        <v>0.2</v>
      </c>
      <c r="N287" s="1235"/>
    </row>
    <row r="288" spans="1:14" s="526" customFormat="1" ht="12.75" x14ac:dyDescent="0.2">
      <c r="A288" s="11"/>
      <c r="B288" s="493"/>
      <c r="C288" s="1151" t="s">
        <v>622</v>
      </c>
      <c r="D288" s="1154">
        <v>1.0500000000000001E-2</v>
      </c>
      <c r="E288" s="1155">
        <v>9.7000000000000003E-3</v>
      </c>
      <c r="F288" s="11"/>
      <c r="G288" s="11"/>
      <c r="H288" s="11"/>
      <c r="I288" s="11"/>
      <c r="J288" s="11"/>
      <c r="L288" s="1063">
        <v>0.2</v>
      </c>
      <c r="N288" s="1235"/>
    </row>
    <row r="289" spans="1:14" s="526" customFormat="1" ht="12.75" x14ac:dyDescent="0.2">
      <c r="A289" s="11"/>
      <c r="B289" s="493"/>
      <c r="C289" s="1151" t="s">
        <v>623</v>
      </c>
      <c r="D289" s="1154">
        <v>7.0999999999999995E-3</v>
      </c>
      <c r="E289" s="1155">
        <v>5.0000000000000001E-4</v>
      </c>
      <c r="F289" s="11"/>
      <c r="G289" s="11"/>
      <c r="H289" s="11"/>
      <c r="I289" s="11"/>
      <c r="J289" s="11"/>
      <c r="L289" s="1063">
        <v>0.2</v>
      </c>
      <c r="N289" s="1235"/>
    </row>
    <row r="290" spans="1:14" s="526" customFormat="1" ht="12.75" x14ac:dyDescent="0.2">
      <c r="A290" s="11"/>
      <c r="B290" s="493"/>
      <c r="C290" s="1151" t="s">
        <v>46</v>
      </c>
      <c r="D290" s="1154">
        <v>5.6000000000000008E-3</v>
      </c>
      <c r="E290" s="1155">
        <v>6.1899999999999997E-2</v>
      </c>
      <c r="F290" s="11"/>
      <c r="G290" s="11"/>
      <c r="H290" s="11"/>
      <c r="I290" s="11"/>
      <c r="J290" s="11"/>
      <c r="L290" s="1063">
        <v>0.2</v>
      </c>
      <c r="N290" s="1235"/>
    </row>
    <row r="291" spans="1:14" s="526" customFormat="1" ht="12.75" x14ac:dyDescent="0.2">
      <c r="A291" s="11"/>
      <c r="B291" s="493"/>
      <c r="C291" s="1151" t="s">
        <v>485</v>
      </c>
      <c r="D291" s="1154">
        <v>4.8999999999999998E-3</v>
      </c>
      <c r="E291" s="1155">
        <v>1E-4</v>
      </c>
      <c r="F291" s="11"/>
      <c r="G291" s="11"/>
      <c r="H291" s="11"/>
      <c r="I291" s="11"/>
      <c r="J291" s="11"/>
      <c r="L291" s="1063">
        <v>0.2</v>
      </c>
      <c r="N291" s="1235"/>
    </row>
    <row r="292" spans="1:14" s="526" customFormat="1" ht="12.75" x14ac:dyDescent="0.2">
      <c r="A292" s="11"/>
      <c r="B292" s="493"/>
      <c r="C292" s="1151" t="s">
        <v>492</v>
      </c>
      <c r="D292" s="1154">
        <v>4.0999999999999995E-3</v>
      </c>
      <c r="E292" s="1155">
        <v>2.1000000000000001E-2</v>
      </c>
      <c r="F292" s="11"/>
      <c r="G292" s="11"/>
      <c r="H292" s="11"/>
      <c r="I292" s="11"/>
      <c r="J292" s="11"/>
      <c r="L292" s="1063">
        <v>0.2</v>
      </c>
      <c r="N292" s="1235"/>
    </row>
    <row r="293" spans="1:14" s="526" customFormat="1" ht="12.75" x14ac:dyDescent="0.2">
      <c r="A293" s="11"/>
      <c r="B293" s="493"/>
      <c r="C293" s="1151" t="s">
        <v>624</v>
      </c>
      <c r="D293" s="1154">
        <v>3.7000000000000002E-3</v>
      </c>
      <c r="E293" s="1155">
        <v>2E-3</v>
      </c>
      <c r="F293" s="11"/>
      <c r="G293" s="11"/>
      <c r="H293" s="11"/>
      <c r="I293" s="11"/>
      <c r="J293" s="11"/>
      <c r="L293" s="1063">
        <v>0.2</v>
      </c>
      <c r="N293" s="1235"/>
    </row>
    <row r="294" spans="1:14" s="526" customFormat="1" ht="12.75" x14ac:dyDescent="0.2">
      <c r="A294" s="11"/>
      <c r="B294" s="493"/>
      <c r="C294" s="1151" t="s">
        <v>625</v>
      </c>
      <c r="D294" s="1154">
        <v>2.7000000000000001E-3</v>
      </c>
      <c r="E294" s="1155">
        <v>3.0999999999999999E-3</v>
      </c>
      <c r="F294" s="11"/>
      <c r="G294" s="11"/>
      <c r="H294" s="11"/>
      <c r="I294" s="11"/>
      <c r="J294" s="11"/>
      <c r="L294" s="1063">
        <v>0.2</v>
      </c>
      <c r="N294" s="1235"/>
    </row>
    <row r="295" spans="1:14" s="526" customFormat="1" ht="12.75" x14ac:dyDescent="0.2">
      <c r="A295" s="11"/>
      <c r="B295" s="493"/>
      <c r="C295" s="1151" t="s">
        <v>44</v>
      </c>
      <c r="D295" s="1154">
        <v>2.3999999999999998E-3</v>
      </c>
      <c r="E295" s="1155">
        <v>4.7899999999999998E-2</v>
      </c>
      <c r="F295" s="11"/>
      <c r="G295" s="11"/>
      <c r="H295" s="11"/>
      <c r="I295" s="11"/>
      <c r="J295" s="11"/>
      <c r="L295" s="1063">
        <v>0.2</v>
      </c>
      <c r="N295" s="1235"/>
    </row>
    <row r="296" spans="1:14" s="526" customFormat="1" ht="12.75" x14ac:dyDescent="0.2">
      <c r="A296" s="11"/>
      <c r="B296" s="493"/>
      <c r="C296" s="1151" t="s">
        <v>626</v>
      </c>
      <c r="D296" s="1154">
        <v>1.9E-3</v>
      </c>
      <c r="E296" s="1155">
        <v>1E-4</v>
      </c>
      <c r="F296" s="11"/>
      <c r="G296" s="11"/>
      <c r="H296" s="11"/>
      <c r="I296" s="11"/>
      <c r="J296" s="11"/>
      <c r="L296" s="1063">
        <v>0.2</v>
      </c>
      <c r="N296" s="1235"/>
    </row>
    <row r="297" spans="1:14" s="526" customFormat="1" ht="12.75" x14ac:dyDescent="0.2">
      <c r="A297" s="11"/>
      <c r="B297" s="493"/>
      <c r="C297" s="1151" t="s">
        <v>627</v>
      </c>
      <c r="D297" s="1154">
        <v>1.2999999999999999E-3</v>
      </c>
      <c r="E297" s="1155"/>
      <c r="F297" s="11"/>
      <c r="G297" s="11"/>
      <c r="H297" s="11"/>
      <c r="I297" s="11"/>
      <c r="J297" s="11"/>
      <c r="L297" s="1063">
        <v>0.2</v>
      </c>
      <c r="N297" s="1235"/>
    </row>
    <row r="298" spans="1:14" s="526" customFormat="1" ht="12.75" x14ac:dyDescent="0.2">
      <c r="A298" s="11"/>
      <c r="B298" s="493"/>
      <c r="C298" s="1151" t="s">
        <v>372</v>
      </c>
      <c r="D298" s="1154">
        <v>1E-3</v>
      </c>
      <c r="E298" s="1155"/>
      <c r="F298" s="11"/>
      <c r="G298" s="11"/>
      <c r="H298" s="11"/>
      <c r="I298" s="11"/>
      <c r="J298" s="11"/>
      <c r="L298" s="1063">
        <v>0.2</v>
      </c>
      <c r="N298" s="1235"/>
    </row>
    <row r="299" spans="1:14" s="526" customFormat="1" ht="12.75" x14ac:dyDescent="0.2">
      <c r="A299" s="11"/>
      <c r="B299" s="493"/>
      <c r="C299" s="1151" t="s">
        <v>628</v>
      </c>
      <c r="D299" s="1154">
        <v>5.0000000000000001E-4</v>
      </c>
      <c r="E299" s="1155">
        <v>1E-4</v>
      </c>
      <c r="F299" s="11"/>
      <c r="G299" s="11"/>
      <c r="H299" s="11"/>
      <c r="I299" s="11"/>
      <c r="J299" s="11"/>
      <c r="L299" s="1063">
        <v>0.2</v>
      </c>
      <c r="N299" s="1235"/>
    </row>
    <row r="300" spans="1:14" s="526" customFormat="1" ht="12.75" x14ac:dyDescent="0.2">
      <c r="A300" s="11"/>
      <c r="B300" s="493"/>
      <c r="C300" s="1151" t="s">
        <v>629</v>
      </c>
      <c r="D300" s="1154">
        <v>5.0000000000000001E-4</v>
      </c>
      <c r="E300" s="1155">
        <v>2.0000000000000001E-4</v>
      </c>
      <c r="F300" s="11"/>
      <c r="G300" s="11"/>
      <c r="H300" s="11"/>
      <c r="I300" s="11"/>
      <c r="J300" s="11"/>
      <c r="L300" s="1063">
        <v>0.2</v>
      </c>
      <c r="N300" s="1235"/>
    </row>
    <row r="301" spans="1:14" s="526" customFormat="1" ht="12.75" x14ac:dyDescent="0.2">
      <c r="A301" s="11"/>
      <c r="B301" s="493"/>
      <c r="C301" s="1151" t="s">
        <v>630</v>
      </c>
      <c r="D301" s="1154">
        <v>2.0000000000000001E-4</v>
      </c>
      <c r="E301" s="1155">
        <v>4.0000000000000001E-3</v>
      </c>
      <c r="F301" s="11"/>
      <c r="G301" s="11"/>
      <c r="H301" s="11"/>
      <c r="I301" s="11"/>
      <c r="J301" s="11"/>
      <c r="L301" s="1063">
        <v>0.2</v>
      </c>
      <c r="N301" s="1235"/>
    </row>
    <row r="302" spans="1:14" s="526" customFormat="1" ht="12.75" x14ac:dyDescent="0.2">
      <c r="A302" s="11"/>
      <c r="B302" s="493"/>
      <c r="C302" s="1151" t="s">
        <v>631</v>
      </c>
      <c r="D302" s="1154">
        <v>2.0000000000000001E-4</v>
      </c>
      <c r="E302" s="1155">
        <v>5.9999999999999995E-4</v>
      </c>
      <c r="F302" s="11"/>
      <c r="G302" s="11"/>
      <c r="H302" s="11"/>
      <c r="I302" s="11"/>
      <c r="J302" s="11"/>
      <c r="L302" s="1063">
        <v>0.2</v>
      </c>
      <c r="N302" s="1235"/>
    </row>
    <row r="303" spans="1:14" s="526" customFormat="1" ht="12.75" x14ac:dyDescent="0.2">
      <c r="A303" s="11"/>
      <c r="B303" s="493"/>
      <c r="C303" s="1156" t="s">
        <v>42</v>
      </c>
      <c r="D303" s="1154">
        <v>1E-4</v>
      </c>
      <c r="E303" s="1155">
        <v>1E-4</v>
      </c>
      <c r="F303" s="11"/>
      <c r="G303" s="11"/>
      <c r="H303" s="11"/>
      <c r="I303" s="11"/>
      <c r="J303" s="11"/>
      <c r="L303" s="1063">
        <v>0.2</v>
      </c>
      <c r="N303" s="1235"/>
    </row>
    <row r="304" spans="1:14" s="526" customFormat="1" ht="12.75" x14ac:dyDescent="0.2">
      <c r="A304" s="11"/>
      <c r="B304" s="493"/>
      <c r="C304" s="1151" t="s">
        <v>632</v>
      </c>
      <c r="D304" s="1154">
        <v>1E-4</v>
      </c>
      <c r="E304" s="1155"/>
      <c r="F304" s="11"/>
      <c r="G304" s="11"/>
      <c r="H304" s="11"/>
      <c r="I304" s="11"/>
      <c r="J304" s="11"/>
      <c r="L304" s="1063">
        <v>0.2</v>
      </c>
      <c r="N304" s="1235"/>
    </row>
    <row r="305" spans="1:14" s="526" customFormat="1" ht="12.75" x14ac:dyDescent="0.2">
      <c r="A305" s="11"/>
      <c r="B305" s="493"/>
      <c r="C305" s="1151" t="s">
        <v>633</v>
      </c>
      <c r="D305" s="1154"/>
      <c r="E305" s="1155">
        <v>2.8E-3</v>
      </c>
      <c r="F305" s="11"/>
      <c r="G305" s="11"/>
      <c r="H305" s="11"/>
      <c r="I305" s="11"/>
      <c r="J305" s="11"/>
      <c r="L305" s="1063">
        <v>0.2</v>
      </c>
      <c r="N305" s="1235"/>
    </row>
    <row r="306" spans="1:14" s="526" customFormat="1" ht="12.75" x14ac:dyDescent="0.2">
      <c r="A306" s="11"/>
      <c r="B306" s="493"/>
      <c r="C306" s="489" t="s">
        <v>634</v>
      </c>
      <c r="D306" s="1154"/>
      <c r="E306" s="1155">
        <v>6.4999999999999997E-3</v>
      </c>
      <c r="F306" s="11"/>
      <c r="G306" s="11"/>
      <c r="H306" s="11"/>
      <c r="I306" s="11"/>
      <c r="J306" s="11"/>
      <c r="L306" s="1063">
        <v>0.2</v>
      </c>
      <c r="N306" s="1235"/>
    </row>
    <row r="307" spans="1:14" s="526" customFormat="1" ht="12.75" x14ac:dyDescent="0.2">
      <c r="A307" s="11"/>
      <c r="B307" s="493"/>
      <c r="C307" s="1151" t="s">
        <v>635</v>
      </c>
      <c r="D307" s="1154"/>
      <c r="E307" s="1155">
        <v>0.12720000000000001</v>
      </c>
      <c r="F307" s="11"/>
      <c r="G307" s="11"/>
      <c r="H307" s="11"/>
      <c r="I307" s="11"/>
      <c r="J307" s="11"/>
      <c r="L307" s="1063">
        <v>0.2</v>
      </c>
      <c r="N307" s="1235"/>
    </row>
    <row r="308" spans="1:14" s="526" customFormat="1" ht="12.75" x14ac:dyDescent="0.2">
      <c r="A308" s="11"/>
      <c r="B308" s="493"/>
      <c r="C308" s="1151" t="s">
        <v>97</v>
      </c>
      <c r="D308" s="1157"/>
      <c r="E308" s="1158">
        <v>6.3799999999999996E-2</v>
      </c>
      <c r="F308" s="11"/>
      <c r="G308" s="11"/>
      <c r="H308" s="11"/>
      <c r="I308" s="11"/>
      <c r="J308" s="11"/>
      <c r="L308" s="1063">
        <v>0.2</v>
      </c>
      <c r="N308" s="1235"/>
    </row>
    <row r="309" spans="1:14" s="526" customFormat="1" ht="12.75" x14ac:dyDescent="0.2">
      <c r="A309" s="11"/>
      <c r="B309" s="11"/>
      <c r="C309" s="11"/>
      <c r="D309" s="11"/>
      <c r="E309" s="11"/>
      <c r="F309" s="11"/>
      <c r="G309" s="11"/>
      <c r="H309" s="11"/>
      <c r="I309" s="11"/>
      <c r="J309" s="11"/>
      <c r="L309" s="145"/>
      <c r="N309" s="1235"/>
    </row>
    <row r="310" spans="1:14" s="526" customFormat="1" ht="12.75" x14ac:dyDescent="0.2">
      <c r="B310" s="187"/>
      <c r="C310" s="187"/>
      <c r="D310" s="187"/>
      <c r="E310" s="187"/>
      <c r="F310" s="187"/>
      <c r="G310" s="187"/>
      <c r="H310" s="187"/>
      <c r="I310" s="187"/>
      <c r="J310" s="187"/>
      <c r="L310" s="145"/>
      <c r="N310" s="1235"/>
    </row>
    <row r="311" spans="1:14" s="526" customFormat="1" ht="12.75" customHeight="1" x14ac:dyDescent="0.2">
      <c r="B311" s="490" t="s">
        <v>42</v>
      </c>
      <c r="C311" s="1159">
        <v>145000</v>
      </c>
      <c r="D311" s="187"/>
      <c r="E311" s="187"/>
      <c r="F311" s="88"/>
      <c r="G311" s="88"/>
      <c r="H311" s="88"/>
      <c r="I311" s="1090" t="s">
        <v>104</v>
      </c>
      <c r="J311" s="2612" t="s">
        <v>742</v>
      </c>
      <c r="L311" s="1063">
        <v>0.2</v>
      </c>
      <c r="N311" s="1235"/>
    </row>
    <row r="312" spans="1:14" s="526" customFormat="1" ht="12.75" x14ac:dyDescent="0.2">
      <c r="B312" s="490" t="s">
        <v>44</v>
      </c>
      <c r="C312" s="1160">
        <v>100000</v>
      </c>
      <c r="D312" s="187"/>
      <c r="E312" s="187"/>
      <c r="F312" s="187"/>
      <c r="G312" s="187"/>
      <c r="H312" s="187"/>
      <c r="I312" s="375"/>
      <c r="J312" s="2614"/>
      <c r="L312" s="1063">
        <v>0.2</v>
      </c>
      <c r="N312" s="1235"/>
    </row>
    <row r="313" spans="1:14" s="526" customFormat="1" ht="12.75" x14ac:dyDescent="0.2">
      <c r="B313" s="490" t="s">
        <v>46</v>
      </c>
      <c r="C313" s="1160">
        <v>860000</v>
      </c>
      <c r="D313" s="187"/>
      <c r="E313" s="187"/>
      <c r="F313" s="187"/>
      <c r="G313" s="187"/>
      <c r="H313" s="187"/>
      <c r="I313" s="114" t="s">
        <v>100</v>
      </c>
      <c r="J313" s="94" t="s">
        <v>102</v>
      </c>
      <c r="L313" s="1063">
        <v>0.2</v>
      </c>
      <c r="N313" s="1235"/>
    </row>
    <row r="314" spans="1:14" s="526" customFormat="1" ht="12.75" customHeight="1" x14ac:dyDescent="0.2">
      <c r="B314" s="490" t="s">
        <v>47</v>
      </c>
      <c r="C314" s="1160">
        <v>31800</v>
      </c>
      <c r="D314" s="187"/>
      <c r="E314" s="187"/>
      <c r="F314" s="187"/>
      <c r="G314" s="187"/>
      <c r="H314" s="187"/>
      <c r="I314" s="1090" t="s">
        <v>10</v>
      </c>
      <c r="J314" s="2820" t="s">
        <v>647</v>
      </c>
      <c r="L314" s="1063">
        <v>0.2</v>
      </c>
      <c r="N314" s="1235"/>
    </row>
    <row r="315" spans="1:14" s="526" customFormat="1" ht="12.75" x14ac:dyDescent="0.2">
      <c r="B315" s="490" t="s">
        <v>492</v>
      </c>
      <c r="C315" s="1160">
        <v>300</v>
      </c>
      <c r="D315" s="187"/>
      <c r="E315" s="187"/>
      <c r="F315" s="187"/>
      <c r="G315" s="187"/>
      <c r="H315" s="187"/>
      <c r="I315" s="375"/>
      <c r="J315" s="2821"/>
      <c r="L315" s="1063">
        <v>0.2</v>
      </c>
      <c r="N315" s="1235"/>
    </row>
    <row r="316" spans="1:14" s="526" customFormat="1" ht="12.75" x14ac:dyDescent="0.2">
      <c r="B316" s="490" t="s">
        <v>56</v>
      </c>
      <c r="C316" s="1160">
        <v>391000</v>
      </c>
      <c r="D316" s="187"/>
      <c r="E316" s="187"/>
      <c r="F316" s="187"/>
      <c r="G316" s="187"/>
      <c r="H316" s="187"/>
      <c r="I316" s="114" t="s">
        <v>352</v>
      </c>
      <c r="J316" s="94" t="s">
        <v>797</v>
      </c>
      <c r="L316" s="1063">
        <v>0.2</v>
      </c>
      <c r="N316" s="1235"/>
    </row>
    <row r="317" spans="1:14" s="526" customFormat="1" ht="12.75" x14ac:dyDescent="0.2">
      <c r="B317" s="490" t="s">
        <v>52</v>
      </c>
      <c r="C317" s="1160">
        <v>19400</v>
      </c>
      <c r="D317" s="187"/>
      <c r="E317" s="187"/>
      <c r="F317" s="187"/>
      <c r="G317" s="187"/>
      <c r="H317" s="187"/>
      <c r="I317" s="114" t="s">
        <v>99</v>
      </c>
      <c r="J317" s="94"/>
      <c r="L317" s="1063">
        <v>0.2</v>
      </c>
      <c r="N317" s="1235"/>
    </row>
    <row r="318" spans="1:14" s="526" customFormat="1" ht="12.75" x14ac:dyDescent="0.2">
      <c r="B318" s="490" t="s">
        <v>724</v>
      </c>
      <c r="C318" s="1160">
        <v>31100</v>
      </c>
      <c r="D318" s="187"/>
      <c r="E318" s="187"/>
      <c r="F318" s="187"/>
      <c r="G318" s="187"/>
      <c r="H318" s="187"/>
      <c r="I318" s="114" t="s">
        <v>658</v>
      </c>
      <c r="J318" s="153"/>
      <c r="L318" s="1063">
        <v>0.2</v>
      </c>
      <c r="N318" s="1235"/>
    </row>
    <row r="319" spans="1:14" s="526" customFormat="1" ht="12.75" x14ac:dyDescent="0.2">
      <c r="B319" s="490" t="s">
        <v>725</v>
      </c>
      <c r="C319" s="1160">
        <v>4400</v>
      </c>
      <c r="D319" s="187"/>
      <c r="E319" s="187"/>
      <c r="F319" s="187"/>
      <c r="G319" s="187"/>
      <c r="H319" s="187"/>
      <c r="I319" s="187"/>
      <c r="J319" s="187"/>
      <c r="L319" s="1063">
        <v>0.2</v>
      </c>
      <c r="N319" s="1235"/>
    </row>
    <row r="320" spans="1:14" s="526" customFormat="1" ht="12.75" x14ac:dyDescent="0.2">
      <c r="B320" s="490" t="s">
        <v>726</v>
      </c>
      <c r="C320" s="1160">
        <v>230000</v>
      </c>
      <c r="D320" s="187"/>
      <c r="E320" s="187"/>
      <c r="F320" s="187"/>
      <c r="G320" s="187"/>
      <c r="H320" s="187"/>
      <c r="I320" s="187"/>
      <c r="J320" s="187"/>
      <c r="L320" s="1063">
        <v>0.2</v>
      </c>
      <c r="N320" s="1235"/>
    </row>
    <row r="321" spans="2:14" s="526" customFormat="1" ht="12.75" x14ac:dyDescent="0.2">
      <c r="B321" s="490" t="s">
        <v>67</v>
      </c>
      <c r="C321" s="1160">
        <v>280000</v>
      </c>
      <c r="D321" s="187"/>
      <c r="E321" s="187"/>
      <c r="F321" s="187"/>
      <c r="G321" s="187"/>
      <c r="H321" s="187"/>
      <c r="I321" s="187"/>
      <c r="J321" s="187"/>
      <c r="L321" s="1063">
        <v>0.2</v>
      </c>
      <c r="N321" s="1235"/>
    </row>
    <row r="322" spans="2:14" s="526" customFormat="1" ht="12.75" x14ac:dyDescent="0.2">
      <c r="B322" s="490" t="s">
        <v>727</v>
      </c>
      <c r="C322" s="1160">
        <v>370000</v>
      </c>
      <c r="D322" s="187"/>
      <c r="E322" s="187"/>
      <c r="F322" s="187"/>
      <c r="G322" s="187"/>
      <c r="H322" s="187"/>
      <c r="I322" s="187"/>
      <c r="J322" s="187"/>
      <c r="L322" s="1063">
        <v>0.2</v>
      </c>
      <c r="N322" s="1235"/>
    </row>
    <row r="323" spans="2:14" s="526" customFormat="1" ht="12.75" x14ac:dyDescent="0.2">
      <c r="B323" s="490" t="s">
        <v>728</v>
      </c>
      <c r="C323" s="1160">
        <v>154000</v>
      </c>
      <c r="D323" s="187"/>
      <c r="E323" s="187"/>
      <c r="F323" s="187"/>
      <c r="G323" s="187"/>
      <c r="H323" s="187"/>
      <c r="I323" s="187"/>
      <c r="J323" s="187"/>
      <c r="L323" s="1063">
        <v>0.2</v>
      </c>
      <c r="N323" s="1235"/>
    </row>
    <row r="324" spans="2:14" s="526" customFormat="1" ht="12.75" x14ac:dyDescent="0.2">
      <c r="B324" s="490" t="s">
        <v>729</v>
      </c>
      <c r="C324" s="1160">
        <v>3500</v>
      </c>
      <c r="D324" s="187"/>
      <c r="E324" s="187"/>
      <c r="F324" s="187"/>
      <c r="G324" s="187"/>
      <c r="H324" s="187"/>
      <c r="I324" s="187"/>
      <c r="J324" s="187"/>
      <c r="L324" s="1063">
        <v>0.2</v>
      </c>
      <c r="N324" s="1235"/>
    </row>
    <row r="325" spans="2:14" s="526" customFormat="1" ht="12.75" x14ac:dyDescent="0.2">
      <c r="B325" s="490" t="s">
        <v>730</v>
      </c>
      <c r="C325" s="1160">
        <v>40200</v>
      </c>
      <c r="D325" s="187"/>
      <c r="E325" s="187"/>
      <c r="F325" s="187"/>
      <c r="G325" s="187"/>
      <c r="H325" s="187"/>
      <c r="I325" s="98"/>
      <c r="J325" s="1091"/>
      <c r="L325" s="1063">
        <v>0.2</v>
      </c>
      <c r="N325" s="1235"/>
    </row>
    <row r="326" spans="2:14" s="526" customFormat="1" ht="12.75" x14ac:dyDescent="0.2">
      <c r="B326" s="490" t="s">
        <v>731</v>
      </c>
      <c r="C326" s="1160">
        <v>13600</v>
      </c>
      <c r="D326" s="187"/>
      <c r="E326" s="187"/>
      <c r="F326" s="187"/>
      <c r="G326" s="187"/>
      <c r="H326" s="187"/>
      <c r="I326" s="98"/>
      <c r="J326" s="1091"/>
      <c r="L326" s="1063">
        <v>0.2</v>
      </c>
      <c r="N326" s="1235"/>
    </row>
    <row r="327" spans="2:14" s="526" customFormat="1" ht="12.75" x14ac:dyDescent="0.2">
      <c r="B327" s="490" t="s">
        <v>732</v>
      </c>
      <c r="C327" s="1160">
        <v>4100</v>
      </c>
      <c r="D327" s="187"/>
      <c r="E327" s="187"/>
      <c r="F327" s="187"/>
      <c r="G327" s="187"/>
      <c r="H327" s="187"/>
      <c r="I327" s="98"/>
      <c r="J327" s="1091"/>
      <c r="L327" s="1063">
        <v>0.2</v>
      </c>
      <c r="N327" s="1235"/>
    </row>
    <row r="328" spans="2:14" s="526" customFormat="1" ht="12.75" x14ac:dyDescent="0.2">
      <c r="B328" s="490" t="s">
        <v>733</v>
      </c>
      <c r="C328" s="1160">
        <v>4600</v>
      </c>
      <c r="D328" s="187"/>
      <c r="E328" s="187"/>
      <c r="F328" s="187"/>
      <c r="G328" s="187"/>
      <c r="H328" s="187"/>
      <c r="I328" s="98"/>
      <c r="J328" s="1091"/>
      <c r="L328" s="1063">
        <v>0.2</v>
      </c>
      <c r="N328" s="1235"/>
    </row>
    <row r="329" spans="2:14" s="526" customFormat="1" ht="12.75" x14ac:dyDescent="0.2">
      <c r="B329" s="490" t="s">
        <v>734</v>
      </c>
      <c r="C329" s="1160">
        <v>170</v>
      </c>
      <c r="D329" s="187"/>
      <c r="E329" s="187"/>
      <c r="F329" s="187"/>
      <c r="G329" s="187"/>
      <c r="H329" s="187"/>
      <c r="I329" s="98"/>
      <c r="J329" s="1091"/>
      <c r="L329" s="1063">
        <v>0.2</v>
      </c>
      <c r="N329" s="1235"/>
    </row>
    <row r="330" spans="2:14" s="526" customFormat="1" ht="12.75" x14ac:dyDescent="0.2">
      <c r="B330" s="490" t="s">
        <v>735</v>
      </c>
      <c r="C330" s="1160">
        <v>4600</v>
      </c>
      <c r="D330" s="187"/>
      <c r="E330" s="187"/>
      <c r="F330" s="187"/>
      <c r="G330" s="187"/>
      <c r="H330" s="187"/>
      <c r="I330" s="98"/>
      <c r="J330" s="1091"/>
      <c r="L330" s="1063">
        <v>0.2</v>
      </c>
      <c r="N330" s="1235"/>
    </row>
    <row r="331" spans="2:14" s="526" customFormat="1" ht="12.75" x14ac:dyDescent="0.2">
      <c r="B331" s="490" t="s">
        <v>736</v>
      </c>
      <c r="C331" s="1160">
        <v>4000</v>
      </c>
      <c r="D331" s="187"/>
      <c r="E331" s="187"/>
      <c r="F331" s="187"/>
      <c r="G331" s="187"/>
      <c r="H331" s="187"/>
      <c r="I331" s="98"/>
      <c r="J331" s="1091"/>
      <c r="L331" s="1063">
        <v>0.2</v>
      </c>
      <c r="N331" s="1235"/>
    </row>
    <row r="332" spans="2:14" s="526" customFormat="1" ht="12.75" x14ac:dyDescent="0.2">
      <c r="B332" s="490" t="s">
        <v>485</v>
      </c>
      <c r="C332" s="1160">
        <v>430</v>
      </c>
      <c r="D332" s="187"/>
      <c r="E332" s="187"/>
      <c r="F332" s="187"/>
      <c r="G332" s="187"/>
      <c r="H332" s="187"/>
      <c r="I332" s="98"/>
      <c r="J332" s="1091"/>
      <c r="L332" s="1063">
        <v>0.2</v>
      </c>
      <c r="N332" s="1235"/>
    </row>
    <row r="333" spans="2:14" s="526" customFormat="1" ht="12.75" x14ac:dyDescent="0.2">
      <c r="B333" s="490" t="s">
        <v>737</v>
      </c>
      <c r="C333" s="1160">
        <v>5800</v>
      </c>
      <c r="D333" s="187"/>
      <c r="E333" s="187"/>
      <c r="F333" s="187"/>
      <c r="G333" s="187"/>
      <c r="H333" s="187"/>
      <c r="I333" s="98"/>
      <c r="J333" s="1091"/>
      <c r="L333" s="1063">
        <v>0.2</v>
      </c>
      <c r="N333" s="1235"/>
    </row>
    <row r="334" spans="2:14" s="526" customFormat="1" ht="12.75" x14ac:dyDescent="0.2">
      <c r="B334" s="490" t="s">
        <v>30</v>
      </c>
      <c r="C334" s="1160">
        <v>58000</v>
      </c>
      <c r="D334" s="187"/>
      <c r="E334" s="187"/>
      <c r="F334" s="187"/>
      <c r="G334" s="187"/>
      <c r="H334" s="187"/>
      <c r="I334" s="98"/>
      <c r="J334" s="1091"/>
      <c r="L334" s="1063">
        <v>0.2</v>
      </c>
      <c r="N334" s="1235"/>
    </row>
    <row r="335" spans="2:14" s="526" customFormat="1" ht="12.75" x14ac:dyDescent="0.2">
      <c r="B335" s="490" t="s">
        <v>83</v>
      </c>
      <c r="C335" s="1160">
        <v>3900</v>
      </c>
      <c r="D335" s="187"/>
      <c r="E335" s="187"/>
      <c r="F335" s="187"/>
      <c r="G335" s="187"/>
      <c r="H335" s="187"/>
      <c r="I335" s="98"/>
      <c r="J335" s="1091"/>
      <c r="L335" s="1063">
        <v>0.2</v>
      </c>
      <c r="N335" s="1235"/>
    </row>
    <row r="336" spans="2:14" s="526" customFormat="1" ht="12.75" x14ac:dyDescent="0.2">
      <c r="B336" s="490" t="s">
        <v>568</v>
      </c>
      <c r="C336" s="1161">
        <v>17000</v>
      </c>
      <c r="D336" s="1162"/>
      <c r="E336" s="187"/>
      <c r="F336" s="187"/>
      <c r="G336" s="187"/>
      <c r="H336" s="187"/>
      <c r="I336" s="98"/>
      <c r="J336" s="1091"/>
      <c r="L336" s="1063">
        <v>0.2</v>
      </c>
      <c r="N336" s="1235"/>
    </row>
    <row r="337" spans="2:14" s="526" customFormat="1" ht="12.75" x14ac:dyDescent="0.2">
      <c r="B337" s="490"/>
      <c r="C337" s="187"/>
      <c r="D337" s="187"/>
      <c r="E337" s="187"/>
      <c r="F337" s="187"/>
      <c r="G337" s="187"/>
      <c r="H337" s="187"/>
      <c r="I337" s="98"/>
      <c r="J337" s="1091"/>
      <c r="L337" s="145"/>
      <c r="N337" s="1235"/>
    </row>
    <row r="338" spans="2:14" s="526" customFormat="1" ht="12.75" x14ac:dyDescent="0.2">
      <c r="B338" s="490" t="s">
        <v>2</v>
      </c>
      <c r="C338" s="1163">
        <v>200000</v>
      </c>
      <c r="D338" s="187"/>
      <c r="E338" s="187"/>
      <c r="F338" s="187"/>
      <c r="G338" s="187"/>
      <c r="H338" s="187"/>
      <c r="I338" s="98"/>
      <c r="J338" s="1091"/>
      <c r="L338" s="1063">
        <v>0.2</v>
      </c>
      <c r="N338" s="1235"/>
    </row>
    <row r="339" spans="2:14" s="526" customFormat="1" ht="12.75" x14ac:dyDescent="0.2">
      <c r="B339" s="490"/>
      <c r="C339" s="187"/>
      <c r="D339" s="187"/>
      <c r="E339" s="187"/>
      <c r="F339" s="187"/>
      <c r="G339" s="187"/>
      <c r="H339" s="187"/>
      <c r="I339" s="98"/>
      <c r="J339" s="1091"/>
      <c r="L339" s="145"/>
      <c r="N339" s="1235"/>
    </row>
    <row r="340" spans="2:14" s="526" customFormat="1" ht="12.75" x14ac:dyDescent="0.2">
      <c r="B340" s="471"/>
      <c r="C340" s="471"/>
      <c r="D340" s="471"/>
      <c r="E340" s="471"/>
      <c r="F340" s="471"/>
      <c r="G340" s="471"/>
      <c r="H340" s="471"/>
      <c r="I340" s="471"/>
      <c r="J340" s="471"/>
      <c r="L340" s="145"/>
      <c r="N340" s="1235"/>
    </row>
    <row r="341" spans="2:14" s="526" customFormat="1" ht="12.75" customHeight="1" x14ac:dyDescent="0.2">
      <c r="B341" s="471"/>
      <c r="C341" s="34" t="s">
        <v>16</v>
      </c>
      <c r="D341" s="495" t="s">
        <v>17</v>
      </c>
      <c r="E341" s="495" t="s">
        <v>18</v>
      </c>
      <c r="F341" s="1164" t="s">
        <v>659</v>
      </c>
      <c r="G341" s="471"/>
      <c r="H341" s="471"/>
      <c r="I341" s="2592" t="s">
        <v>104</v>
      </c>
      <c r="J341" s="2586" t="s">
        <v>796</v>
      </c>
      <c r="L341" s="145"/>
      <c r="N341" s="1235"/>
    </row>
    <row r="342" spans="2:14" s="526" customFormat="1" ht="12.75" x14ac:dyDescent="0.2">
      <c r="B342" s="471"/>
      <c r="C342" s="1165">
        <v>437984.61538461543</v>
      </c>
      <c r="D342" s="1166">
        <v>1194503.4965034965</v>
      </c>
      <c r="E342" s="1167">
        <v>1214411.888111888</v>
      </c>
      <c r="F342" s="1168" t="str">
        <f>IF(SUM(C342:E342)=SUM(C311:C336),"Ok","Error")</f>
        <v>Error</v>
      </c>
      <c r="G342" s="471"/>
      <c r="H342" s="471"/>
      <c r="I342" s="2594"/>
      <c r="J342" s="2588"/>
      <c r="L342" s="1063">
        <v>0.2</v>
      </c>
      <c r="N342" s="1235"/>
    </row>
    <row r="343" spans="2:14" s="526" customFormat="1" ht="12.75" x14ac:dyDescent="0.2">
      <c r="B343" s="471"/>
      <c r="C343" s="1169"/>
      <c r="D343" s="1169"/>
      <c r="E343" s="1169"/>
      <c r="F343" s="471"/>
      <c r="G343" s="471"/>
      <c r="H343" s="471"/>
      <c r="I343" s="113" t="s">
        <v>100</v>
      </c>
      <c r="J343" s="37" t="s">
        <v>102</v>
      </c>
      <c r="L343" s="145"/>
      <c r="N343" s="1235"/>
    </row>
    <row r="344" spans="2:14" s="526" customFormat="1" ht="12.75" x14ac:dyDescent="0.2">
      <c r="B344" s="471"/>
      <c r="C344" s="471"/>
      <c r="D344" s="471"/>
      <c r="E344" s="471"/>
      <c r="F344" s="471"/>
      <c r="G344" s="471"/>
      <c r="H344" s="471"/>
      <c r="I344" s="99"/>
      <c r="J344" s="1089"/>
      <c r="L344" s="145"/>
      <c r="N344" s="1235"/>
    </row>
    <row r="345" spans="2:14" s="526" customFormat="1" ht="12.75" x14ac:dyDescent="0.2">
      <c r="B345" s="88"/>
      <c r="C345" s="88"/>
      <c r="D345" s="88"/>
      <c r="E345" s="88"/>
      <c r="F345" s="88"/>
      <c r="G345" s="88"/>
      <c r="H345" s="88"/>
      <c r="I345" s="88"/>
      <c r="J345" s="88"/>
      <c r="L345" s="145"/>
      <c r="N345" s="1235"/>
    </row>
    <row r="346" spans="2:14" s="526" customFormat="1" x14ac:dyDescent="0.25">
      <c r="B346" s="1170"/>
      <c r="C346" s="187"/>
      <c r="D346" s="1171" t="s">
        <v>17</v>
      </c>
      <c r="E346" s="88"/>
      <c r="F346" s="88"/>
      <c r="G346" s="88"/>
      <c r="H346" s="88"/>
      <c r="I346" s="114" t="s">
        <v>104</v>
      </c>
      <c r="J346" s="94" t="s">
        <v>824</v>
      </c>
      <c r="L346" s="145"/>
      <c r="N346" s="1235"/>
    </row>
    <row r="347" spans="2:14" s="526" customFormat="1" ht="12.75" x14ac:dyDescent="0.2">
      <c r="B347" s="88"/>
      <c r="C347" s="187"/>
      <c r="D347" s="1172">
        <v>55000</v>
      </c>
      <c r="E347" s="88"/>
      <c r="F347" s="88"/>
      <c r="G347" s="88"/>
      <c r="H347" s="88"/>
      <c r="I347" s="114" t="s">
        <v>100</v>
      </c>
      <c r="J347" s="94" t="s">
        <v>102</v>
      </c>
      <c r="L347" s="1063">
        <v>0.2</v>
      </c>
      <c r="N347" s="1235"/>
    </row>
    <row r="348" spans="2:14" s="526" customFormat="1" ht="12.75" x14ac:dyDescent="0.2">
      <c r="B348" s="187"/>
      <c r="C348" s="187"/>
      <c r="D348" s="88"/>
      <c r="E348" s="88"/>
      <c r="F348" s="88"/>
      <c r="G348" s="88"/>
      <c r="H348" s="88"/>
      <c r="I348" s="98"/>
      <c r="J348" s="1091"/>
      <c r="L348" s="145"/>
      <c r="N348" s="1235"/>
    </row>
    <row r="349" spans="2:14" s="526" customFormat="1" ht="12.75" x14ac:dyDescent="0.2">
      <c r="B349" s="188"/>
      <c r="C349" s="188"/>
      <c r="D349" s="11"/>
      <c r="E349" s="11"/>
      <c r="F349" s="11"/>
      <c r="G349" s="11"/>
      <c r="H349" s="11"/>
      <c r="I349" s="11"/>
      <c r="J349" s="11"/>
      <c r="L349" s="145"/>
      <c r="N349" s="1235"/>
    </row>
    <row r="350" spans="2:14" s="526" customFormat="1" ht="12.75" customHeight="1" x14ac:dyDescent="0.2">
      <c r="B350" s="1173" t="s">
        <v>67</v>
      </c>
      <c r="C350" s="1174"/>
      <c r="D350" s="1175">
        <v>0.6</v>
      </c>
      <c r="E350" s="11"/>
      <c r="F350" s="11"/>
      <c r="G350" s="11"/>
      <c r="H350" s="11"/>
      <c r="I350" s="2592" t="s">
        <v>104</v>
      </c>
      <c r="J350" s="2586" t="s">
        <v>823</v>
      </c>
      <c r="L350" s="1063">
        <v>0.2</v>
      </c>
      <c r="N350" s="1235"/>
    </row>
    <row r="351" spans="2:14" s="526" customFormat="1" ht="12.75" x14ac:dyDescent="0.2">
      <c r="B351" s="1173" t="s">
        <v>597</v>
      </c>
      <c r="C351" s="194"/>
      <c r="D351" s="1176">
        <v>0.3</v>
      </c>
      <c r="E351" s="11"/>
      <c r="F351" s="11"/>
      <c r="G351" s="11"/>
      <c r="H351" s="11"/>
      <c r="I351" s="2594"/>
      <c r="J351" s="2588"/>
      <c r="L351" s="1063">
        <v>0.2</v>
      </c>
      <c r="N351" s="1235"/>
    </row>
    <row r="352" spans="2:14" s="526" customFormat="1" ht="12.75" x14ac:dyDescent="0.2">
      <c r="B352" s="1173" t="s">
        <v>26</v>
      </c>
      <c r="C352" s="1177"/>
      <c r="D352" s="1178">
        <v>0.1</v>
      </c>
      <c r="E352" s="11"/>
      <c r="F352" s="11"/>
      <c r="G352" s="11"/>
      <c r="H352" s="11"/>
      <c r="I352" s="113" t="s">
        <v>100</v>
      </c>
      <c r="J352" s="37" t="s">
        <v>101</v>
      </c>
      <c r="L352" s="1063">
        <v>0.2</v>
      </c>
      <c r="N352" s="1235"/>
    </row>
    <row r="353" spans="1:16" s="526" customFormat="1" ht="12.75" x14ac:dyDescent="0.2">
      <c r="B353" s="11"/>
      <c r="C353" s="11"/>
      <c r="D353" s="11"/>
      <c r="E353" s="11"/>
      <c r="F353" s="11"/>
      <c r="G353" s="11"/>
      <c r="H353" s="11"/>
      <c r="I353" s="487"/>
      <c r="J353" s="772"/>
      <c r="L353" s="145"/>
      <c r="N353" s="1235"/>
    </row>
    <row r="354" spans="1:16" ht="15.75" x14ac:dyDescent="0.25">
      <c r="A354" s="52" t="s">
        <v>8</v>
      </c>
      <c r="B354" s="52"/>
      <c r="C354" s="52"/>
      <c r="D354" s="52"/>
      <c r="E354" s="52"/>
      <c r="F354" s="52"/>
      <c r="G354" s="52"/>
      <c r="H354" s="52"/>
      <c r="I354" s="52"/>
      <c r="J354" s="52"/>
      <c r="K354" s="52"/>
      <c r="L354" s="1062"/>
    </row>
    <row r="355" spans="1:16" s="526" customFormat="1" ht="12.75" x14ac:dyDescent="0.2">
      <c r="A355" s="11"/>
      <c r="B355" s="11"/>
      <c r="C355" s="24" t="s">
        <v>16</v>
      </c>
      <c r="D355" s="24" t="s">
        <v>17</v>
      </c>
      <c r="E355" s="24" t="s">
        <v>18</v>
      </c>
      <c r="F355" s="11"/>
      <c r="G355" s="11"/>
      <c r="H355" s="11"/>
      <c r="I355" s="113" t="s">
        <v>104</v>
      </c>
      <c r="J355" s="37" t="s">
        <v>753</v>
      </c>
      <c r="L355" s="145"/>
      <c r="N355" s="1235"/>
    </row>
    <row r="356" spans="1:16" s="526" customFormat="1" ht="12.75" x14ac:dyDescent="0.2">
      <c r="A356" s="11"/>
      <c r="B356" s="11"/>
      <c r="C356" s="403">
        <v>171412</v>
      </c>
      <c r="D356" s="456">
        <v>235356</v>
      </c>
      <c r="E356" s="404">
        <v>38785</v>
      </c>
      <c r="F356" s="11"/>
      <c r="G356" s="11"/>
      <c r="H356" s="11"/>
      <c r="I356" s="113" t="s">
        <v>100</v>
      </c>
      <c r="J356" s="37" t="s">
        <v>102</v>
      </c>
      <c r="L356" s="1063">
        <v>0.2</v>
      </c>
      <c r="N356" s="1235"/>
    </row>
    <row r="357" spans="1:16" s="526" customFormat="1" ht="12.75" x14ac:dyDescent="0.2">
      <c r="A357" s="11"/>
      <c r="B357" s="11"/>
      <c r="C357" s="11"/>
      <c r="D357" s="11"/>
      <c r="E357" s="11"/>
      <c r="F357" s="11"/>
      <c r="G357" s="11"/>
      <c r="H357" s="11"/>
      <c r="I357" s="11"/>
      <c r="J357" s="11"/>
      <c r="L357" s="145"/>
      <c r="N357" s="1235"/>
    </row>
    <row r="358" spans="1:16" s="526" customFormat="1" ht="12.75" x14ac:dyDescent="0.2">
      <c r="A358" s="188"/>
      <c r="B358" s="187"/>
      <c r="C358" s="187"/>
      <c r="D358" s="187"/>
      <c r="E358" s="187"/>
      <c r="F358" s="187"/>
      <c r="G358" s="187"/>
      <c r="H358" s="187"/>
      <c r="I358" s="187"/>
      <c r="J358" s="187"/>
      <c r="L358" s="145"/>
      <c r="N358" s="1235"/>
      <c r="P358" s="1134"/>
    </row>
    <row r="359" spans="1:16" s="526" customFormat="1" ht="12.75" x14ac:dyDescent="0.2">
      <c r="A359" s="11"/>
      <c r="B359" s="88"/>
      <c r="C359" s="1135" t="s">
        <v>114</v>
      </c>
      <c r="D359" s="1135" t="s">
        <v>418</v>
      </c>
      <c r="E359" s="187"/>
      <c r="F359" s="88"/>
      <c r="G359" s="88"/>
      <c r="H359" s="88"/>
      <c r="I359" s="114" t="s">
        <v>104</v>
      </c>
      <c r="J359" s="94" t="s">
        <v>465</v>
      </c>
      <c r="L359" s="145"/>
      <c r="N359" s="1235"/>
    </row>
    <row r="360" spans="1:16" s="526" customFormat="1" ht="12.75" x14ac:dyDescent="0.2">
      <c r="A360" s="188"/>
      <c r="B360" s="187"/>
      <c r="C360" s="506">
        <v>112945</v>
      </c>
      <c r="D360" s="1120">
        <v>43931</v>
      </c>
      <c r="E360" s="187"/>
      <c r="F360" s="187"/>
      <c r="G360" s="187"/>
      <c r="H360" s="187"/>
      <c r="I360" s="114" t="s">
        <v>100</v>
      </c>
      <c r="J360" s="94" t="s">
        <v>102</v>
      </c>
      <c r="L360" s="1063">
        <v>0.2</v>
      </c>
      <c r="N360" s="1235"/>
    </row>
    <row r="361" spans="1:16" s="526" customFormat="1" ht="12.75" x14ac:dyDescent="0.2">
      <c r="A361" s="188"/>
      <c r="B361" s="187"/>
      <c r="C361" s="187"/>
      <c r="D361" s="187"/>
      <c r="E361" s="187"/>
      <c r="F361" s="187"/>
      <c r="G361" s="187"/>
      <c r="H361" s="187"/>
      <c r="I361" s="98"/>
      <c r="J361" s="1091"/>
      <c r="L361" s="145"/>
      <c r="N361" s="1235"/>
    </row>
    <row r="362" spans="1:16" s="526" customFormat="1" ht="12.75" x14ac:dyDescent="0.2">
      <c r="A362" s="1089"/>
      <c r="B362" s="1089"/>
      <c r="C362" s="1089"/>
      <c r="D362" s="1089"/>
      <c r="E362" s="1089"/>
      <c r="F362" s="1089"/>
      <c r="G362" s="1089"/>
      <c r="H362" s="1089"/>
      <c r="I362" s="1089"/>
      <c r="J362" s="1089"/>
      <c r="L362" s="145"/>
      <c r="N362" s="1235"/>
    </row>
    <row r="363" spans="1:16" s="526" customFormat="1" ht="12.75" x14ac:dyDescent="0.2">
      <c r="A363" s="1089"/>
      <c r="B363" s="1089"/>
      <c r="C363" s="24" t="s">
        <v>16</v>
      </c>
      <c r="D363" s="24" t="s">
        <v>17</v>
      </c>
      <c r="E363" s="24" t="s">
        <v>18</v>
      </c>
      <c r="F363" s="1089"/>
      <c r="G363" s="1089"/>
      <c r="H363" s="1089"/>
      <c r="I363" s="113" t="s">
        <v>104</v>
      </c>
      <c r="J363" s="37" t="s">
        <v>766</v>
      </c>
      <c r="L363" s="145"/>
      <c r="N363" s="1235"/>
    </row>
    <row r="364" spans="1:16" s="526" customFormat="1" ht="12.75" x14ac:dyDescent="0.2">
      <c r="A364" s="1089"/>
      <c r="B364" s="638"/>
      <c r="C364" s="1136">
        <v>170.73599999999999</v>
      </c>
      <c r="D364" s="1137">
        <v>3386.2639999999997</v>
      </c>
      <c r="E364" s="1138">
        <v>0</v>
      </c>
      <c r="F364" s="1089"/>
      <c r="G364" s="1089"/>
      <c r="H364" s="1089"/>
      <c r="I364" s="113" t="s">
        <v>100</v>
      </c>
      <c r="J364" s="37" t="s">
        <v>102</v>
      </c>
      <c r="L364" s="1063">
        <v>0.2</v>
      </c>
      <c r="N364" s="1235"/>
    </row>
    <row r="365" spans="1:16" s="526" customFormat="1" ht="12.75" x14ac:dyDescent="0.2">
      <c r="A365" s="1089"/>
      <c r="B365" s="1089"/>
      <c r="C365" s="1089"/>
      <c r="D365" s="1089"/>
      <c r="E365" s="1089"/>
      <c r="F365" s="1089"/>
      <c r="G365" s="1089"/>
      <c r="H365" s="1089"/>
      <c r="I365" s="1089"/>
      <c r="J365" s="1089"/>
      <c r="L365" s="145"/>
      <c r="N365" s="1235"/>
    </row>
    <row r="366" spans="1:16" s="526" customFormat="1" ht="12.75" x14ac:dyDescent="0.2">
      <c r="A366" s="188"/>
      <c r="B366" s="187"/>
      <c r="C366" s="187"/>
      <c r="D366" s="187"/>
      <c r="E366" s="187"/>
      <c r="F366" s="187"/>
      <c r="G366" s="187"/>
      <c r="H366" s="187"/>
      <c r="I366" s="187"/>
      <c r="J366" s="187"/>
      <c r="L366" s="145"/>
      <c r="N366" s="1235"/>
    </row>
    <row r="367" spans="1:16" s="526" customFormat="1" ht="12.75" x14ac:dyDescent="0.2">
      <c r="A367" s="188"/>
      <c r="B367" s="187"/>
      <c r="C367" s="479" t="s">
        <v>16</v>
      </c>
      <c r="D367" s="187"/>
      <c r="E367" s="187"/>
      <c r="F367" s="187"/>
      <c r="G367" s="187"/>
      <c r="H367" s="187"/>
      <c r="I367" s="2626" t="s">
        <v>104</v>
      </c>
      <c r="J367" s="2612" t="s">
        <v>466</v>
      </c>
      <c r="L367" s="145"/>
      <c r="N367" s="1235"/>
    </row>
    <row r="368" spans="1:16" s="526" customFormat="1" ht="12.75" x14ac:dyDescent="0.2">
      <c r="A368" s="188"/>
      <c r="B368" s="1139" t="s">
        <v>472</v>
      </c>
      <c r="C368" s="1140">
        <v>23250</v>
      </c>
      <c r="D368" s="187"/>
      <c r="E368" s="187"/>
      <c r="F368" s="187"/>
      <c r="G368" s="187"/>
      <c r="H368" s="187"/>
      <c r="I368" s="2627"/>
      <c r="J368" s="2614"/>
      <c r="L368" s="1063">
        <v>0.2</v>
      </c>
      <c r="N368" s="1235"/>
    </row>
    <row r="369" spans="1:14" s="526" customFormat="1" ht="12.75" x14ac:dyDescent="0.2">
      <c r="A369" s="188"/>
      <c r="B369" s="1139" t="s">
        <v>471</v>
      </c>
      <c r="C369" s="1141">
        <v>18599</v>
      </c>
      <c r="D369" s="187"/>
      <c r="E369" s="187"/>
      <c r="F369" s="187"/>
      <c r="G369" s="187"/>
      <c r="H369" s="187"/>
      <c r="I369" s="114" t="s">
        <v>100</v>
      </c>
      <c r="J369" s="94" t="s">
        <v>102</v>
      </c>
      <c r="L369" s="1063">
        <v>0.2</v>
      </c>
      <c r="N369" s="1235"/>
    </row>
    <row r="370" spans="1:14" s="526" customFormat="1" ht="12.75" customHeight="1" x14ac:dyDescent="0.2">
      <c r="A370" s="188"/>
      <c r="B370" s="1139" t="s">
        <v>30</v>
      </c>
      <c r="C370" s="1141">
        <v>14907</v>
      </c>
      <c r="D370" s="187"/>
      <c r="E370" s="187"/>
      <c r="F370" s="187"/>
      <c r="G370" s="187"/>
      <c r="H370" s="187"/>
      <c r="I370" s="187"/>
      <c r="J370" s="187"/>
      <c r="L370" s="1063">
        <v>0.2</v>
      </c>
      <c r="N370" s="1235"/>
    </row>
    <row r="371" spans="1:14" s="526" customFormat="1" ht="12.75" x14ac:dyDescent="0.2">
      <c r="A371" s="188"/>
      <c r="B371" s="1139" t="s">
        <v>52</v>
      </c>
      <c r="C371" s="1141">
        <v>634</v>
      </c>
      <c r="D371" s="187"/>
      <c r="E371" s="187"/>
      <c r="F371" s="187"/>
      <c r="G371" s="187"/>
      <c r="H371" s="187"/>
      <c r="I371" s="187"/>
      <c r="J371" s="187"/>
      <c r="L371" s="1063">
        <v>0.2</v>
      </c>
      <c r="N371" s="1235"/>
    </row>
    <row r="372" spans="1:14" s="526" customFormat="1" ht="12.75" x14ac:dyDescent="0.2">
      <c r="A372" s="188"/>
      <c r="B372" s="1139" t="s">
        <v>56</v>
      </c>
      <c r="C372" s="1142">
        <v>840</v>
      </c>
      <c r="D372" s="187"/>
      <c r="E372" s="187"/>
      <c r="F372" s="187"/>
      <c r="G372" s="187"/>
      <c r="H372" s="187"/>
      <c r="I372" s="187"/>
      <c r="J372" s="187"/>
      <c r="L372" s="1063">
        <v>0.2</v>
      </c>
      <c r="N372" s="1235"/>
    </row>
    <row r="373" spans="1:14" s="526" customFormat="1" ht="12.75" x14ac:dyDescent="0.2">
      <c r="A373" s="188"/>
      <c r="B373" s="187"/>
      <c r="C373" s="187"/>
      <c r="D373" s="187"/>
      <c r="E373" s="187"/>
      <c r="F373" s="187"/>
      <c r="G373" s="187"/>
      <c r="H373" s="187"/>
      <c r="I373" s="187"/>
      <c r="J373" s="187"/>
      <c r="L373" s="145"/>
      <c r="N373" s="1235"/>
    </row>
    <row r="374" spans="1:14" s="526" customFormat="1" ht="12.75" x14ac:dyDescent="0.2">
      <c r="A374" s="1089"/>
      <c r="B374" s="1089"/>
      <c r="C374" s="1089"/>
      <c r="D374" s="1089"/>
      <c r="E374" s="1089"/>
      <c r="F374" s="1089"/>
      <c r="G374" s="1089"/>
      <c r="H374" s="1089"/>
      <c r="I374" s="1089"/>
      <c r="J374" s="1089"/>
      <c r="L374" s="145"/>
      <c r="N374" s="1235"/>
    </row>
    <row r="375" spans="1:14" s="526" customFormat="1" ht="25.5" x14ac:dyDescent="0.2">
      <c r="A375" s="1089"/>
      <c r="B375" s="1089"/>
      <c r="C375" s="24" t="s">
        <v>16</v>
      </c>
      <c r="D375" s="24" t="s">
        <v>17</v>
      </c>
      <c r="E375" s="1089"/>
      <c r="F375" s="1089"/>
      <c r="G375" s="1089"/>
      <c r="H375" s="1089"/>
      <c r="I375" s="113" t="s">
        <v>104</v>
      </c>
      <c r="J375" s="37" t="s">
        <v>771</v>
      </c>
      <c r="L375" s="145"/>
      <c r="N375" s="1235"/>
    </row>
    <row r="376" spans="1:14" s="526" customFormat="1" ht="12.75" x14ac:dyDescent="0.2">
      <c r="A376" s="1089"/>
      <c r="B376" s="369" t="s">
        <v>770</v>
      </c>
      <c r="C376" s="1143">
        <v>0.61827824370991613</v>
      </c>
      <c r="D376" s="1144">
        <v>0.35407255950912681</v>
      </c>
      <c r="E376" s="1089"/>
      <c r="F376" s="1089"/>
      <c r="G376" s="1089"/>
      <c r="H376" s="1089"/>
      <c r="I376" s="113" t="s">
        <v>100</v>
      </c>
      <c r="J376" s="37" t="s">
        <v>101</v>
      </c>
      <c r="L376" s="1063">
        <v>0.2</v>
      </c>
      <c r="N376" s="1235"/>
    </row>
    <row r="377" spans="1:14" s="526" customFormat="1" ht="12.75" x14ac:dyDescent="0.2">
      <c r="L377" s="145"/>
      <c r="N377" s="1235"/>
    </row>
    <row r="378" spans="1:14" ht="15.75" x14ac:dyDescent="0.25">
      <c r="A378" s="52" t="s">
        <v>9</v>
      </c>
      <c r="B378" s="52"/>
      <c r="C378" s="52"/>
      <c r="D378" s="52"/>
      <c r="E378" s="52"/>
      <c r="F378" s="52"/>
      <c r="G378" s="52"/>
      <c r="H378" s="52"/>
      <c r="I378" s="52"/>
      <c r="J378" s="52"/>
      <c r="K378" s="52"/>
      <c r="L378" s="1062"/>
    </row>
    <row r="379" spans="1:14" s="1236" customFormat="1" ht="12.75" x14ac:dyDescent="0.2">
      <c r="A379" s="11"/>
      <c r="C379" s="24" t="s">
        <v>16</v>
      </c>
      <c r="D379" s="24" t="s">
        <v>40</v>
      </c>
      <c r="H379" s="11"/>
      <c r="I379" s="113" t="s">
        <v>104</v>
      </c>
      <c r="J379" s="37" t="s">
        <v>755</v>
      </c>
      <c r="L379" s="64"/>
    </row>
    <row r="380" spans="1:14" s="1236" customFormat="1" ht="12.75" x14ac:dyDescent="0.25">
      <c r="A380" s="11"/>
      <c r="C380" s="1325">
        <v>1802187</v>
      </c>
      <c r="D380" s="1327">
        <v>2214099</v>
      </c>
      <c r="H380" s="11"/>
      <c r="I380" s="113" t="s">
        <v>100</v>
      </c>
      <c r="J380" s="37" t="s">
        <v>102</v>
      </c>
      <c r="L380" s="1063">
        <v>0.2</v>
      </c>
    </row>
    <row r="381" spans="1:14" s="1236" customFormat="1" ht="12.75" x14ac:dyDescent="0.25">
      <c r="A381" s="11"/>
      <c r="H381" s="11"/>
      <c r="I381" s="99"/>
      <c r="J381" s="1116"/>
      <c r="L381" s="1064"/>
    </row>
    <row r="382" spans="1:14" s="1237" customFormat="1" ht="12.75" x14ac:dyDescent="0.25">
      <c r="A382" s="1238"/>
      <c r="B382" s="1242"/>
      <c r="C382" s="92"/>
      <c r="D382" s="93"/>
      <c r="E382" s="1242"/>
      <c r="F382" s="1242"/>
      <c r="G382" s="1242"/>
      <c r="H382" s="1239"/>
      <c r="I382" s="98"/>
      <c r="J382" s="1239"/>
      <c r="L382" s="783"/>
    </row>
    <row r="383" spans="1:14" s="1237" customFormat="1" ht="12.75" x14ac:dyDescent="0.2">
      <c r="A383" s="1238"/>
      <c r="B383" s="1242"/>
      <c r="C383" s="90" t="s">
        <v>16</v>
      </c>
      <c r="D383" s="90" t="s">
        <v>40</v>
      </c>
      <c r="E383" s="1242"/>
      <c r="F383" s="1242"/>
      <c r="G383" s="1242"/>
      <c r="H383" s="1239"/>
      <c r="I383" s="114" t="s">
        <v>104</v>
      </c>
      <c r="J383" s="94" t="s">
        <v>745</v>
      </c>
      <c r="L383" s="783"/>
    </row>
    <row r="384" spans="1:14" s="1237" customFormat="1" ht="12.75" x14ac:dyDescent="0.25">
      <c r="A384" s="1240"/>
      <c r="B384" s="1243" t="s">
        <v>746</v>
      </c>
      <c r="C384" s="767">
        <v>0</v>
      </c>
      <c r="D384" s="768">
        <v>0</v>
      </c>
      <c r="E384" s="1242"/>
      <c r="F384" s="1242"/>
      <c r="G384" s="1242"/>
      <c r="H384" s="1241"/>
      <c r="I384" s="114" t="s">
        <v>100</v>
      </c>
      <c r="J384" s="1244" t="s">
        <v>102</v>
      </c>
      <c r="L384" s="1063">
        <v>0.2</v>
      </c>
    </row>
    <row r="385" spans="1:12" s="1237" customFormat="1" ht="12.75" x14ac:dyDescent="0.25">
      <c r="A385" s="1240"/>
      <c r="B385" s="1243" t="s">
        <v>747</v>
      </c>
      <c r="C385" s="769">
        <v>0</v>
      </c>
      <c r="D385" s="770">
        <v>0</v>
      </c>
      <c r="E385" s="1242"/>
      <c r="F385" s="1242"/>
      <c r="G385" s="1242"/>
      <c r="H385" s="1242"/>
      <c r="I385" s="1242"/>
      <c r="J385" s="1242"/>
      <c r="L385" s="1063">
        <v>0.2</v>
      </c>
    </row>
    <row r="386" spans="1:12" s="1237" customFormat="1" ht="12.75" x14ac:dyDescent="0.25">
      <c r="A386" s="1240"/>
      <c r="B386" s="1241"/>
      <c r="C386" s="1241"/>
      <c r="D386" s="1241"/>
      <c r="E386" s="1245"/>
      <c r="F386" s="1242"/>
      <c r="G386" s="1242"/>
      <c r="H386" s="1242"/>
      <c r="I386" s="1242"/>
      <c r="J386" s="1242"/>
      <c r="L386" s="156"/>
    </row>
    <row r="387" spans="1:12" s="1237" customFormat="1" ht="12.75" x14ac:dyDescent="0.25">
      <c r="A387" s="1238"/>
      <c r="H387" s="1238"/>
      <c r="I387" s="1246"/>
      <c r="J387" s="1238"/>
      <c r="L387" s="156"/>
    </row>
    <row r="388" spans="1:12" s="1237" customFormat="1" ht="12.75" x14ac:dyDescent="0.2">
      <c r="A388" s="11"/>
      <c r="C388" s="23"/>
      <c r="D388" s="180" t="s">
        <v>17</v>
      </c>
      <c r="E388" s="180" t="s">
        <v>18</v>
      </c>
      <c r="H388" s="11"/>
      <c r="I388" s="113" t="s">
        <v>104</v>
      </c>
      <c r="J388" s="37" t="s">
        <v>129</v>
      </c>
      <c r="L388" s="156"/>
    </row>
    <row r="389" spans="1:12" s="1237" customFormat="1" ht="12.75" x14ac:dyDescent="0.25">
      <c r="A389" s="11"/>
      <c r="D389" s="401">
        <v>0.6</v>
      </c>
      <c r="E389" s="402">
        <v>0.4</v>
      </c>
      <c r="H389" s="11"/>
      <c r="I389" s="113" t="s">
        <v>100</v>
      </c>
      <c r="J389" s="37" t="s">
        <v>101</v>
      </c>
      <c r="L389" s="1063">
        <v>0.2</v>
      </c>
    </row>
    <row r="390" spans="1:12" s="1237" customFormat="1" ht="12.75" x14ac:dyDescent="0.25">
      <c r="A390" s="11"/>
      <c r="B390" s="63"/>
      <c r="C390" s="309"/>
      <c r="D390" s="309"/>
      <c r="E390" s="1247"/>
      <c r="H390" s="11"/>
      <c r="I390" s="99"/>
      <c r="J390" s="1116"/>
      <c r="L390" s="156"/>
    </row>
    <row r="391" spans="1:12" s="1237" customFormat="1" ht="12.75" x14ac:dyDescent="0.25">
      <c r="B391" s="1242"/>
      <c r="C391" s="1242"/>
      <c r="D391" s="1242"/>
      <c r="E391" s="1242"/>
      <c r="F391" s="1242"/>
      <c r="G391" s="1242"/>
      <c r="H391" s="1242"/>
      <c r="I391" s="1248"/>
      <c r="J391" s="1242"/>
      <c r="L391" s="156"/>
    </row>
    <row r="392" spans="1:12" s="1237" customFormat="1" ht="12.75" x14ac:dyDescent="0.25">
      <c r="B392" s="320"/>
      <c r="C392" s="95" t="s">
        <v>16</v>
      </c>
      <c r="D392" s="95" t="s">
        <v>17</v>
      </c>
      <c r="E392" s="95" t="s">
        <v>18</v>
      </c>
      <c r="F392" s="1242"/>
      <c r="G392" s="1242"/>
      <c r="H392" s="1242"/>
      <c r="I392" s="1117" t="s">
        <v>104</v>
      </c>
      <c r="J392" s="2820" t="s">
        <v>759</v>
      </c>
      <c r="L392" s="156"/>
    </row>
    <row r="393" spans="1:12" s="1237" customFormat="1" ht="12.75" x14ac:dyDescent="0.25">
      <c r="A393" s="11"/>
      <c r="B393" s="109" t="s">
        <v>19</v>
      </c>
      <c r="C393" s="393">
        <v>0.109</v>
      </c>
      <c r="D393" s="394">
        <v>0.188</v>
      </c>
      <c r="E393" s="395">
        <v>8.0000000000000002E-3</v>
      </c>
      <c r="F393" s="1242"/>
      <c r="G393" s="1242"/>
      <c r="H393" s="88"/>
      <c r="I393" s="1249"/>
      <c r="J393" s="2821"/>
      <c r="L393" s="1063">
        <v>0.2</v>
      </c>
    </row>
    <row r="394" spans="1:12" s="1237" customFormat="1" ht="12.75" customHeight="1" x14ac:dyDescent="0.25">
      <c r="A394" s="11"/>
      <c r="B394" s="109" t="s">
        <v>21</v>
      </c>
      <c r="C394" s="396">
        <v>0.36</v>
      </c>
      <c r="D394" s="392">
        <v>0.17100000000000001</v>
      </c>
      <c r="E394" s="397">
        <v>0</v>
      </c>
      <c r="F394" s="1242"/>
      <c r="G394" s="1242"/>
      <c r="H394" s="88"/>
      <c r="I394" s="114" t="s">
        <v>100</v>
      </c>
      <c r="J394" s="94" t="s">
        <v>101</v>
      </c>
      <c r="L394" s="1063">
        <v>0.2</v>
      </c>
    </row>
    <row r="395" spans="1:12" s="1237" customFormat="1" ht="12.75" x14ac:dyDescent="0.25">
      <c r="A395" s="11"/>
      <c r="B395" s="109" t="s">
        <v>23</v>
      </c>
      <c r="C395" s="396">
        <v>7.3999999999999996E-2</v>
      </c>
      <c r="D395" s="392">
        <v>7.0000000000000007E-2</v>
      </c>
      <c r="E395" s="397">
        <v>2.7E-2</v>
      </c>
      <c r="F395" s="1242"/>
      <c r="G395" s="1242"/>
      <c r="H395" s="88"/>
      <c r="I395" s="1248"/>
      <c r="J395" s="1241"/>
      <c r="L395" s="1063">
        <v>0.2</v>
      </c>
    </row>
    <row r="396" spans="1:12" s="1237" customFormat="1" ht="12.75" x14ac:dyDescent="0.25">
      <c r="A396" s="11"/>
      <c r="B396" s="109" t="s">
        <v>24</v>
      </c>
      <c r="C396" s="396">
        <v>3.0000000000000001E-3</v>
      </c>
      <c r="D396" s="392">
        <v>0.13</v>
      </c>
      <c r="E396" s="397">
        <v>0.11799999999999999</v>
      </c>
      <c r="F396" s="1242"/>
      <c r="G396" s="1242"/>
      <c r="H396" s="325"/>
      <c r="I396" s="1248"/>
      <c r="J396" s="1241"/>
      <c r="L396" s="1063">
        <v>0.2</v>
      </c>
    </row>
    <row r="397" spans="1:12" s="1237" customFormat="1" ht="12.75" customHeight="1" x14ac:dyDescent="0.25">
      <c r="A397" s="11"/>
      <c r="B397" s="109" t="s">
        <v>26</v>
      </c>
      <c r="C397" s="396">
        <v>2.7E-2</v>
      </c>
      <c r="D397" s="392">
        <v>6.5000000000000002E-2</v>
      </c>
      <c r="E397" s="397">
        <v>1.2999999999999999E-2</v>
      </c>
      <c r="F397" s="1242"/>
      <c r="G397" s="1242"/>
      <c r="H397" s="325"/>
      <c r="I397" s="1248"/>
      <c r="J397" s="1241"/>
      <c r="L397" s="1063">
        <v>0.2</v>
      </c>
    </row>
    <row r="398" spans="1:12" s="1237" customFormat="1" ht="12.75" x14ac:dyDescent="0.25">
      <c r="A398" s="370"/>
      <c r="B398" s="109" t="s">
        <v>29</v>
      </c>
      <c r="C398" s="396">
        <v>0</v>
      </c>
      <c r="D398" s="392">
        <v>4.0000000000000001E-3</v>
      </c>
      <c r="E398" s="397">
        <v>0</v>
      </c>
      <c r="F398" s="1242"/>
      <c r="G398" s="1242"/>
      <c r="H398" s="325"/>
      <c r="I398" s="1248"/>
      <c r="J398" s="1241"/>
      <c r="L398" s="1063">
        <v>0.2</v>
      </c>
    </row>
    <row r="399" spans="1:12" s="1237" customFormat="1" ht="12.75" x14ac:dyDescent="0.25">
      <c r="A399" s="370"/>
      <c r="B399" s="109" t="s">
        <v>30</v>
      </c>
      <c r="C399" s="396">
        <v>2.8000000000000001E-2</v>
      </c>
      <c r="D399" s="392">
        <v>0.02</v>
      </c>
      <c r="E399" s="397">
        <v>1E-3</v>
      </c>
      <c r="F399" s="1242"/>
      <c r="G399" s="1242"/>
      <c r="H399" s="325"/>
      <c r="I399" s="1248"/>
      <c r="J399" s="1241"/>
      <c r="L399" s="1063">
        <v>0.2</v>
      </c>
    </row>
    <row r="400" spans="1:12" s="1237" customFormat="1" ht="12.75" x14ac:dyDescent="0.25">
      <c r="A400" s="368"/>
      <c r="B400" s="109" t="s">
        <v>31</v>
      </c>
      <c r="C400" s="396">
        <v>3.9E-2</v>
      </c>
      <c r="D400" s="392">
        <v>7.3999999999999996E-2</v>
      </c>
      <c r="E400" s="397">
        <v>1.2999999999999999E-2</v>
      </c>
      <c r="F400" s="1242"/>
      <c r="G400" s="1242"/>
      <c r="H400" s="325"/>
      <c r="I400" s="1248"/>
      <c r="J400" s="1241"/>
      <c r="L400" s="1063">
        <v>0.2</v>
      </c>
    </row>
    <row r="401" spans="1:12" s="1237" customFormat="1" ht="12.75" x14ac:dyDescent="0.25">
      <c r="B401" s="109" t="s">
        <v>33</v>
      </c>
      <c r="C401" s="396">
        <v>5.3999999999999999E-2</v>
      </c>
      <c r="D401" s="392">
        <v>8.7999999999999995E-2</v>
      </c>
      <c r="E401" s="397">
        <v>6.0000000000000001E-3</v>
      </c>
      <c r="F401" s="1242"/>
      <c r="G401" s="1242"/>
      <c r="H401" s="325"/>
      <c r="I401" s="1248"/>
      <c r="J401" s="1241"/>
      <c r="L401" s="1063">
        <v>0.2</v>
      </c>
    </row>
    <row r="402" spans="1:12" s="1237" customFormat="1" ht="12.75" x14ac:dyDescent="0.25">
      <c r="B402" s="109" t="s">
        <v>28</v>
      </c>
      <c r="C402" s="396">
        <v>1.7000000000000001E-2</v>
      </c>
      <c r="D402" s="392">
        <v>2.1999999999999999E-2</v>
      </c>
      <c r="E402" s="397">
        <v>7.0000000000000001E-3</v>
      </c>
      <c r="F402" s="1242"/>
      <c r="G402" s="1242"/>
      <c r="H402" s="325"/>
      <c r="I402" s="1248"/>
      <c r="J402" s="1241"/>
      <c r="L402" s="1063">
        <v>0.2</v>
      </c>
    </row>
    <row r="403" spans="1:12" s="1237" customFormat="1" ht="12.75" x14ac:dyDescent="0.25">
      <c r="B403" s="109" t="s">
        <v>34</v>
      </c>
      <c r="C403" s="396">
        <v>0</v>
      </c>
      <c r="D403" s="392">
        <v>0</v>
      </c>
      <c r="E403" s="397">
        <v>0</v>
      </c>
      <c r="F403" s="1242"/>
      <c r="G403" s="1242"/>
      <c r="H403" s="325"/>
      <c r="I403" s="1248"/>
      <c r="J403" s="1241"/>
      <c r="L403" s="1063">
        <v>0.2</v>
      </c>
    </row>
    <row r="404" spans="1:12" s="1237" customFormat="1" ht="12.75" x14ac:dyDescent="0.25">
      <c r="B404" s="109" t="s">
        <v>36</v>
      </c>
      <c r="C404" s="396">
        <v>1.2999999999999999E-2</v>
      </c>
      <c r="D404" s="392">
        <v>0.11600000000000001</v>
      </c>
      <c r="E404" s="397">
        <v>0.8</v>
      </c>
      <c r="F404" s="1242"/>
      <c r="G404" s="1242"/>
      <c r="H404" s="325"/>
      <c r="I404" s="1248"/>
      <c r="J404" s="1241"/>
      <c r="L404" s="1063">
        <v>0.2</v>
      </c>
    </row>
    <row r="405" spans="1:12" s="1237" customFormat="1" ht="12.75" x14ac:dyDescent="0.25">
      <c r="B405" s="109" t="s">
        <v>27</v>
      </c>
      <c r="C405" s="398">
        <v>0.27600000000000002</v>
      </c>
      <c r="D405" s="399">
        <v>5.1999999999999998E-2</v>
      </c>
      <c r="E405" s="400">
        <v>7.0000000000000001E-3</v>
      </c>
      <c r="F405" s="1242"/>
      <c r="G405" s="1242"/>
      <c r="H405" s="325"/>
      <c r="I405" s="1248"/>
      <c r="J405" s="1241"/>
      <c r="L405" s="1063">
        <v>0.2</v>
      </c>
    </row>
    <row r="406" spans="1:12" s="1237" customFormat="1" ht="12.75" x14ac:dyDescent="0.25">
      <c r="B406" s="96" t="s">
        <v>37</v>
      </c>
      <c r="C406" s="327">
        <f>SUM(C393:C405)</f>
        <v>1</v>
      </c>
      <c r="D406" s="327">
        <f>SUM(D393:D405)</f>
        <v>0.99999999999999989</v>
      </c>
      <c r="E406" s="327">
        <f>SUM(E393:E405)</f>
        <v>1</v>
      </c>
      <c r="F406" s="1242"/>
      <c r="G406" s="1242"/>
      <c r="H406" s="325"/>
      <c r="I406" s="1248"/>
      <c r="J406" s="1241"/>
      <c r="L406" s="156"/>
    </row>
    <row r="407" spans="1:12" s="1237" customFormat="1" ht="12.75" x14ac:dyDescent="0.25">
      <c r="I407" s="1246"/>
      <c r="L407" s="156"/>
    </row>
    <row r="408" spans="1:12" s="1237" customFormat="1" ht="25.5" x14ac:dyDescent="0.2">
      <c r="A408" s="11"/>
      <c r="B408" s="24" t="s">
        <v>105</v>
      </c>
      <c r="C408" s="24" t="s">
        <v>16</v>
      </c>
      <c r="D408" s="24" t="s">
        <v>17</v>
      </c>
      <c r="E408" s="24" t="s">
        <v>18</v>
      </c>
      <c r="F408" s="1561" t="s">
        <v>122</v>
      </c>
      <c r="G408" s="16"/>
      <c r="H408" s="11"/>
      <c r="I408" s="113" t="s">
        <v>104</v>
      </c>
      <c r="J408" s="37" t="s">
        <v>738</v>
      </c>
      <c r="L408" s="156"/>
    </row>
    <row r="409" spans="1:12" s="1237" customFormat="1" ht="12.75" x14ac:dyDescent="0.25">
      <c r="A409" s="11"/>
      <c r="B409" s="1246" t="s">
        <v>41</v>
      </c>
      <c r="C409" s="405">
        <v>4896</v>
      </c>
      <c r="D409" s="406">
        <v>5426</v>
      </c>
      <c r="E409" s="407">
        <v>222884</v>
      </c>
      <c r="H409" s="11"/>
      <c r="I409" s="113" t="s">
        <v>100</v>
      </c>
      <c r="J409" s="37" t="s">
        <v>102</v>
      </c>
      <c r="L409" s="1063">
        <v>0.2</v>
      </c>
    </row>
    <row r="410" spans="1:12" s="1237" customFormat="1" ht="12.75" customHeight="1" x14ac:dyDescent="0.25">
      <c r="A410" s="11"/>
      <c r="B410" s="1246" t="s">
        <v>43</v>
      </c>
      <c r="C410" s="408">
        <v>2161</v>
      </c>
      <c r="D410" s="409">
        <v>5863</v>
      </c>
      <c r="E410" s="410">
        <v>358949</v>
      </c>
      <c r="H410" s="11"/>
      <c r="I410" s="1250"/>
      <c r="L410" s="1063">
        <v>0.2</v>
      </c>
    </row>
    <row r="411" spans="1:12" s="1237" customFormat="1" ht="12.75" x14ac:dyDescent="0.25">
      <c r="A411" s="11"/>
      <c r="B411" s="1246" t="s">
        <v>45</v>
      </c>
      <c r="C411" s="408">
        <v>16844</v>
      </c>
      <c r="D411" s="409">
        <v>9131</v>
      </c>
      <c r="E411" s="410">
        <v>1938259</v>
      </c>
      <c r="H411" s="11"/>
      <c r="I411" s="1250"/>
      <c r="L411" s="1063">
        <v>0.2</v>
      </c>
    </row>
    <row r="412" spans="1:12" s="1237" customFormat="1" ht="12.75" customHeight="1" x14ac:dyDescent="0.25">
      <c r="A412" s="11"/>
      <c r="B412" s="1246" t="s">
        <v>106</v>
      </c>
      <c r="C412" s="408">
        <v>475</v>
      </c>
      <c r="D412" s="409">
        <v>2649</v>
      </c>
      <c r="E412" s="410">
        <v>261802</v>
      </c>
      <c r="H412" s="11"/>
      <c r="I412" s="1250"/>
      <c r="L412" s="1063">
        <v>0.2</v>
      </c>
    </row>
    <row r="413" spans="1:12" s="1237" customFormat="1" ht="12.75" x14ac:dyDescent="0.25">
      <c r="A413" s="11"/>
      <c r="B413" s="1246" t="s">
        <v>48</v>
      </c>
      <c r="C413" s="408">
        <v>0</v>
      </c>
      <c r="D413" s="409">
        <v>33144</v>
      </c>
      <c r="E413" s="410">
        <v>64</v>
      </c>
      <c r="H413" s="11"/>
      <c r="I413" s="1250"/>
      <c r="L413" s="1063">
        <v>0.2</v>
      </c>
    </row>
    <row r="414" spans="1:12" s="1237" customFormat="1" ht="12.75" x14ac:dyDescent="0.25">
      <c r="B414" s="1246" t="s">
        <v>50</v>
      </c>
      <c r="C414" s="408">
        <v>546</v>
      </c>
      <c r="D414" s="409">
        <v>37674</v>
      </c>
      <c r="E414" s="410">
        <v>588855</v>
      </c>
      <c r="H414" s="64"/>
      <c r="I414" s="1250"/>
      <c r="L414" s="1063">
        <v>0.2</v>
      </c>
    </row>
    <row r="415" spans="1:12" s="1237" customFormat="1" ht="12.75" x14ac:dyDescent="0.25">
      <c r="B415" s="1246" t="s">
        <v>108</v>
      </c>
      <c r="C415" s="408">
        <v>0</v>
      </c>
      <c r="D415" s="409">
        <v>12556</v>
      </c>
      <c r="E415" s="410">
        <v>71457</v>
      </c>
      <c r="H415" s="64"/>
      <c r="I415" s="1250"/>
      <c r="L415" s="1063">
        <v>0.2</v>
      </c>
    </row>
    <row r="416" spans="1:12" s="1237" customFormat="1" ht="12.75" customHeight="1" x14ac:dyDescent="0.25">
      <c r="A416" s="1240"/>
      <c r="B416" s="1246" t="s">
        <v>51</v>
      </c>
      <c r="C416" s="408">
        <v>0</v>
      </c>
      <c r="D416" s="409">
        <v>92878</v>
      </c>
      <c r="E416" s="410">
        <v>0</v>
      </c>
      <c r="H416" s="64"/>
      <c r="I416" s="1250"/>
      <c r="L416" s="1063">
        <v>0.2</v>
      </c>
    </row>
    <row r="417" spans="1:15" s="1237" customFormat="1" ht="12.75" customHeight="1" x14ac:dyDescent="0.25">
      <c r="A417" s="1240"/>
      <c r="B417" s="1246" t="s">
        <v>53</v>
      </c>
      <c r="C417" s="408">
        <v>6000</v>
      </c>
      <c r="D417" s="409">
        <v>991</v>
      </c>
      <c r="E417" s="410">
        <v>0</v>
      </c>
      <c r="H417" s="64"/>
      <c r="I417" s="1250"/>
      <c r="L417" s="1063">
        <v>0.2</v>
      </c>
    </row>
    <row r="418" spans="1:15" s="1237" customFormat="1" ht="12.75" x14ac:dyDescent="0.25">
      <c r="B418" s="1246" t="s">
        <v>55</v>
      </c>
      <c r="C418" s="408">
        <v>13800</v>
      </c>
      <c r="D418" s="409">
        <v>85415</v>
      </c>
      <c r="E418" s="410">
        <v>0</v>
      </c>
      <c r="H418" s="64"/>
      <c r="I418" s="1250"/>
      <c r="L418" s="1063">
        <v>0.2</v>
      </c>
    </row>
    <row r="419" spans="1:15" s="1237" customFormat="1" ht="12.75" x14ac:dyDescent="0.25">
      <c r="B419" s="1246" t="s">
        <v>57</v>
      </c>
      <c r="C419" s="408">
        <v>12666</v>
      </c>
      <c r="D419" s="409">
        <v>66861</v>
      </c>
      <c r="E419" s="410">
        <v>7029</v>
      </c>
      <c r="H419" s="64"/>
      <c r="I419" s="1250"/>
      <c r="L419" s="1063">
        <v>0.2</v>
      </c>
    </row>
    <row r="420" spans="1:15" s="1237" customFormat="1" ht="12.75" x14ac:dyDescent="0.25">
      <c r="B420" s="1246" t="s">
        <v>58</v>
      </c>
      <c r="C420" s="408">
        <v>326509</v>
      </c>
      <c r="D420" s="409">
        <v>849586</v>
      </c>
      <c r="E420" s="410">
        <v>86930</v>
      </c>
      <c r="H420" s="64"/>
      <c r="I420" s="1250"/>
      <c r="L420" s="1063">
        <v>0.2</v>
      </c>
    </row>
    <row r="421" spans="1:15" s="1237" customFormat="1" ht="12.75" x14ac:dyDescent="0.25">
      <c r="B421" s="1246" t="s">
        <v>59</v>
      </c>
      <c r="C421" s="408"/>
      <c r="D421" s="409"/>
      <c r="E421" s="410"/>
      <c r="H421" s="64"/>
      <c r="I421" s="1250"/>
      <c r="L421" s="1063">
        <v>0.2</v>
      </c>
    </row>
    <row r="422" spans="1:15" s="1237" customFormat="1" ht="12.75" x14ac:dyDescent="0.25">
      <c r="B422" s="1246" t="s">
        <v>60</v>
      </c>
      <c r="C422" s="408">
        <v>0</v>
      </c>
      <c r="D422" s="409">
        <v>73360</v>
      </c>
      <c r="E422" s="410">
        <v>0</v>
      </c>
      <c r="F422" s="35">
        <f>SUM(C416:E421)</f>
        <v>1548665</v>
      </c>
      <c r="H422" s="64"/>
      <c r="I422" s="1250"/>
      <c r="L422" s="1063">
        <v>0.2</v>
      </c>
    </row>
    <row r="423" spans="1:15" s="1237" customFormat="1" ht="12.75" x14ac:dyDescent="0.25">
      <c r="B423" s="1246" t="s">
        <v>62</v>
      </c>
      <c r="C423" s="408">
        <v>329680</v>
      </c>
      <c r="D423" s="409">
        <v>21949</v>
      </c>
      <c r="E423" s="410">
        <v>7253</v>
      </c>
      <c r="H423" s="64"/>
      <c r="I423" s="1250"/>
      <c r="L423" s="1063">
        <v>0.2</v>
      </c>
    </row>
    <row r="424" spans="1:15" s="1237" customFormat="1" ht="12.75" x14ac:dyDescent="0.25">
      <c r="B424" s="1246" t="s">
        <v>64</v>
      </c>
      <c r="C424" s="408">
        <v>41114</v>
      </c>
      <c r="D424" s="409">
        <v>99407</v>
      </c>
      <c r="E424" s="410">
        <v>238</v>
      </c>
      <c r="H424" s="64"/>
      <c r="I424" s="1250"/>
      <c r="L424" s="1063">
        <v>0.2</v>
      </c>
    </row>
    <row r="425" spans="1:15" s="1237" customFormat="1" ht="12.75" x14ac:dyDescent="0.25">
      <c r="B425" s="1246" t="s">
        <v>66</v>
      </c>
      <c r="C425" s="408">
        <v>0</v>
      </c>
      <c r="D425" s="409">
        <v>136291</v>
      </c>
      <c r="E425" s="410">
        <v>0</v>
      </c>
      <c r="H425" s="68"/>
      <c r="I425" s="1250"/>
      <c r="L425" s="1063">
        <v>0.2</v>
      </c>
    </row>
    <row r="426" spans="1:15" s="1237" customFormat="1" ht="12.75" x14ac:dyDescent="0.25">
      <c r="B426" s="1246" t="s">
        <v>68</v>
      </c>
      <c r="C426" s="408">
        <v>3835</v>
      </c>
      <c r="D426" s="409">
        <v>27827</v>
      </c>
      <c r="E426" s="410">
        <v>12791</v>
      </c>
      <c r="H426" s="64"/>
      <c r="I426" s="1250"/>
      <c r="L426" s="1063">
        <v>0.2</v>
      </c>
    </row>
    <row r="427" spans="1:15" s="1237" customFormat="1" ht="12.75" x14ac:dyDescent="0.25">
      <c r="B427" s="1246" t="s">
        <v>69</v>
      </c>
      <c r="C427" s="408">
        <v>13808</v>
      </c>
      <c r="D427" s="409">
        <v>52702</v>
      </c>
      <c r="E427" s="410">
        <v>6905</v>
      </c>
      <c r="H427" s="64"/>
      <c r="I427" s="1250"/>
      <c r="L427" s="1063">
        <v>0.2</v>
      </c>
    </row>
    <row r="428" spans="1:15" s="1237" customFormat="1" ht="12.75" x14ac:dyDescent="0.25">
      <c r="B428" s="1246" t="s">
        <v>70</v>
      </c>
      <c r="C428" s="408"/>
      <c r="D428" s="409"/>
      <c r="E428" s="410"/>
      <c r="H428" s="64"/>
      <c r="I428" s="1250"/>
      <c r="L428" s="1063">
        <v>0.2</v>
      </c>
    </row>
    <row r="429" spans="1:15" s="1237" customFormat="1" ht="12.75" x14ac:dyDescent="0.25">
      <c r="B429" s="1246" t="s">
        <v>71</v>
      </c>
      <c r="C429" s="408">
        <v>109179</v>
      </c>
      <c r="D429" s="409">
        <v>37964</v>
      </c>
      <c r="E429" s="410">
        <v>2623</v>
      </c>
      <c r="H429" s="64"/>
      <c r="I429" s="1250"/>
      <c r="L429" s="1063">
        <v>0.2</v>
      </c>
    </row>
    <row r="430" spans="1:15" s="1237" customFormat="1" ht="12.75" x14ac:dyDescent="0.25">
      <c r="B430" s="1246" t="s">
        <v>72</v>
      </c>
      <c r="C430" s="408">
        <v>0</v>
      </c>
      <c r="D430" s="409">
        <v>0</v>
      </c>
      <c r="E430" s="410">
        <v>14588</v>
      </c>
      <c r="H430" s="64"/>
      <c r="I430" s="1250"/>
      <c r="L430" s="1063">
        <v>0.2</v>
      </c>
    </row>
    <row r="431" spans="1:15" s="1237" customFormat="1" ht="12.75" x14ac:dyDescent="0.25">
      <c r="B431" s="1246" t="s">
        <v>73</v>
      </c>
      <c r="C431" s="408">
        <v>69201</v>
      </c>
      <c r="D431" s="409">
        <v>551833</v>
      </c>
      <c r="E431" s="410">
        <v>0</v>
      </c>
      <c r="H431" s="64"/>
      <c r="I431" s="1250"/>
      <c r="L431" s="1063">
        <v>0.2</v>
      </c>
    </row>
    <row r="432" spans="1:15" s="1237" customFormat="1" ht="12.75" x14ac:dyDescent="0.25">
      <c r="B432" s="1246" t="s">
        <v>75</v>
      </c>
      <c r="C432" s="408">
        <v>162434</v>
      </c>
      <c r="D432" s="409">
        <v>8990</v>
      </c>
      <c r="E432" s="410">
        <v>0</v>
      </c>
      <c r="H432" s="64"/>
      <c r="I432" s="1250"/>
      <c r="L432" s="1063">
        <v>0.2</v>
      </c>
      <c r="O432" s="1251"/>
    </row>
    <row r="433" spans="1:12" s="1237" customFormat="1" ht="12.75" x14ac:dyDescent="0.25">
      <c r="B433" s="1246" t="s">
        <v>77</v>
      </c>
      <c r="C433" s="408">
        <v>20433</v>
      </c>
      <c r="D433" s="409">
        <v>537667</v>
      </c>
      <c r="E433" s="410">
        <v>0</v>
      </c>
      <c r="H433" s="64"/>
      <c r="I433" s="1250"/>
      <c r="L433" s="1063">
        <v>0.2</v>
      </c>
    </row>
    <row r="434" spans="1:12" s="1237" customFormat="1" ht="12.75" x14ac:dyDescent="0.25">
      <c r="B434" s="1246" t="s">
        <v>78</v>
      </c>
      <c r="C434" s="408">
        <v>0</v>
      </c>
      <c r="D434" s="409">
        <v>42960</v>
      </c>
      <c r="E434" s="410">
        <v>0</v>
      </c>
      <c r="H434" s="64"/>
      <c r="I434" s="1250"/>
      <c r="L434" s="1063">
        <v>0.2</v>
      </c>
    </row>
    <row r="435" spans="1:12" s="1237" customFormat="1" ht="12.75" x14ac:dyDescent="0.25">
      <c r="B435" s="1246" t="s">
        <v>81</v>
      </c>
      <c r="C435" s="408">
        <v>0</v>
      </c>
      <c r="D435" s="409">
        <v>7718</v>
      </c>
      <c r="E435" s="410">
        <v>0</v>
      </c>
      <c r="F435" s="35">
        <f>SUM(C431:E434)</f>
        <v>1393518</v>
      </c>
      <c r="H435" s="64"/>
      <c r="I435" s="1250"/>
      <c r="L435" s="1063">
        <v>0.2</v>
      </c>
    </row>
    <row r="436" spans="1:12" s="1237" customFormat="1" ht="12.75" x14ac:dyDescent="0.25">
      <c r="B436" s="1246" t="s">
        <v>82</v>
      </c>
      <c r="C436" s="408">
        <v>1947</v>
      </c>
      <c r="D436" s="409">
        <v>68289</v>
      </c>
      <c r="E436" s="410">
        <v>0</v>
      </c>
      <c r="H436" s="64"/>
      <c r="I436" s="1250"/>
      <c r="L436" s="1063">
        <v>0.2</v>
      </c>
    </row>
    <row r="437" spans="1:12" s="1237" customFormat="1" ht="12.75" x14ac:dyDescent="0.25">
      <c r="B437" s="1246" t="s">
        <v>84</v>
      </c>
      <c r="C437" s="408">
        <v>1400</v>
      </c>
      <c r="D437" s="409">
        <v>0</v>
      </c>
      <c r="E437" s="410">
        <v>0</v>
      </c>
      <c r="H437" s="64"/>
      <c r="I437" s="1250"/>
      <c r="L437" s="1063">
        <v>0.2</v>
      </c>
    </row>
    <row r="438" spans="1:12" s="1237" customFormat="1" ht="12.75" x14ac:dyDescent="0.25">
      <c r="B438" s="1246" t="s">
        <v>87</v>
      </c>
      <c r="C438" s="408">
        <v>1714</v>
      </c>
      <c r="D438" s="409">
        <v>0</v>
      </c>
      <c r="E438" s="410">
        <v>0</v>
      </c>
      <c r="H438" s="68"/>
      <c r="I438" s="1250"/>
      <c r="L438" s="1063">
        <v>0.2</v>
      </c>
    </row>
    <row r="439" spans="1:12" s="1237" customFormat="1" ht="12.75" x14ac:dyDescent="0.25">
      <c r="B439" s="1246" t="s">
        <v>85</v>
      </c>
      <c r="C439" s="408"/>
      <c r="D439" s="409"/>
      <c r="E439" s="410"/>
      <c r="H439" s="64"/>
      <c r="I439" s="1250"/>
      <c r="L439" s="1063">
        <v>0.2</v>
      </c>
    </row>
    <row r="440" spans="1:12" s="1237" customFormat="1" ht="12.75" x14ac:dyDescent="0.25">
      <c r="B440" s="1246" t="s">
        <v>86</v>
      </c>
      <c r="C440" s="411">
        <v>67667.656416350699</v>
      </c>
      <c r="D440" s="412">
        <v>82046.375634596683</v>
      </c>
      <c r="E440" s="413">
        <v>838.88</v>
      </c>
      <c r="F440" s="35">
        <f>SUM(C409:E440)</f>
        <v>7738952.9120509475</v>
      </c>
      <c r="H440" s="64"/>
      <c r="I440" s="1250"/>
      <c r="L440" s="1063">
        <v>0.2</v>
      </c>
    </row>
    <row r="441" spans="1:12" s="1237" customFormat="1" ht="12.75" x14ac:dyDescent="0.25">
      <c r="H441" s="64"/>
      <c r="I441" s="1250"/>
      <c r="L441" s="156"/>
    </row>
    <row r="442" spans="1:12" s="1237" customFormat="1" ht="12.75" x14ac:dyDescent="0.25">
      <c r="B442" s="1242"/>
      <c r="C442" s="1242"/>
      <c r="D442" s="1242"/>
      <c r="E442" s="1242"/>
      <c r="F442" s="1242"/>
      <c r="G442" s="106"/>
      <c r="H442" s="1242"/>
      <c r="I442" s="1245"/>
      <c r="J442" s="1242"/>
      <c r="L442" s="156"/>
    </row>
    <row r="443" spans="1:12" s="1237" customFormat="1" ht="12.75" customHeight="1" x14ac:dyDescent="0.2">
      <c r="B443" s="1242"/>
      <c r="C443" s="91" t="s">
        <v>16</v>
      </c>
      <c r="D443" s="91" t="s">
        <v>17</v>
      </c>
      <c r="E443" s="91" t="s">
        <v>18</v>
      </c>
      <c r="F443" s="1242"/>
      <c r="G443" s="106"/>
      <c r="H443" s="1242"/>
      <c r="I443" s="114" t="s">
        <v>104</v>
      </c>
      <c r="J443" s="94" t="s">
        <v>120</v>
      </c>
      <c r="L443" s="156"/>
    </row>
    <row r="444" spans="1:12" s="1237" customFormat="1" ht="12.75" x14ac:dyDescent="0.25">
      <c r="B444" s="1245" t="s">
        <v>121</v>
      </c>
      <c r="C444" s="414"/>
      <c r="D444" s="415"/>
      <c r="E444" s="416"/>
      <c r="F444" s="1242"/>
      <c r="G444" s="106"/>
      <c r="H444" s="1242"/>
      <c r="I444" s="114" t="s">
        <v>100</v>
      </c>
      <c r="J444" s="94" t="s">
        <v>102</v>
      </c>
      <c r="L444" s="156"/>
    </row>
    <row r="445" spans="1:12" s="1237" customFormat="1" ht="12.75" x14ac:dyDescent="0.25">
      <c r="B445" s="109"/>
      <c r="C445" s="1252"/>
      <c r="D445" s="1252"/>
      <c r="E445" s="1252"/>
      <c r="F445" s="106"/>
      <c r="G445" s="112"/>
      <c r="H445" s="1242"/>
      <c r="I445" s="1245"/>
      <c r="J445" s="1242"/>
      <c r="L445" s="156"/>
    </row>
    <row r="446" spans="1:12" s="1237" customFormat="1" ht="12.75" x14ac:dyDescent="0.25">
      <c r="A446" s="11"/>
      <c r="B446" s="13"/>
      <c r="H446" s="11"/>
      <c r="I446" s="34"/>
      <c r="J446" s="11"/>
      <c r="L446" s="156"/>
    </row>
    <row r="447" spans="1:12" s="1237" customFormat="1" ht="12.75" x14ac:dyDescent="0.2">
      <c r="A447" s="11"/>
      <c r="C447" s="102" t="s">
        <v>16</v>
      </c>
      <c r="D447" s="102" t="s">
        <v>17</v>
      </c>
      <c r="E447" s="102" t="s">
        <v>18</v>
      </c>
      <c r="H447" s="11"/>
      <c r="I447" s="1115" t="s">
        <v>104</v>
      </c>
      <c r="J447" s="366" t="s">
        <v>987</v>
      </c>
      <c r="L447" s="156"/>
    </row>
    <row r="448" spans="1:12" s="1237" customFormat="1" ht="12.75" customHeight="1" x14ac:dyDescent="0.25">
      <c r="A448" s="1238"/>
      <c r="B448" s="31" t="s">
        <v>39</v>
      </c>
      <c r="C448" s="1577">
        <v>1947</v>
      </c>
      <c r="D448" s="456">
        <v>68289</v>
      </c>
      <c r="E448" s="1578">
        <v>0</v>
      </c>
      <c r="H448" s="1238"/>
      <c r="I448" s="113" t="s">
        <v>100</v>
      </c>
      <c r="J448" s="37" t="s">
        <v>102</v>
      </c>
      <c r="L448" s="1063">
        <v>0.2</v>
      </c>
    </row>
    <row r="449" spans="1:17" s="1237" customFormat="1" ht="12.75" x14ac:dyDescent="0.25">
      <c r="L449" s="156"/>
    </row>
    <row r="450" spans="1:17" ht="15.75" x14ac:dyDescent="0.25">
      <c r="A450" s="52" t="s">
        <v>374</v>
      </c>
      <c r="B450" s="52"/>
      <c r="C450" s="52"/>
      <c r="D450" s="52"/>
      <c r="E450" s="52"/>
      <c r="F450" s="52"/>
      <c r="G450" s="52"/>
      <c r="H450" s="52"/>
      <c r="I450" s="52"/>
      <c r="J450" s="52"/>
      <c r="K450" s="52"/>
      <c r="L450" s="1062"/>
    </row>
    <row r="451" spans="1:17" s="1235" customFormat="1" ht="12.75" x14ac:dyDescent="0.2">
      <c r="A451" s="11"/>
      <c r="B451" s="11"/>
      <c r="C451" s="24" t="s">
        <v>16</v>
      </c>
      <c r="D451" s="24" t="s">
        <v>17</v>
      </c>
      <c r="E451" s="24" t="s">
        <v>18</v>
      </c>
      <c r="F451" s="11"/>
      <c r="G451" s="11"/>
      <c r="H451" s="11"/>
      <c r="I451" s="113" t="s">
        <v>104</v>
      </c>
      <c r="J451" s="37" t="s">
        <v>887</v>
      </c>
      <c r="L451" s="145"/>
      <c r="N451" s="1237"/>
      <c r="O451" s="1237"/>
      <c r="P451" s="1237"/>
      <c r="Q451" s="1237"/>
    </row>
    <row r="452" spans="1:17" s="1235" customFormat="1" ht="12.75" x14ac:dyDescent="0.2">
      <c r="A452" s="11"/>
      <c r="B452" s="11"/>
      <c r="C452" s="1325">
        <v>708055</v>
      </c>
      <c r="D452" s="1326">
        <v>762787</v>
      </c>
      <c r="E452" s="1327">
        <v>1248933</v>
      </c>
      <c r="F452" s="11"/>
      <c r="G452" s="11"/>
      <c r="H452" s="11"/>
      <c r="I452" s="113" t="s">
        <v>100</v>
      </c>
      <c r="J452" s="37" t="s">
        <v>102</v>
      </c>
      <c r="L452" s="1063">
        <v>0.2</v>
      </c>
    </row>
    <row r="453" spans="1:17" s="1235" customFormat="1" ht="12.75" x14ac:dyDescent="0.2">
      <c r="A453" s="1116"/>
      <c r="B453" s="1116"/>
      <c r="C453" s="1116"/>
      <c r="D453" s="1116"/>
      <c r="E453" s="1116"/>
      <c r="F453" s="1116"/>
      <c r="G453" s="1116"/>
      <c r="H453" s="1116"/>
      <c r="I453" s="99"/>
      <c r="J453" s="1116"/>
      <c r="L453" s="145"/>
    </row>
    <row r="454" spans="1:17" s="1235" customFormat="1" ht="12.75" x14ac:dyDescent="0.2">
      <c r="A454" s="1238"/>
      <c r="B454" s="1239"/>
      <c r="C454" s="1239"/>
      <c r="D454" s="1239"/>
      <c r="E454" s="1239"/>
      <c r="F454" s="1239"/>
      <c r="G454" s="1239"/>
      <c r="H454" s="1239"/>
      <c r="I454" s="1239"/>
      <c r="J454" s="1239"/>
      <c r="L454" s="145"/>
      <c r="N454" s="1237"/>
      <c r="O454" s="1237"/>
      <c r="P454" s="1237"/>
      <c r="Q454" s="1237"/>
    </row>
    <row r="455" spans="1:17" s="1235" customFormat="1" ht="12.75" x14ac:dyDescent="0.2">
      <c r="A455" s="1238"/>
      <c r="B455" s="1239"/>
      <c r="C455" s="91" t="s">
        <v>16</v>
      </c>
      <c r="D455" s="91" t="s">
        <v>17</v>
      </c>
      <c r="E455" s="91" t="s">
        <v>18</v>
      </c>
      <c r="F455" s="1239"/>
      <c r="G455" s="1239"/>
      <c r="H455" s="1239"/>
      <c r="I455" s="114" t="s">
        <v>104</v>
      </c>
      <c r="J455" s="94" t="s">
        <v>888</v>
      </c>
      <c r="L455" s="145"/>
    </row>
    <row r="456" spans="1:17" s="1235" customFormat="1" ht="12.75" x14ac:dyDescent="0.2">
      <c r="A456" s="1240"/>
      <c r="B456" s="1241"/>
      <c r="C456" s="1451">
        <v>341253</v>
      </c>
      <c r="D456" s="1547">
        <v>254054</v>
      </c>
      <c r="E456" s="1548">
        <v>759217</v>
      </c>
      <c r="F456" s="1241"/>
      <c r="G456" s="1239"/>
      <c r="H456" s="1239"/>
      <c r="I456" s="114" t="s">
        <v>100</v>
      </c>
      <c r="J456" s="94" t="s">
        <v>102</v>
      </c>
      <c r="L456" s="1063">
        <v>0.2</v>
      </c>
    </row>
    <row r="457" spans="1:17" s="1235" customFormat="1" ht="12.75" x14ac:dyDescent="0.2">
      <c r="A457" s="1240"/>
      <c r="B457" s="1239"/>
      <c r="C457" s="1241"/>
      <c r="D457" s="1241"/>
      <c r="E457" s="1241"/>
      <c r="F457" s="1239"/>
      <c r="G457" s="1239"/>
      <c r="H457" s="1239"/>
      <c r="I457" s="1239"/>
      <c r="J457" s="1239"/>
      <c r="L457" s="145"/>
      <c r="N457" s="1237"/>
      <c r="O457" s="1237"/>
      <c r="P457" s="1237"/>
      <c r="Q457" s="1237"/>
    </row>
    <row r="458" spans="1:17" s="1235" customFormat="1" ht="12.75" x14ac:dyDescent="0.2">
      <c r="A458" s="1237"/>
      <c r="B458" s="1237"/>
      <c r="C458" s="1237"/>
      <c r="D458" s="1237"/>
      <c r="E458" s="1237"/>
      <c r="F458" s="1237"/>
      <c r="G458" s="1237"/>
      <c r="H458" s="1237"/>
      <c r="I458" s="1237"/>
      <c r="J458" s="1237"/>
      <c r="L458" s="145"/>
    </row>
    <row r="459" spans="1:17" s="1235" customFormat="1" ht="12.75" x14ac:dyDescent="0.2">
      <c r="A459" s="1237"/>
      <c r="B459" s="1237"/>
      <c r="C459" s="24" t="s">
        <v>16</v>
      </c>
      <c r="D459" s="24" t="s">
        <v>17</v>
      </c>
      <c r="E459" s="24" t="s">
        <v>18</v>
      </c>
      <c r="F459" s="1237"/>
      <c r="G459" s="1237"/>
      <c r="H459" s="1237"/>
      <c r="I459" s="1237"/>
      <c r="J459" s="1237"/>
      <c r="L459" s="145"/>
    </row>
    <row r="460" spans="1:17" s="1235" customFormat="1" ht="12.75" x14ac:dyDescent="0.2">
      <c r="A460" s="11"/>
      <c r="B460" s="789" t="s">
        <v>42</v>
      </c>
      <c r="C460" s="1562">
        <v>25420</v>
      </c>
      <c r="D460" s="406">
        <v>7110</v>
      </c>
      <c r="E460" s="407">
        <v>82730</v>
      </c>
      <c r="F460" s="11"/>
      <c r="G460" s="11"/>
      <c r="H460" s="11"/>
      <c r="I460" s="1520" t="s">
        <v>104</v>
      </c>
      <c r="J460" s="2586" t="s">
        <v>764</v>
      </c>
      <c r="L460" s="1063">
        <v>0.2</v>
      </c>
    </row>
    <row r="461" spans="1:17" s="1235" customFormat="1" ht="12.75" x14ac:dyDescent="0.2">
      <c r="A461" s="11"/>
      <c r="B461" s="789" t="s">
        <v>46</v>
      </c>
      <c r="C461" s="1563">
        <v>35690</v>
      </c>
      <c r="D461" s="409">
        <v>27950</v>
      </c>
      <c r="E461" s="410">
        <v>199950</v>
      </c>
      <c r="F461" s="11"/>
      <c r="G461" s="11"/>
      <c r="H461" s="11"/>
      <c r="I461" s="1521"/>
      <c r="J461" s="2588"/>
      <c r="L461" s="1063">
        <v>0.2</v>
      </c>
      <c r="N461" s="1237"/>
      <c r="O461" s="1237"/>
      <c r="P461" s="1237"/>
      <c r="Q461" s="1237"/>
    </row>
    <row r="462" spans="1:17" s="1235" customFormat="1" ht="12.75" x14ac:dyDescent="0.2">
      <c r="A462" s="1237"/>
      <c r="B462" s="1564" t="s">
        <v>44</v>
      </c>
      <c r="C462" s="1563">
        <v>5470</v>
      </c>
      <c r="D462" s="409">
        <v>2200</v>
      </c>
      <c r="E462" s="410">
        <v>40200</v>
      </c>
      <c r="F462" s="1237"/>
      <c r="G462" s="1237"/>
      <c r="H462" s="1237"/>
      <c r="I462" s="113" t="s">
        <v>100</v>
      </c>
      <c r="J462" s="37" t="s">
        <v>102</v>
      </c>
      <c r="L462" s="1063">
        <v>0.2</v>
      </c>
    </row>
    <row r="463" spans="1:17" s="1235" customFormat="1" ht="12.75" x14ac:dyDescent="0.2">
      <c r="A463" s="1237"/>
      <c r="B463" s="1564" t="s">
        <v>777</v>
      </c>
      <c r="C463" s="1563">
        <v>61020</v>
      </c>
      <c r="D463" s="409">
        <v>51070</v>
      </c>
      <c r="E463" s="410">
        <v>666200</v>
      </c>
      <c r="F463" s="1237"/>
      <c r="G463" s="1237"/>
      <c r="H463" s="1237"/>
      <c r="I463" s="1237"/>
      <c r="J463" s="1237"/>
      <c r="L463" s="1063">
        <v>0.2</v>
      </c>
    </row>
    <row r="464" spans="1:17" s="1235" customFormat="1" ht="12.75" x14ac:dyDescent="0.2">
      <c r="A464" s="1237"/>
      <c r="B464" s="789" t="s">
        <v>778</v>
      </c>
      <c r="C464" s="1563">
        <v>2390</v>
      </c>
      <c r="D464" s="409">
        <v>12030</v>
      </c>
      <c r="E464" s="410">
        <v>3560</v>
      </c>
      <c r="F464" s="1237"/>
      <c r="G464" s="1237"/>
      <c r="H464" s="1237"/>
      <c r="I464" s="1237"/>
      <c r="J464" s="1237"/>
      <c r="L464" s="1063">
        <v>0.2</v>
      </c>
      <c r="N464" s="1237"/>
      <c r="O464" s="1237"/>
      <c r="P464" s="1237"/>
      <c r="Q464" s="1237"/>
    </row>
    <row r="465" spans="1:17" s="1235" customFormat="1" ht="12.75" x14ac:dyDescent="0.2">
      <c r="A465" s="1237"/>
      <c r="B465" s="789" t="s">
        <v>779</v>
      </c>
      <c r="C465" s="1563">
        <v>1120</v>
      </c>
      <c r="D465" s="409">
        <v>280</v>
      </c>
      <c r="E465" s="410">
        <v>0</v>
      </c>
      <c r="F465" s="1237"/>
      <c r="G465" s="1237"/>
      <c r="H465" s="1237"/>
      <c r="I465" s="1237"/>
      <c r="J465" s="1237"/>
      <c r="L465" s="1063">
        <v>0.2</v>
      </c>
    </row>
    <row r="466" spans="1:17" s="1235" customFormat="1" ht="12.75" x14ac:dyDescent="0.2">
      <c r="A466" s="1237"/>
      <c r="B466" s="789" t="s">
        <v>54</v>
      </c>
      <c r="C466" s="1563">
        <v>770</v>
      </c>
      <c r="D466" s="409">
        <v>21940</v>
      </c>
      <c r="E466" s="410">
        <v>8920</v>
      </c>
      <c r="F466" s="1237"/>
      <c r="G466" s="1237"/>
      <c r="H466" s="1237"/>
      <c r="I466" s="1237"/>
      <c r="J466" s="1237"/>
      <c r="L466" s="1063">
        <v>0.2</v>
      </c>
    </row>
    <row r="467" spans="1:17" s="1235" customFormat="1" ht="12.75" x14ac:dyDescent="0.2">
      <c r="A467" s="1237"/>
      <c r="B467" s="789" t="s">
        <v>780</v>
      </c>
      <c r="C467" s="1563">
        <v>69960</v>
      </c>
      <c r="D467" s="409">
        <v>406980</v>
      </c>
      <c r="E467" s="410">
        <v>150450</v>
      </c>
      <c r="F467" s="1237"/>
      <c r="G467" s="1237"/>
      <c r="H467" s="1237"/>
      <c r="I467" s="1237"/>
      <c r="J467" s="1237"/>
      <c r="L467" s="1063">
        <v>0.2</v>
      </c>
      <c r="N467" s="1237"/>
      <c r="O467" s="1237"/>
      <c r="P467" s="1237"/>
      <c r="Q467" s="1237"/>
    </row>
    <row r="468" spans="1:17" s="1235" customFormat="1" ht="12.75" x14ac:dyDescent="0.2">
      <c r="A468" s="1237"/>
      <c r="B468" s="789" t="s">
        <v>781</v>
      </c>
      <c r="C468" s="1563">
        <v>2740</v>
      </c>
      <c r="D468" s="409">
        <v>0</v>
      </c>
      <c r="E468" s="410">
        <v>0</v>
      </c>
      <c r="F468" s="1237"/>
      <c r="G468" s="1237"/>
      <c r="H468" s="1237"/>
      <c r="I468" s="1237"/>
      <c r="J468" s="1237"/>
      <c r="L468" s="1063">
        <v>0.2</v>
      </c>
    </row>
    <row r="469" spans="1:17" s="1235" customFormat="1" ht="12.75" x14ac:dyDescent="0.2">
      <c r="A469" s="1237"/>
      <c r="B469" s="789" t="s">
        <v>782</v>
      </c>
      <c r="C469" s="1563">
        <v>92740</v>
      </c>
      <c r="D469" s="409">
        <v>81850</v>
      </c>
      <c r="E469" s="410">
        <v>6880</v>
      </c>
      <c r="F469" s="1237"/>
      <c r="G469" s="1237"/>
      <c r="H469" s="1237"/>
      <c r="I469" s="1237"/>
      <c r="J469" s="1237"/>
      <c r="L469" s="1063">
        <v>0.2</v>
      </c>
    </row>
    <row r="470" spans="1:17" s="1235" customFormat="1" ht="12.75" x14ac:dyDescent="0.2">
      <c r="A470" s="1237"/>
      <c r="B470" s="789" t="s">
        <v>89</v>
      </c>
      <c r="C470" s="1563">
        <v>0</v>
      </c>
      <c r="D470" s="409">
        <v>0</v>
      </c>
      <c r="E470" s="410">
        <v>0</v>
      </c>
      <c r="F470" s="1237"/>
      <c r="G470" s="1237"/>
      <c r="H470" s="1237"/>
      <c r="I470" s="1237"/>
      <c r="J470" s="1237"/>
      <c r="L470" s="1063">
        <v>0.2</v>
      </c>
      <c r="N470" s="1237"/>
      <c r="O470" s="1237"/>
      <c r="P470" s="1237"/>
      <c r="Q470" s="1237"/>
    </row>
    <row r="471" spans="1:17" s="1235" customFormat="1" ht="12.75" x14ac:dyDescent="0.2">
      <c r="A471" s="1237"/>
      <c r="B471" s="1564" t="s">
        <v>783</v>
      </c>
      <c r="C471" s="1563">
        <v>46930</v>
      </c>
      <c r="D471" s="409">
        <v>4240</v>
      </c>
      <c r="E471" s="410">
        <v>0</v>
      </c>
      <c r="F471" s="1237"/>
      <c r="G471" s="1237"/>
      <c r="H471" s="1237"/>
      <c r="I471" s="1237"/>
      <c r="J471" s="1237"/>
      <c r="L471" s="1063">
        <v>0.2</v>
      </c>
    </row>
    <row r="472" spans="1:17" s="1235" customFormat="1" ht="12.75" x14ac:dyDescent="0.2">
      <c r="A472" s="1237"/>
      <c r="B472" s="1564" t="s">
        <v>784</v>
      </c>
      <c r="C472" s="1563"/>
      <c r="D472" s="409">
        <v>5010</v>
      </c>
      <c r="E472" s="410"/>
      <c r="F472" s="1237"/>
      <c r="G472" s="1237"/>
      <c r="H472" s="1237"/>
      <c r="I472" s="1237"/>
      <c r="J472" s="1237"/>
      <c r="L472" s="1063">
        <v>0.2</v>
      </c>
    </row>
    <row r="473" spans="1:17" s="1235" customFormat="1" ht="12.75" x14ac:dyDescent="0.2">
      <c r="A473" s="1237"/>
      <c r="B473" s="1564" t="s">
        <v>30</v>
      </c>
      <c r="C473" s="1563">
        <v>32370</v>
      </c>
      <c r="D473" s="409">
        <v>1730</v>
      </c>
      <c r="E473" s="410"/>
      <c r="F473" s="1237"/>
      <c r="G473" s="1237"/>
      <c r="H473" s="1237"/>
      <c r="I473" s="1237"/>
      <c r="J473" s="1237"/>
      <c r="L473" s="1063">
        <v>0.2</v>
      </c>
      <c r="N473" s="1237"/>
      <c r="O473" s="1237"/>
      <c r="P473" s="1237"/>
      <c r="Q473" s="1237"/>
    </row>
    <row r="474" spans="1:17" s="1235" customFormat="1" ht="12.75" x14ac:dyDescent="0.2">
      <c r="A474" s="1237"/>
      <c r="B474" s="1564" t="s">
        <v>785</v>
      </c>
      <c r="C474" s="1563">
        <v>0</v>
      </c>
      <c r="D474" s="409">
        <v>100</v>
      </c>
      <c r="E474" s="410">
        <v>0</v>
      </c>
      <c r="F474" s="1237"/>
      <c r="G474" s="1237"/>
      <c r="H474" s="1237"/>
      <c r="I474" s="1237"/>
      <c r="J474" s="1237"/>
      <c r="L474" s="1063">
        <v>0.2</v>
      </c>
    </row>
    <row r="475" spans="1:17" s="1235" customFormat="1" ht="12.75" x14ac:dyDescent="0.2">
      <c r="A475" s="1237"/>
      <c r="B475" s="1564" t="s">
        <v>786</v>
      </c>
      <c r="C475" s="1563">
        <v>0</v>
      </c>
      <c r="D475" s="409">
        <v>200</v>
      </c>
      <c r="E475" s="410">
        <v>0</v>
      </c>
      <c r="F475" s="1237"/>
      <c r="G475" s="1237"/>
      <c r="H475" s="1237"/>
      <c r="I475" s="1237"/>
      <c r="J475" s="1237"/>
      <c r="L475" s="1063">
        <v>0.2</v>
      </c>
    </row>
    <row r="476" spans="1:17" s="1235" customFormat="1" ht="12.75" x14ac:dyDescent="0.2">
      <c r="A476" s="1237"/>
      <c r="B476" s="1564" t="s">
        <v>507</v>
      </c>
      <c r="C476" s="1563">
        <v>2750</v>
      </c>
      <c r="D476" s="409">
        <v>2750</v>
      </c>
      <c r="E476" s="410">
        <v>0</v>
      </c>
      <c r="F476" s="1237"/>
      <c r="G476" s="1237"/>
      <c r="H476" s="1237"/>
      <c r="I476" s="1237"/>
      <c r="J476" s="1237"/>
      <c r="L476" s="1063">
        <v>0.2</v>
      </c>
      <c r="N476" s="1237"/>
      <c r="O476" s="1237"/>
      <c r="P476" s="1237"/>
      <c r="Q476" s="1237"/>
    </row>
    <row r="477" spans="1:17" s="1235" customFormat="1" ht="12.75" x14ac:dyDescent="0.2">
      <c r="A477" s="1237"/>
      <c r="B477" s="1564" t="s">
        <v>787</v>
      </c>
      <c r="C477" s="1563">
        <v>0</v>
      </c>
      <c r="D477" s="409">
        <v>2100</v>
      </c>
      <c r="E477" s="410">
        <v>0</v>
      </c>
      <c r="F477" s="1237"/>
      <c r="G477" s="1237"/>
      <c r="H477" s="1237"/>
      <c r="I477" s="1237"/>
      <c r="J477" s="1237"/>
      <c r="L477" s="1063">
        <v>0.2</v>
      </c>
    </row>
    <row r="478" spans="1:17" s="1235" customFormat="1" ht="12.75" x14ac:dyDescent="0.2">
      <c r="A478" s="1237"/>
      <c r="B478" s="1564" t="s">
        <v>788</v>
      </c>
      <c r="C478" s="1563"/>
      <c r="D478" s="409"/>
      <c r="E478" s="410"/>
      <c r="F478" s="1237"/>
      <c r="G478" s="1237"/>
      <c r="H478" s="1237"/>
      <c r="I478" s="1237"/>
      <c r="J478" s="1237"/>
      <c r="L478" s="1063">
        <v>0.2</v>
      </c>
    </row>
    <row r="479" spans="1:17" s="1235" customFormat="1" ht="12.75" x14ac:dyDescent="0.2">
      <c r="A479" s="1237"/>
      <c r="B479" s="1564" t="s">
        <v>33</v>
      </c>
      <c r="C479" s="1563"/>
      <c r="D479" s="409"/>
      <c r="E479" s="410"/>
      <c r="F479" s="1237"/>
      <c r="G479" s="1237"/>
      <c r="H479" s="1237"/>
      <c r="I479" s="1237"/>
      <c r="J479" s="1237"/>
      <c r="L479" s="1063">
        <v>0.2</v>
      </c>
      <c r="N479" s="1237"/>
      <c r="O479" s="1237"/>
      <c r="P479" s="1237"/>
      <c r="Q479" s="1237"/>
    </row>
    <row r="480" spans="1:17" s="1235" customFormat="1" ht="12.75" x14ac:dyDescent="0.2">
      <c r="A480" s="1237"/>
      <c r="B480" s="1564" t="s">
        <v>538</v>
      </c>
      <c r="C480" s="1563">
        <v>2000</v>
      </c>
      <c r="D480" s="409">
        <v>500</v>
      </c>
      <c r="E480" s="410">
        <v>0</v>
      </c>
      <c r="F480" s="1237"/>
      <c r="G480" s="1237"/>
      <c r="H480" s="1237"/>
      <c r="I480" s="1237"/>
      <c r="J480" s="1237"/>
      <c r="L480" s="1063">
        <v>0.2</v>
      </c>
    </row>
    <row r="481" spans="1:17" s="1235" customFormat="1" ht="12.75" x14ac:dyDescent="0.2">
      <c r="A481" s="1237"/>
      <c r="B481" s="1564" t="s">
        <v>789</v>
      </c>
      <c r="C481" s="1563">
        <v>1200</v>
      </c>
      <c r="D481" s="409">
        <v>500</v>
      </c>
      <c r="E481" s="410">
        <v>0</v>
      </c>
      <c r="F481" s="1237"/>
      <c r="G481" s="1237"/>
      <c r="H481" s="1237"/>
      <c r="I481" s="1237"/>
      <c r="J481" s="1237"/>
      <c r="L481" s="1063">
        <v>0.2</v>
      </c>
    </row>
    <row r="482" spans="1:17" s="1235" customFormat="1" ht="12.75" x14ac:dyDescent="0.2">
      <c r="A482" s="1237"/>
      <c r="B482" s="1564" t="s">
        <v>790</v>
      </c>
      <c r="C482" s="1563">
        <v>300</v>
      </c>
      <c r="D482" s="409">
        <v>0</v>
      </c>
      <c r="E482" s="410">
        <v>0</v>
      </c>
      <c r="F482" s="1237"/>
      <c r="G482" s="1237"/>
      <c r="H482" s="1237"/>
      <c r="I482" s="1237"/>
      <c r="J482" s="1237"/>
      <c r="L482" s="1063">
        <v>0.2</v>
      </c>
      <c r="N482" s="1237"/>
      <c r="O482" s="1237"/>
      <c r="P482" s="1237"/>
      <c r="Q482" s="1237"/>
    </row>
    <row r="483" spans="1:17" s="1235" customFormat="1" ht="12.75" x14ac:dyDescent="0.2">
      <c r="A483" s="1237"/>
      <c r="B483" s="1564" t="s">
        <v>791</v>
      </c>
      <c r="C483" s="1563">
        <v>400</v>
      </c>
      <c r="D483" s="409">
        <v>0</v>
      </c>
      <c r="E483" s="410">
        <v>0</v>
      </c>
      <c r="F483" s="1237"/>
      <c r="G483" s="1237"/>
      <c r="H483" s="1237"/>
      <c r="I483" s="1237"/>
      <c r="J483" s="1237"/>
      <c r="L483" s="1063">
        <v>0.2</v>
      </c>
    </row>
    <row r="484" spans="1:17" s="1235" customFormat="1" ht="12.75" x14ac:dyDescent="0.2">
      <c r="A484" s="1237"/>
      <c r="B484" s="1564" t="s">
        <v>792</v>
      </c>
      <c r="C484" s="1563">
        <v>400</v>
      </c>
      <c r="D484" s="409">
        <v>0</v>
      </c>
      <c r="E484" s="410">
        <v>0</v>
      </c>
      <c r="F484" s="1237"/>
      <c r="G484" s="1237"/>
      <c r="H484" s="1237"/>
      <c r="I484" s="1237"/>
      <c r="J484" s="1237"/>
      <c r="L484" s="1063">
        <v>0.2</v>
      </c>
    </row>
    <row r="485" spans="1:17" s="1235" customFormat="1" ht="12.75" x14ac:dyDescent="0.2">
      <c r="A485" s="1237"/>
      <c r="B485" s="1564" t="s">
        <v>793</v>
      </c>
      <c r="C485" s="1563"/>
      <c r="D485" s="409"/>
      <c r="E485" s="410"/>
      <c r="F485" s="1237"/>
      <c r="G485" s="1237"/>
      <c r="H485" s="1237"/>
      <c r="I485" s="1237"/>
      <c r="J485" s="1237"/>
      <c r="L485" s="1063">
        <v>0.2</v>
      </c>
      <c r="N485" s="1237"/>
      <c r="O485" s="1237"/>
      <c r="P485" s="1237"/>
      <c r="Q485" s="1237"/>
    </row>
    <row r="486" spans="1:17" s="1235" customFormat="1" ht="12.75" x14ac:dyDescent="0.2">
      <c r="A486" s="1237"/>
      <c r="B486" s="1564" t="s">
        <v>26</v>
      </c>
      <c r="C486" s="1563">
        <v>3720</v>
      </c>
      <c r="D486" s="409">
        <v>70</v>
      </c>
      <c r="E486" s="410"/>
      <c r="F486" s="1237"/>
      <c r="G486" s="1237"/>
      <c r="H486" s="1237"/>
      <c r="I486" s="1237"/>
      <c r="J486" s="1237"/>
      <c r="L486" s="1063">
        <v>0.2</v>
      </c>
    </row>
    <row r="487" spans="1:17" s="1235" customFormat="1" ht="12.75" x14ac:dyDescent="0.2">
      <c r="A487" s="1237"/>
      <c r="B487" s="789" t="s">
        <v>61</v>
      </c>
      <c r="C487" s="1563"/>
      <c r="D487" s="409">
        <v>5850</v>
      </c>
      <c r="E487" s="410"/>
      <c r="F487" s="1237"/>
      <c r="G487" s="1237"/>
      <c r="H487" s="1237"/>
      <c r="I487" s="1237"/>
      <c r="J487" s="1237"/>
      <c r="L487" s="1063">
        <v>0.2</v>
      </c>
    </row>
    <row r="488" spans="1:17" s="1235" customFormat="1" ht="12.75" x14ac:dyDescent="0.2">
      <c r="A488" s="1237"/>
      <c r="B488" s="789" t="s">
        <v>63</v>
      </c>
      <c r="C488" s="1563">
        <v>78610</v>
      </c>
      <c r="D488" s="409">
        <v>35580</v>
      </c>
      <c r="E488" s="410">
        <v>4230</v>
      </c>
      <c r="F488" s="1237"/>
      <c r="G488" s="1237"/>
      <c r="H488" s="1237"/>
      <c r="I488" s="1237"/>
      <c r="J488" s="1237"/>
      <c r="L488" s="1063">
        <v>0.2</v>
      </c>
      <c r="N488" s="1237"/>
      <c r="O488" s="1237"/>
      <c r="P488" s="1237"/>
      <c r="Q488" s="1237"/>
    </row>
    <row r="489" spans="1:17" s="1235" customFormat="1" ht="12.75" x14ac:dyDescent="0.2">
      <c r="A489" s="1237"/>
      <c r="B489" s="789" t="s">
        <v>65</v>
      </c>
      <c r="C489" s="1563">
        <v>89450</v>
      </c>
      <c r="D489" s="409">
        <v>67680</v>
      </c>
      <c r="E489" s="410">
        <v>51500</v>
      </c>
      <c r="F489" s="1237"/>
      <c r="G489" s="1237"/>
      <c r="H489" s="1237"/>
      <c r="I489" s="1237"/>
      <c r="J489" s="1237"/>
      <c r="L489" s="1063">
        <v>0.2</v>
      </c>
    </row>
    <row r="490" spans="1:17" s="1235" customFormat="1" ht="12.75" x14ac:dyDescent="0.2">
      <c r="A490" s="1237"/>
      <c r="B490" s="1565" t="s">
        <v>24</v>
      </c>
      <c r="C490" s="1563">
        <v>1460</v>
      </c>
      <c r="D490" s="409">
        <v>75810</v>
      </c>
      <c r="E490" s="410">
        <v>12250</v>
      </c>
      <c r="F490" s="1237"/>
      <c r="G490" s="1237"/>
      <c r="H490" s="1237"/>
      <c r="I490" s="1237"/>
      <c r="J490" s="1237"/>
      <c r="L490" s="1063">
        <v>0.2</v>
      </c>
    </row>
    <row r="491" spans="1:17" s="1235" customFormat="1" ht="12.75" x14ac:dyDescent="0.2">
      <c r="A491" s="1237"/>
      <c r="B491" s="1566" t="s">
        <v>492</v>
      </c>
      <c r="C491" s="1563"/>
      <c r="D491" s="409"/>
      <c r="E491" s="410">
        <v>34630</v>
      </c>
      <c r="F491" s="1237"/>
      <c r="G491" s="1237"/>
      <c r="H491" s="1237"/>
      <c r="I491" s="1237"/>
      <c r="J491" s="1237"/>
      <c r="L491" s="1063">
        <v>0.2</v>
      </c>
      <c r="N491" s="1237"/>
      <c r="O491" s="1237"/>
      <c r="P491" s="1237"/>
      <c r="Q491" s="1237"/>
    </row>
    <row r="492" spans="1:17" s="1235" customFormat="1" ht="12.75" x14ac:dyDescent="0.2">
      <c r="A492" s="1237"/>
      <c r="B492" s="1566" t="s">
        <v>800</v>
      </c>
      <c r="C492" s="1567"/>
      <c r="D492" s="412"/>
      <c r="E492" s="413"/>
      <c r="F492" s="1237"/>
      <c r="G492" s="1237"/>
      <c r="H492" s="1237"/>
      <c r="I492" s="1237"/>
      <c r="J492" s="1237"/>
      <c r="L492" s="1063">
        <v>0.2</v>
      </c>
    </row>
    <row r="493" spans="1:17" s="1235" customFormat="1" ht="12.75" x14ac:dyDescent="0.2">
      <c r="A493" s="1237"/>
      <c r="B493" s="1237"/>
      <c r="C493" s="1237"/>
      <c r="D493" s="1237"/>
      <c r="E493" s="1237"/>
      <c r="F493" s="1237"/>
      <c r="G493" s="1237"/>
      <c r="H493" s="1237"/>
      <c r="I493" s="1237"/>
      <c r="J493" s="1237"/>
      <c r="L493" s="145"/>
    </row>
  </sheetData>
  <mergeCells count="18">
    <mergeCell ref="I350:I351"/>
    <mergeCell ref="F256:F257"/>
    <mergeCell ref="J460:J461"/>
    <mergeCell ref="J311:J312"/>
    <mergeCell ref="J314:J315"/>
    <mergeCell ref="J341:J342"/>
    <mergeCell ref="J350:J351"/>
    <mergeCell ref="I367:I368"/>
    <mergeCell ref="J367:J368"/>
    <mergeCell ref="J392:J393"/>
    <mergeCell ref="A2:I2"/>
    <mergeCell ref="I233:I234"/>
    <mergeCell ref="J233:J234"/>
    <mergeCell ref="J238:J240"/>
    <mergeCell ref="I341:I342"/>
    <mergeCell ref="J137:J138"/>
    <mergeCell ref="J174:J175"/>
    <mergeCell ref="J218:J220"/>
  </mergeCells>
  <hyperlinks>
    <hyperlink ref="A2:I2" r:id="rId1" display="Data from the 2013-14 reports from jurisdictions except ACT, SA &amp; Tas, for which the data source is the WGRRA database, available here."/>
  </hyperlinks>
  <pageMargins left="0.7" right="0.7" top="0.75" bottom="0.75" header="0.3" footer="0.3"/>
  <pageSetup paperSize="9" orientation="portrait" verticalDpi="0" r:id="rId2"/>
  <drawing r:id="rId3"/>
  <legacyDrawing r:id="rId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65"/>
  <sheetViews>
    <sheetView topLeftCell="A7" zoomScale="90" zoomScaleNormal="90" workbookViewId="0">
      <selection activeCell="A2" sqref="A2"/>
    </sheetView>
  </sheetViews>
  <sheetFormatPr defaultColWidth="9.140625" defaultRowHeight="15" x14ac:dyDescent="0.25"/>
  <cols>
    <col min="1" max="1" width="28.7109375" style="523" customWidth="1"/>
    <col min="2" max="2" width="16.85546875" style="523" customWidth="1"/>
    <col min="3" max="5" width="10.5703125" style="523" customWidth="1"/>
    <col min="6" max="6" width="9.140625" style="523" customWidth="1"/>
    <col min="7" max="7" width="26" style="523" customWidth="1"/>
    <col min="8" max="8" width="10.28515625" style="523" bestFit="1" customWidth="1"/>
    <col min="9" max="16384" width="9.140625" style="523"/>
  </cols>
  <sheetData>
    <row r="1" spans="1:10" s="521" customFormat="1" ht="18.75" x14ac:dyDescent="0.3">
      <c r="A1" s="72" t="s">
        <v>1012</v>
      </c>
    </row>
    <row r="2" spans="1:10" s="526" customFormat="1" ht="12.75" x14ac:dyDescent="0.2">
      <c r="A2" s="539" t="s">
        <v>1321</v>
      </c>
    </row>
    <row r="3" spans="1:10" s="526" customFormat="1" ht="12.75" x14ac:dyDescent="0.2"/>
    <row r="4" spans="1:10" ht="15.75" x14ac:dyDescent="0.25">
      <c r="A4" s="52" t="s">
        <v>3</v>
      </c>
      <c r="B4" s="52"/>
      <c r="C4" s="52"/>
      <c r="D4" s="52"/>
      <c r="E4" s="52"/>
      <c r="F4" s="52"/>
      <c r="G4" s="52"/>
      <c r="H4" s="52"/>
      <c r="I4" s="52"/>
      <c r="J4" s="52"/>
    </row>
    <row r="5" spans="1:10" s="526" customFormat="1" ht="12.75" x14ac:dyDescent="0.2">
      <c r="B5" s="102" t="s">
        <v>662</v>
      </c>
      <c r="C5" s="528" t="s">
        <v>16</v>
      </c>
      <c r="D5" s="528" t="s">
        <v>17</v>
      </c>
      <c r="E5" s="528" t="s">
        <v>18</v>
      </c>
    </row>
    <row r="6" spans="1:10" s="526" customFormat="1" ht="12.75" x14ac:dyDescent="0.2">
      <c r="B6" s="529" t="s">
        <v>25</v>
      </c>
      <c r="C6" s="2376">
        <f>ACT!H75</f>
        <v>2.715915263443781E-2</v>
      </c>
      <c r="D6" s="2376">
        <f>ACT!H121</f>
        <v>2.5712215399305148E-2</v>
      </c>
      <c r="E6" s="2376">
        <f>ACT!J121</f>
        <v>0.46272106333721286</v>
      </c>
      <c r="G6" s="1513" t="s">
        <v>660</v>
      </c>
    </row>
    <row r="7" spans="1:10" s="526" customFormat="1" ht="12.75" x14ac:dyDescent="0.2">
      <c r="B7" s="529" t="s">
        <v>28</v>
      </c>
      <c r="C7" s="2376">
        <f>ACT!H76</f>
        <v>2.3900054318305271E-2</v>
      </c>
      <c r="D7" s="2376">
        <f>ACT!H122</f>
        <v>1.9251300502905199E-2</v>
      </c>
      <c r="E7" s="2376">
        <f>ACT!J122</f>
        <v>4.4756161053599849E-2</v>
      </c>
      <c r="G7" s="530"/>
      <c r="H7" s="525" t="s">
        <v>16</v>
      </c>
      <c r="I7" s="525" t="s">
        <v>17</v>
      </c>
      <c r="J7" s="527" t="s">
        <v>18</v>
      </c>
    </row>
    <row r="8" spans="1:10" s="526" customFormat="1" ht="12.75" x14ac:dyDescent="0.2">
      <c r="B8" s="697" t="s">
        <v>61</v>
      </c>
      <c r="C8" s="2376">
        <f>ACT!H77</f>
        <v>0.39163498098859323</v>
      </c>
      <c r="D8" s="2376">
        <f>ACT!H123</f>
        <v>0.24266758785152318</v>
      </c>
      <c r="E8" s="2376">
        <f>ACT!J123</f>
        <v>2.0470679589288904E-3</v>
      </c>
      <c r="G8" s="520" t="s">
        <v>25</v>
      </c>
      <c r="H8" s="531">
        <f>C6/(C$16-C$15)</f>
        <v>2.844141069397042E-2</v>
      </c>
      <c r="I8" s="531">
        <f t="shared" ref="I8:J9" si="0">D6/(D$16-D$15)</f>
        <v>2.674226785893417E-2</v>
      </c>
      <c r="J8" s="532">
        <f t="shared" si="0"/>
        <v>0.48444373963317988</v>
      </c>
    </row>
    <row r="9" spans="1:10" s="526" customFormat="1" ht="12.75" x14ac:dyDescent="0.2">
      <c r="B9" s="697" t="s">
        <v>63</v>
      </c>
      <c r="C9" s="2376">
        <f>ACT!H78</f>
        <v>8.5822922324823483E-2</v>
      </c>
      <c r="D9" s="2376">
        <f>ACT!H124</f>
        <v>5.2557779042828053E-2</v>
      </c>
      <c r="E9" s="2376">
        <f>ACT!J124</f>
        <v>1.6893439778189502E-2</v>
      </c>
      <c r="G9" s="520" t="s">
        <v>28</v>
      </c>
      <c r="H9" s="531">
        <f t="shared" ref="H9" si="1">C7/(C$16-C$15)</f>
        <v>2.5028441410693967E-2</v>
      </c>
      <c r="I9" s="531">
        <f t="shared" si="0"/>
        <v>2.0022523407121021E-2</v>
      </c>
      <c r="J9" s="532">
        <f t="shared" si="0"/>
        <v>4.6857261858922382E-2</v>
      </c>
    </row>
    <row r="10" spans="1:10" s="526" customFormat="1" ht="12.75" x14ac:dyDescent="0.2">
      <c r="B10" s="697" t="s">
        <v>67</v>
      </c>
      <c r="C10" s="2376">
        <f>ACT!H79</f>
        <v>3.0961434003259101E-2</v>
      </c>
      <c r="D10" s="2376">
        <f>ACT!H125</f>
        <v>0.10401759866082537</v>
      </c>
      <c r="E10" s="2376">
        <f>ACT!J125</f>
        <v>0.26759772337573756</v>
      </c>
      <c r="G10" s="520" t="s">
        <v>32</v>
      </c>
      <c r="H10" s="531">
        <f>C13/(C$16-C$15)</f>
        <v>0.13310580204778155</v>
      </c>
      <c r="I10" s="531">
        <f t="shared" ref="I10:J10" si="2">D13/(D$16-D$15)</f>
        <v>0.18503339273428346</v>
      </c>
      <c r="J10" s="532">
        <f t="shared" si="2"/>
        <v>5.4156330824024317E-2</v>
      </c>
    </row>
    <row r="11" spans="1:10" s="526" customFormat="1" ht="12.75" x14ac:dyDescent="0.2">
      <c r="B11" s="697" t="s">
        <v>65</v>
      </c>
      <c r="C11" s="2376">
        <f>ACT!H80</f>
        <v>6.5181966322650733E-2</v>
      </c>
      <c r="D11" s="2376">
        <f>ACT!H126</f>
        <v>2.0946267323605123E-2</v>
      </c>
      <c r="E11" s="2376">
        <f>ACT!J126</f>
        <v>4.3349674424376504E-4</v>
      </c>
      <c r="G11" s="520" t="s">
        <v>30</v>
      </c>
      <c r="H11" s="531">
        <f>C14/(C$16-C$15)</f>
        <v>4.8350398179749704E-2</v>
      </c>
      <c r="I11" s="531">
        <f t="shared" ref="I11:J11" si="3">D14/(D$16-D$15)</f>
        <v>5.5831521778806265E-2</v>
      </c>
      <c r="J11" s="532">
        <f t="shared" si="3"/>
        <v>6.240091535157654E-3</v>
      </c>
    </row>
    <row r="12" spans="1:10" s="526" customFormat="1" ht="12.75" x14ac:dyDescent="0.2">
      <c r="B12" s="529" t="s">
        <v>20</v>
      </c>
      <c r="C12" s="2376">
        <f>ACT!H81</f>
        <v>0.15697990222705052</v>
      </c>
      <c r="D12" s="2376">
        <f>ACT!H127</f>
        <v>0.2647421478737193</v>
      </c>
      <c r="E12" s="2376">
        <f>ACT!J127</f>
        <v>0.10302237618873814</v>
      </c>
      <c r="G12" s="2377" t="s">
        <v>1319</v>
      </c>
      <c r="H12" s="533">
        <f>SUM(C$8:C$12)/(C$16-C$15)</f>
        <v>0.76507394766780412</v>
      </c>
      <c r="I12" s="533">
        <f t="shared" ref="I12:J12" si="4">SUM(D$8:D$12)/(D$16-D$15)</f>
        <v>0.71237029422085507</v>
      </c>
      <c r="J12" s="534">
        <f t="shared" si="4"/>
        <v>0.40830257614871596</v>
      </c>
    </row>
    <row r="13" spans="1:10" s="526" customFormat="1" ht="12.75" x14ac:dyDescent="0.2">
      <c r="B13" s="529" t="s">
        <v>32</v>
      </c>
      <c r="C13" s="2376">
        <f>ACT!H82</f>
        <v>0.12710483432916894</v>
      </c>
      <c r="D13" s="2376">
        <f>ACT!H128</f>
        <v>0.1779063195068056</v>
      </c>
      <c r="E13" s="2376">
        <f>ACT!J128</f>
        <v>5.1727936466490938E-2</v>
      </c>
      <c r="G13" s="535" t="s">
        <v>659</v>
      </c>
      <c r="H13" s="536">
        <f>SUM(H8:H12)</f>
        <v>0.99999999999999978</v>
      </c>
      <c r="I13" s="536">
        <f>SUM(I8:I12)</f>
        <v>1</v>
      </c>
      <c r="J13" s="536">
        <f>SUM(J8:J12)</f>
        <v>1.0000000000000002</v>
      </c>
    </row>
    <row r="14" spans="1:10" s="526" customFormat="1" ht="12.75" x14ac:dyDescent="0.2">
      <c r="B14" s="529" t="s">
        <v>30</v>
      </c>
      <c r="C14" s="2376">
        <f>ACT!H83</f>
        <v>4.6170559478544274E-2</v>
      </c>
      <c r="D14" s="2376">
        <f>ACT!H129</f>
        <v>5.368101619579238E-2</v>
      </c>
      <c r="E14" s="2376">
        <f>ACT!J129</f>
        <v>5.9602830096556559E-3</v>
      </c>
    </row>
    <row r="15" spans="1:10" s="526" customFormat="1" ht="12.75" x14ac:dyDescent="0.2">
      <c r="B15" s="529" t="s">
        <v>27</v>
      </c>
      <c r="C15" s="2376">
        <f>ACT!H84</f>
        <v>4.5084193373166763E-2</v>
      </c>
      <c r="D15" s="2376">
        <f>ACT!H130</f>
        <v>3.8517767642690555E-2</v>
      </c>
      <c r="E15" s="2376">
        <f>ACT!J130</f>
        <v>4.4840452087202796E-2</v>
      </c>
    </row>
    <row r="16" spans="1:10" s="526" customFormat="1" ht="12.75" x14ac:dyDescent="0.2">
      <c r="B16" s="535" t="s">
        <v>659</v>
      </c>
      <c r="C16" s="537">
        <f>SUM(C6:C15)</f>
        <v>1.0000000000000002</v>
      </c>
      <c r="D16" s="537">
        <f>SUM(D6:D15)</f>
        <v>0.99999999999999989</v>
      </c>
      <c r="E16" s="537">
        <f>SUM(E6:E15)</f>
        <v>0.99999999999999978</v>
      </c>
    </row>
    <row r="17" spans="1:10" s="526" customFormat="1" ht="12.75" x14ac:dyDescent="0.2"/>
    <row r="18" spans="1:10" ht="15.75" x14ac:dyDescent="0.25">
      <c r="A18" s="52" t="s">
        <v>4</v>
      </c>
      <c r="B18" s="52"/>
      <c r="C18" s="52"/>
      <c r="D18" s="52"/>
      <c r="E18" s="52"/>
      <c r="F18" s="52"/>
      <c r="G18" s="52"/>
      <c r="H18" s="52"/>
      <c r="I18" s="52"/>
      <c r="J18" s="52"/>
    </row>
    <row r="19" spans="1:10" s="526" customFormat="1" ht="12.75" x14ac:dyDescent="0.2">
      <c r="A19" s="512"/>
      <c r="B19" s="512"/>
      <c r="C19" s="528" t="s">
        <v>16</v>
      </c>
      <c r="D19" s="528" t="s">
        <v>17</v>
      </c>
      <c r="E19" s="528" t="s">
        <v>18</v>
      </c>
    </row>
    <row r="20" spans="1:10" s="526" customFormat="1" ht="12.75" x14ac:dyDescent="0.2">
      <c r="B20" s="244" t="s">
        <v>25</v>
      </c>
      <c r="C20" s="2373">
        <f>NSW!G36</f>
        <v>1.0081485757020022E-2</v>
      </c>
      <c r="D20" s="2373">
        <f>NSW!H36</f>
        <v>0.11734649107740246</v>
      </c>
      <c r="E20" s="2373">
        <f>NSW!I36</f>
        <v>0.41519901519874958</v>
      </c>
      <c r="G20" s="526" t="s">
        <v>660</v>
      </c>
    </row>
    <row r="21" spans="1:10" s="526" customFormat="1" ht="12.75" x14ac:dyDescent="0.2">
      <c r="B21" s="244" t="s">
        <v>28</v>
      </c>
      <c r="C21" s="2373">
        <f>NSW!G37</f>
        <v>2.0317688733325252E-2</v>
      </c>
      <c r="D21" s="2373">
        <f>NSW!H37</f>
        <v>2.1658925576025116E-2</v>
      </c>
      <c r="E21" s="2373">
        <f>NSW!I37</f>
        <v>4.3632046714314698E-2</v>
      </c>
      <c r="G21" s="530"/>
      <c r="H21" s="525" t="s">
        <v>16</v>
      </c>
      <c r="I21" s="525" t="s">
        <v>17</v>
      </c>
      <c r="J21" s="527" t="s">
        <v>18</v>
      </c>
    </row>
    <row r="22" spans="1:10" s="526" customFormat="1" ht="12.75" x14ac:dyDescent="0.2">
      <c r="A22" s="515"/>
      <c r="B22" s="697" t="s">
        <v>61</v>
      </c>
      <c r="C22" s="2373">
        <f>NSW!G38</f>
        <v>0.32813326192140918</v>
      </c>
      <c r="D22" s="2373">
        <f>NSW!H38</f>
        <v>9.0697361648706107E-2</v>
      </c>
      <c r="E22" s="2373">
        <f>NSW!I38</f>
        <v>1.646269731910769E-4</v>
      </c>
      <c r="G22" s="520" t="s">
        <v>25</v>
      </c>
      <c r="H22" s="531">
        <f>C20/(C$30-C$29)</f>
        <v>1.2929754546104219E-2</v>
      </c>
      <c r="I22" s="531">
        <f t="shared" ref="H22:J23" si="5">D20/(D$30-D$29)</f>
        <v>0.17186560275196477</v>
      </c>
      <c r="J22" s="532">
        <f t="shared" si="5"/>
        <v>0.5980672198011745</v>
      </c>
    </row>
    <row r="23" spans="1:10" s="526" customFormat="1" ht="12.75" x14ac:dyDescent="0.2">
      <c r="A23" s="515"/>
      <c r="B23" s="697" t="s">
        <v>63</v>
      </c>
      <c r="C23" s="2373">
        <f>NSW!G39</f>
        <v>0.15466355441262328</v>
      </c>
      <c r="D23" s="2373">
        <f>NSW!H39</f>
        <v>5.3509429917029339E-2</v>
      </c>
      <c r="E23" s="2373">
        <f>NSW!I39</f>
        <v>2.2029949192932146E-2</v>
      </c>
      <c r="G23" s="520" t="s">
        <v>28</v>
      </c>
      <c r="H23" s="531">
        <f t="shared" si="5"/>
        <v>2.6057937748224794E-2</v>
      </c>
      <c r="I23" s="531">
        <f t="shared" si="5"/>
        <v>3.1721649832956389E-2</v>
      </c>
      <c r="J23" s="532">
        <f t="shared" si="5"/>
        <v>6.2849129977280704E-2</v>
      </c>
    </row>
    <row r="24" spans="1:10" s="526" customFormat="1" ht="12.75" x14ac:dyDescent="0.2">
      <c r="A24" s="515"/>
      <c r="B24" s="697" t="s">
        <v>67</v>
      </c>
      <c r="C24" s="2373">
        <f>NSW!G40</f>
        <v>1.3436079647036284E-2</v>
      </c>
      <c r="D24" s="2373">
        <f>NSW!H40</f>
        <v>0.13433586389309934</v>
      </c>
      <c r="E24" s="2373">
        <f>NSW!I40</f>
        <v>0.16623852988601517</v>
      </c>
      <c r="G24" s="520" t="s">
        <v>32</v>
      </c>
      <c r="H24" s="531">
        <f t="shared" ref="H24:J25" si="6">C27/(C$30-C$29)</f>
        <v>0.12371830314676253</v>
      </c>
      <c r="I24" s="531">
        <f t="shared" si="6"/>
        <v>0.16658909889675855</v>
      </c>
      <c r="J24" s="532">
        <f t="shared" si="6"/>
        <v>3.277572246907659E-2</v>
      </c>
    </row>
    <row r="25" spans="1:10" s="526" customFormat="1" ht="12.75" x14ac:dyDescent="0.2">
      <c r="A25" s="515"/>
      <c r="B25" s="697" t="s">
        <v>65</v>
      </c>
      <c r="C25" s="2373">
        <f>NSW!G41</f>
        <v>6.9205147312308118E-2</v>
      </c>
      <c r="D25" s="2373">
        <f>NSW!H41</f>
        <v>0</v>
      </c>
      <c r="E25" s="2373">
        <f>NSW!I41</f>
        <v>0</v>
      </c>
      <c r="G25" s="520" t="s">
        <v>30</v>
      </c>
      <c r="H25" s="531">
        <f t="shared" si="6"/>
        <v>4.3319091547077623E-2</v>
      </c>
      <c r="I25" s="531">
        <f t="shared" si="6"/>
        <v>2.0156450237684833E-2</v>
      </c>
      <c r="J25" s="532">
        <f t="shared" si="6"/>
        <v>-1.5904271785629966E-3</v>
      </c>
    </row>
    <row r="26" spans="1:10" s="526" customFormat="1" ht="12.75" x14ac:dyDescent="0.2">
      <c r="B26" s="244" t="s">
        <v>20</v>
      </c>
      <c r="C26" s="2373">
        <f>NSW!G42</f>
        <v>5.3633784282170825E-2</v>
      </c>
      <c r="D26" s="2373">
        <f>NSW!H42</f>
        <v>0.13772625057975679</v>
      </c>
      <c r="E26" s="2373">
        <f>NSW!I42</f>
        <v>2.532061512853255E-2</v>
      </c>
      <c r="G26" s="2377" t="s">
        <v>1319</v>
      </c>
      <c r="H26" s="533">
        <f>SUM(C22:C26)/(C$30-C29)</f>
        <v>0.79397491301183098</v>
      </c>
      <c r="I26" s="533">
        <f>SUM(D22:D26)/(D$30-D29)</f>
        <v>0.60966719828063543</v>
      </c>
      <c r="J26" s="534">
        <f>SUM(E22:E26)/(E$30-E29)</f>
        <v>0.30789835493103135</v>
      </c>
    </row>
    <row r="27" spans="1:10" s="526" customFormat="1" ht="12.75" x14ac:dyDescent="0.2">
      <c r="B27" s="244" t="s">
        <v>32</v>
      </c>
      <c r="C27" s="2373">
        <f>NSW!G43</f>
        <v>9.6464654963815774E-2</v>
      </c>
      <c r="D27" s="2373">
        <f>NSW!H43</f>
        <v>0.11374379686372416</v>
      </c>
      <c r="E27" s="2373">
        <f>NSW!I43</f>
        <v>2.275404376135548E-2</v>
      </c>
      <c r="G27" s="535" t="s">
        <v>659</v>
      </c>
      <c r="H27" s="536">
        <f>SUM(H22:H26)</f>
        <v>1.0000000000000002</v>
      </c>
      <c r="I27" s="536">
        <f>SUM(I22:I26)</f>
        <v>1</v>
      </c>
      <c r="J27" s="536">
        <f>SUM(J22:J26)</f>
        <v>1</v>
      </c>
    </row>
    <row r="28" spans="1:10" s="526" customFormat="1" ht="12.75" x14ac:dyDescent="0.2">
      <c r="B28" s="244" t="s">
        <v>30</v>
      </c>
      <c r="C28" s="2373">
        <f>NSW!G44</f>
        <v>3.3776418792922487E-2</v>
      </c>
      <c r="D28" s="2373">
        <f>NSW!H44</f>
        <v>1.3762432215026517E-2</v>
      </c>
      <c r="E28" s="2373">
        <f>NSW!I44</f>
        <v>-1.104129730608227E-3</v>
      </c>
    </row>
    <row r="29" spans="1:10" s="526" customFormat="1" ht="12.75" x14ac:dyDescent="0.2">
      <c r="B29" s="244" t="s">
        <v>27</v>
      </c>
      <c r="C29" s="2373">
        <f>NSW!G45</f>
        <v>0.22028792417736873</v>
      </c>
      <c r="D29" s="2373">
        <f>NSW!H45</f>
        <v>0.31721944822923015</v>
      </c>
      <c r="E29" s="2373">
        <f>NSW!I45</f>
        <v>0.30576530287551762</v>
      </c>
    </row>
    <row r="30" spans="1:10" s="526" customFormat="1" ht="12.75" x14ac:dyDescent="0.2">
      <c r="A30" s="75"/>
      <c r="B30" s="535" t="s">
        <v>659</v>
      </c>
      <c r="C30" s="537">
        <f>SUM(C20:C29)</f>
        <v>0.99999999999999989</v>
      </c>
      <c r="D30" s="537">
        <f>SUM(D20:D29)</f>
        <v>1</v>
      </c>
      <c r="E30" s="537">
        <f>SUM(E20:E29)</f>
        <v>1</v>
      </c>
    </row>
    <row r="31" spans="1:10" s="526" customFormat="1" ht="12.75" x14ac:dyDescent="0.2"/>
    <row r="32" spans="1:10" ht="15.75" x14ac:dyDescent="0.25">
      <c r="A32" s="52" t="s">
        <v>7</v>
      </c>
      <c r="B32" s="52"/>
      <c r="C32" s="52"/>
      <c r="D32" s="52"/>
      <c r="E32" s="52"/>
      <c r="F32" s="52"/>
      <c r="G32" s="52"/>
      <c r="H32" s="52"/>
      <c r="I32" s="52"/>
      <c r="J32" s="52"/>
    </row>
    <row r="33" spans="1:10" s="526" customFormat="1" ht="12.75" x14ac:dyDescent="0.2">
      <c r="C33" s="528" t="s">
        <v>661</v>
      </c>
      <c r="D33" s="528" t="s">
        <v>17</v>
      </c>
      <c r="E33" s="102" t="s">
        <v>18</v>
      </c>
    </row>
    <row r="34" spans="1:10" s="526" customFormat="1" ht="12.75" x14ac:dyDescent="0.2">
      <c r="B34" s="538" t="s">
        <v>25</v>
      </c>
      <c r="C34" s="2375">
        <f>SA!J48</f>
        <v>1.5856451422500296E-2</v>
      </c>
      <c r="D34" s="2375">
        <f>SA!I104</f>
        <v>7.6024680475980613E-2</v>
      </c>
      <c r="E34" s="2375">
        <f>SA!K104</f>
        <v>0.61994765920325678</v>
      </c>
      <c r="G34" s="526" t="s">
        <v>660</v>
      </c>
    </row>
    <row r="35" spans="1:10" s="526" customFormat="1" ht="12.75" x14ac:dyDescent="0.2">
      <c r="B35" s="489" t="s">
        <v>28</v>
      </c>
      <c r="C35" s="2375">
        <f>SA!J49</f>
        <v>3.5726596623775225E-2</v>
      </c>
      <c r="D35" s="2375">
        <f>SA!I105</f>
        <v>1.9887615689731158E-2</v>
      </c>
      <c r="E35" s="2375">
        <f>SA!K105</f>
        <v>3.1695260250072702E-2</v>
      </c>
      <c r="G35" s="530"/>
      <c r="H35" s="525" t="s">
        <v>16</v>
      </c>
      <c r="I35" s="525" t="s">
        <v>17</v>
      </c>
      <c r="J35" s="527" t="s">
        <v>18</v>
      </c>
    </row>
    <row r="36" spans="1:10" s="526" customFormat="1" ht="12.75" x14ac:dyDescent="0.2">
      <c r="B36" s="538" t="s">
        <v>371</v>
      </c>
      <c r="C36" s="2375">
        <f>SA!J50</f>
        <v>0.48548695549521892</v>
      </c>
      <c r="D36" s="2375">
        <f>SA!I106</f>
        <v>0.35268840899074483</v>
      </c>
      <c r="E36" s="2375">
        <f>SA!K106</f>
        <v>0</v>
      </c>
      <c r="G36" s="520" t="s">
        <v>25</v>
      </c>
      <c r="H36" s="531">
        <f>C34</f>
        <v>1.5856451422500296E-2</v>
      </c>
      <c r="I36" s="531">
        <f>D34/(1-D$45)</f>
        <v>8.1908831908831914E-2</v>
      </c>
      <c r="J36" s="532">
        <f>E34/(1-E$45)</f>
        <v>0.63908872901678659</v>
      </c>
    </row>
    <row r="37" spans="1:10" s="526" customFormat="1" ht="12.75" x14ac:dyDescent="0.2">
      <c r="B37" s="538" t="s">
        <v>63</v>
      </c>
      <c r="C37" s="2375">
        <f>SA!J51</f>
        <v>7.7974265139889032E-2</v>
      </c>
      <c r="D37" s="2375">
        <f>SA!I107</f>
        <v>5.0572939620978405E-2</v>
      </c>
      <c r="E37" s="2375">
        <f>SA!K107</f>
        <v>5.3503925559755756E-2</v>
      </c>
      <c r="G37" s="520" t="s">
        <v>28</v>
      </c>
      <c r="H37" s="531">
        <f>C35</f>
        <v>3.5726596623775225E-2</v>
      </c>
      <c r="I37" s="531">
        <f>D35/(1-D$45)</f>
        <v>2.1426875593542258E-2</v>
      </c>
      <c r="J37" s="532">
        <f>E35/(1-E$45)</f>
        <v>3.2673860911270988E-2</v>
      </c>
    </row>
    <row r="38" spans="1:10" s="526" customFormat="1" ht="12.75" x14ac:dyDescent="0.2">
      <c r="B38" s="538" t="s">
        <v>67</v>
      </c>
      <c r="C38" s="2375">
        <f>SA!J52</f>
        <v>1.6012277180970369E-2</v>
      </c>
      <c r="D38" s="2375">
        <f>SA!I108</f>
        <v>8.7483472895548697E-2</v>
      </c>
      <c r="E38" s="2375">
        <f>SA!K108</f>
        <v>0.22302995056702535</v>
      </c>
      <c r="G38" s="520" t="s">
        <v>32</v>
      </c>
      <c r="H38" s="531">
        <f>C41</f>
        <v>8.8135993389210229E-2</v>
      </c>
      <c r="I38" s="531">
        <f>D41/(1-D$45)</f>
        <v>0.13111348528015193</v>
      </c>
      <c r="J38" s="532">
        <f>E41/(1-E$45)</f>
        <v>2.3081534772182263E-2</v>
      </c>
    </row>
    <row r="39" spans="1:10" s="526" customFormat="1" ht="12.75" x14ac:dyDescent="0.2">
      <c r="B39" s="538" t="s">
        <v>65</v>
      </c>
      <c r="C39" s="2375">
        <f>SA!J53</f>
        <v>6.0025970959745011E-2</v>
      </c>
      <c r="D39" s="2375">
        <f>SA!I109</f>
        <v>2.1264874394006168E-2</v>
      </c>
      <c r="E39" s="2375">
        <f>SA!K109</f>
        <v>2.0354754289037516E-3</v>
      </c>
      <c r="G39" s="520" t="s">
        <v>30</v>
      </c>
      <c r="H39" s="531">
        <f>C42</f>
        <v>3.8536182268917474E-2</v>
      </c>
      <c r="I39" s="531">
        <f>D42/(1-D$45)</f>
        <v>1.3176638176638177E-2</v>
      </c>
      <c r="J39" s="532">
        <f>E42/(1-E$45)</f>
        <v>2.398081534772183E-3</v>
      </c>
    </row>
    <row r="40" spans="1:10" s="526" customFormat="1" ht="12.75" x14ac:dyDescent="0.2">
      <c r="B40" s="489" t="s">
        <v>20</v>
      </c>
      <c r="C40" s="2375">
        <f>SA!J54</f>
        <v>0.14256640302207529</v>
      </c>
      <c r="D40" s="2375">
        <f>SA!I110</f>
        <v>0.18631555751432349</v>
      </c>
      <c r="E40" s="2375">
        <f>SA!K110</f>
        <v>1.5120674614713583E-2</v>
      </c>
      <c r="G40" s="2377" t="s">
        <v>1320</v>
      </c>
      <c r="H40" s="533">
        <f>SUM(C36:C40,C43:C45)</f>
        <v>0.82174477629559661</v>
      </c>
      <c r="I40" s="533">
        <f>SUM(D36:D40)/(1-D45)</f>
        <v>0.75237416904083565</v>
      </c>
      <c r="J40" s="534">
        <f>SUM(E36:E40)/(1-E45)</f>
        <v>0.30275779376498807</v>
      </c>
    </row>
    <row r="41" spans="1:10" s="526" customFormat="1" ht="12.75" x14ac:dyDescent="0.2">
      <c r="B41" s="489" t="s">
        <v>597</v>
      </c>
      <c r="C41" s="2375">
        <f>SA!J55</f>
        <v>8.8135993389210229E-2</v>
      </c>
      <c r="D41" s="2375">
        <f>SA!I111</f>
        <v>0.12169457910973996</v>
      </c>
      <c r="E41" s="2375">
        <f>SA!K111</f>
        <v>2.239022971794127E-2</v>
      </c>
      <c r="G41" s="535" t="s">
        <v>659</v>
      </c>
      <c r="H41" s="536">
        <f>SUM(H36:H40)</f>
        <v>0.99999999999999978</v>
      </c>
      <c r="I41" s="536">
        <f>SUM(I36:I40)</f>
        <v>0.99999999999999989</v>
      </c>
      <c r="J41" s="536">
        <f>SUM(J36:J40)</f>
        <v>1</v>
      </c>
    </row>
    <row r="42" spans="1:10" s="526" customFormat="1" ht="12.75" x14ac:dyDescent="0.2">
      <c r="B42" s="538" t="s">
        <v>30</v>
      </c>
      <c r="C42" s="2375">
        <f>SA!J56</f>
        <v>3.8536182268917474E-2</v>
      </c>
      <c r="D42" s="2375">
        <f>SA!I112</f>
        <v>1.2230057293962098E-2</v>
      </c>
      <c r="E42" s="2375">
        <f>SA!K112</f>
        <v>2.3262576330328592E-3</v>
      </c>
    </row>
    <row r="43" spans="1:10" s="526" customFormat="1" ht="12.75" x14ac:dyDescent="0.2">
      <c r="B43" s="538" t="s">
        <v>83</v>
      </c>
      <c r="C43" s="2375">
        <f>SA!J57</f>
        <v>3.967890449769803E-2</v>
      </c>
    </row>
    <row r="44" spans="1:10" s="526" customFormat="1" ht="12.75" x14ac:dyDescent="0.2">
      <c r="B44" s="538" t="s">
        <v>80</v>
      </c>
      <c r="C44" s="2375">
        <f>SA!J58</f>
        <v>0</v>
      </c>
    </row>
    <row r="45" spans="1:10" s="526" customFormat="1" ht="12.75" x14ac:dyDescent="0.2">
      <c r="B45" s="540" t="s">
        <v>27</v>
      </c>
      <c r="D45" s="2375">
        <f>SA!I113</f>
        <v>7.1837814014984569E-2</v>
      </c>
      <c r="E45" s="2375">
        <f>SA!K113</f>
        <v>2.995056702529806E-2</v>
      </c>
    </row>
    <row r="46" spans="1:10" s="526" customFormat="1" ht="12.75" x14ac:dyDescent="0.2">
      <c r="B46" s="535" t="s">
        <v>659</v>
      </c>
      <c r="C46" s="536">
        <f>SUM(C34:C45)</f>
        <v>0.99999999999999989</v>
      </c>
      <c r="D46" s="536">
        <f t="shared" ref="D46:E46" si="7">SUM(D34:D45)</f>
        <v>1</v>
      </c>
      <c r="E46" s="536">
        <f t="shared" si="7"/>
        <v>1</v>
      </c>
    </row>
    <row r="47" spans="1:10" s="526" customFormat="1" ht="12.75" x14ac:dyDescent="0.2"/>
    <row r="48" spans="1:10" ht="15.75" x14ac:dyDescent="0.25">
      <c r="A48" s="52" t="s">
        <v>9</v>
      </c>
      <c r="B48" s="52"/>
      <c r="C48" s="52"/>
      <c r="D48" s="52"/>
      <c r="E48" s="52"/>
      <c r="F48" s="52"/>
      <c r="G48" s="52"/>
      <c r="H48" s="52"/>
      <c r="I48" s="52"/>
      <c r="J48" s="52"/>
    </row>
    <row r="49" spans="2:10" s="526" customFormat="1" ht="12.75" x14ac:dyDescent="0.2">
      <c r="B49" s="528" t="s">
        <v>666</v>
      </c>
      <c r="C49" s="522" t="s">
        <v>16</v>
      </c>
      <c r="D49" s="528" t="s">
        <v>17</v>
      </c>
      <c r="E49" s="522" t="s">
        <v>18</v>
      </c>
    </row>
    <row r="50" spans="2:10" s="526" customFormat="1" ht="12.75" x14ac:dyDescent="0.2">
      <c r="B50" s="524" t="s">
        <v>19</v>
      </c>
      <c r="C50" s="2374">
        <f>Vic!G43</f>
        <v>0.109</v>
      </c>
      <c r="D50" s="2374">
        <f>Vic!H43</f>
        <v>0.188</v>
      </c>
      <c r="E50" s="2374">
        <f>Vic!I43</f>
        <v>8.0000000000000002E-3</v>
      </c>
      <c r="G50" s="1513" t="s">
        <v>1318</v>
      </c>
    </row>
    <row r="51" spans="2:10" s="526" customFormat="1" ht="12.75" x14ac:dyDescent="0.2">
      <c r="B51" s="524" t="s">
        <v>21</v>
      </c>
      <c r="C51" s="2374">
        <f>Vic!G44</f>
        <v>0.36</v>
      </c>
      <c r="D51" s="2374">
        <f>Vic!H44</f>
        <v>0.17100000000000001</v>
      </c>
      <c r="E51" s="2374">
        <f>Vic!I44</f>
        <v>0</v>
      </c>
      <c r="G51" s="530"/>
      <c r="H51" s="525" t="s">
        <v>16</v>
      </c>
      <c r="I51" s="525" t="s">
        <v>17</v>
      </c>
      <c r="J51" s="527" t="s">
        <v>18</v>
      </c>
    </row>
    <row r="52" spans="2:10" s="526" customFormat="1" ht="12.75" x14ac:dyDescent="0.2">
      <c r="B52" s="524" t="s">
        <v>23</v>
      </c>
      <c r="C52" s="2374">
        <f>Vic!G45</f>
        <v>7.3999999999999996E-2</v>
      </c>
      <c r="D52" s="2374">
        <f>Vic!H45</f>
        <v>7.0000000000000007E-2</v>
      </c>
      <c r="E52" s="2374">
        <f>Vic!I45</f>
        <v>2.7E-2</v>
      </c>
      <c r="G52" s="520" t="s">
        <v>25</v>
      </c>
      <c r="H52" s="531">
        <f>C61/(1-C$60-C$62)</f>
        <v>1.7955801104972375E-2</v>
      </c>
      <c r="I52" s="531">
        <f>D61/(1-D$60-D$62)</f>
        <v>0.12236286919831225</v>
      </c>
      <c r="J52" s="532">
        <f>E61/(1-E$60-E$62)</f>
        <v>0.80563947633434041</v>
      </c>
    </row>
    <row r="53" spans="2:10" s="526" customFormat="1" ht="12.75" x14ac:dyDescent="0.2">
      <c r="B53" s="524" t="s">
        <v>24</v>
      </c>
      <c r="C53" s="2374">
        <f>Vic!G46</f>
        <v>3.0000000000000001E-3</v>
      </c>
      <c r="D53" s="2374">
        <f>Vic!H46</f>
        <v>0.13</v>
      </c>
      <c r="E53" s="2374">
        <f>Vic!I46</f>
        <v>0.11799999999999999</v>
      </c>
      <c r="G53" s="520" t="s">
        <v>28</v>
      </c>
      <c r="H53" s="531">
        <f>C59/(1-C$60-C$62)</f>
        <v>2.3480662983425417E-2</v>
      </c>
      <c r="I53" s="531">
        <f>D59/(1-D$60-D$62)</f>
        <v>2.3206751054852322E-2</v>
      </c>
      <c r="J53" s="532">
        <f>E59/(1-E$60-E$62)</f>
        <v>7.0493454179254783E-3</v>
      </c>
    </row>
    <row r="54" spans="2:10" s="526" customFormat="1" ht="12.75" x14ac:dyDescent="0.2">
      <c r="B54" s="524" t="s">
        <v>26</v>
      </c>
      <c r="C54" s="2374">
        <f>Vic!G47</f>
        <v>2.7E-2</v>
      </c>
      <c r="D54" s="2374">
        <f>Vic!H47</f>
        <v>6.5000000000000002E-2</v>
      </c>
      <c r="E54" s="2374">
        <f>Vic!I47</f>
        <v>1.2999999999999999E-2</v>
      </c>
      <c r="G54" s="520" t="s">
        <v>32</v>
      </c>
      <c r="H54" s="531">
        <f>SUM(C57:C58)/(1-C$60-C$62)</f>
        <v>0.12845303867403315</v>
      </c>
      <c r="I54" s="531">
        <f>SUM(D57:D58)/(1-D$60-D$62)</f>
        <v>0.17088607594936708</v>
      </c>
      <c r="J54" s="532">
        <f>SUM(E57:E58)/(1-E$60-E$62)</f>
        <v>1.9133937562940583E-2</v>
      </c>
    </row>
    <row r="55" spans="2:10" s="526" customFormat="1" ht="12.75" x14ac:dyDescent="0.2">
      <c r="B55" s="524" t="s">
        <v>29</v>
      </c>
      <c r="C55" s="2374">
        <f>Vic!G48</f>
        <v>0</v>
      </c>
      <c r="D55" s="2374">
        <f>Vic!H48</f>
        <v>4.0000000000000001E-3</v>
      </c>
      <c r="E55" s="2374">
        <f>Vic!I48</f>
        <v>0</v>
      </c>
      <c r="G55" s="520" t="s">
        <v>30</v>
      </c>
      <c r="H55" s="531">
        <f>SUM(C56)/(1-C$60-C$62)</f>
        <v>3.8674033149171276E-2</v>
      </c>
      <c r="I55" s="531">
        <f>SUM(D56)/(1-D$60-D$62)</f>
        <v>2.1097046413502112E-2</v>
      </c>
      <c r="J55" s="532">
        <f>SUM(E56)/(1-E$60-E$62)</f>
        <v>1.0070493454179255E-3</v>
      </c>
    </row>
    <row r="56" spans="2:10" s="526" customFormat="1" ht="12.75" x14ac:dyDescent="0.2">
      <c r="B56" s="524" t="s">
        <v>30</v>
      </c>
      <c r="C56" s="2374">
        <f>Vic!G49</f>
        <v>2.8000000000000001E-2</v>
      </c>
      <c r="D56" s="2374">
        <f>Vic!H49</f>
        <v>0.02</v>
      </c>
      <c r="E56" s="2374">
        <f>Vic!I49</f>
        <v>1E-3</v>
      </c>
      <c r="G56" s="2377" t="s">
        <v>1319</v>
      </c>
      <c r="H56" s="533">
        <f>SUM(C50:C55)/(1-C$60-C$62)</f>
        <v>0.79143646408839774</v>
      </c>
      <c r="I56" s="533">
        <f>SUM(D50:D55)/(1-D$60-D$62)</f>
        <v>0.66244725738396615</v>
      </c>
      <c r="J56" s="534">
        <f>SUM(E50:E55)/(1-E$60-E$62)</f>
        <v>0.16717019133937563</v>
      </c>
    </row>
    <row r="57" spans="2:10" s="526" customFormat="1" ht="12.75" x14ac:dyDescent="0.2">
      <c r="B57" s="524" t="s">
        <v>31</v>
      </c>
      <c r="C57" s="2374">
        <f>Vic!G50</f>
        <v>3.9E-2</v>
      </c>
      <c r="D57" s="2374">
        <f>Vic!H50</f>
        <v>7.3999999999999996E-2</v>
      </c>
      <c r="E57" s="2374">
        <f>Vic!I50</f>
        <v>1.2999999999999999E-2</v>
      </c>
      <c r="G57" s="535" t="s">
        <v>659</v>
      </c>
      <c r="H57" s="536">
        <f>SUM(H52:H56)</f>
        <v>1</v>
      </c>
      <c r="I57" s="536">
        <f>SUM(I52:I56)</f>
        <v>1</v>
      </c>
      <c r="J57" s="536">
        <f>SUM(J52:J56)</f>
        <v>1</v>
      </c>
    </row>
    <row r="58" spans="2:10" s="526" customFormat="1" ht="12.75" x14ac:dyDescent="0.2">
      <c r="B58" s="524" t="s">
        <v>33</v>
      </c>
      <c r="C58" s="2374">
        <f>Vic!G51</f>
        <v>5.3999999999999999E-2</v>
      </c>
      <c r="D58" s="2374">
        <f>Vic!H51</f>
        <v>8.7999999999999995E-2</v>
      </c>
      <c r="E58" s="2374">
        <f>Vic!I51</f>
        <v>6.0000000000000001E-3</v>
      </c>
    </row>
    <row r="59" spans="2:10" s="526" customFormat="1" ht="12.75" x14ac:dyDescent="0.2">
      <c r="B59" s="524" t="s">
        <v>28</v>
      </c>
      <c r="C59" s="2374">
        <f>Vic!G52</f>
        <v>1.7000000000000001E-2</v>
      </c>
      <c r="D59" s="2374">
        <f>Vic!H52</f>
        <v>2.1999999999999999E-2</v>
      </c>
      <c r="E59" s="2374">
        <f>Vic!I52</f>
        <v>7.0000000000000001E-3</v>
      </c>
    </row>
    <row r="60" spans="2:10" s="526" customFormat="1" ht="12.75" x14ac:dyDescent="0.2">
      <c r="B60" s="524" t="s">
        <v>34</v>
      </c>
      <c r="C60" s="2374">
        <f>Vic!G53</f>
        <v>0</v>
      </c>
      <c r="D60" s="2374">
        <f>Vic!H53</f>
        <v>0</v>
      </c>
      <c r="E60" s="2374">
        <f>Vic!I53</f>
        <v>0</v>
      </c>
    </row>
    <row r="61" spans="2:10" s="526" customFormat="1" ht="12.75" x14ac:dyDescent="0.2">
      <c r="B61" s="524" t="s">
        <v>36</v>
      </c>
      <c r="C61" s="2374">
        <f>Vic!G54</f>
        <v>1.2999999999999999E-2</v>
      </c>
      <c r="D61" s="2374">
        <f>Vic!H54</f>
        <v>0.11600000000000001</v>
      </c>
      <c r="E61" s="2374">
        <f>Vic!I54</f>
        <v>0.8</v>
      </c>
    </row>
    <row r="62" spans="2:10" s="526" customFormat="1" ht="12.75" x14ac:dyDescent="0.2">
      <c r="B62" s="524" t="s">
        <v>27</v>
      </c>
      <c r="C62" s="2374">
        <f>Vic!G55</f>
        <v>0.27600000000000002</v>
      </c>
      <c r="D62" s="2374">
        <f>Vic!H55</f>
        <v>5.1999999999999998E-2</v>
      </c>
      <c r="E62" s="2374">
        <f>Vic!I55</f>
        <v>7.0000000000000001E-3</v>
      </c>
    </row>
    <row r="63" spans="2:10" s="526" customFormat="1" ht="12.75" x14ac:dyDescent="0.2">
      <c r="B63" s="535" t="s">
        <v>659</v>
      </c>
      <c r="C63" s="536">
        <f>SUM(C50:C62)</f>
        <v>1</v>
      </c>
      <c r="D63" s="536">
        <f>SUM(D50:D62)</f>
        <v>0.99999999999999989</v>
      </c>
      <c r="E63" s="536">
        <f>SUM(E50:E62)</f>
        <v>1</v>
      </c>
    </row>
    <row r="64" spans="2:10" s="526" customFormat="1" ht="12.75" x14ac:dyDescent="0.2"/>
    <row r="65" s="526" customFormat="1" ht="12.75" x14ac:dyDescent="0.2"/>
  </sheetData>
  <conditionalFormatting sqref="C20:E29">
    <cfRule type="expression" dxfId="0" priority="14">
      <formula>AND($P$14=0,$Q$14&gt;0)</formula>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D254"/>
  <sheetViews>
    <sheetView zoomScale="80" zoomScaleNormal="80" workbookViewId="0">
      <pane ySplit="6" topLeftCell="A7" activePane="bottomLeft" state="frozen"/>
      <selection activeCell="A7" sqref="A7"/>
      <selection pane="bottomLeft" activeCell="A7" sqref="A7"/>
    </sheetView>
  </sheetViews>
  <sheetFormatPr defaultColWidth="9.140625" defaultRowHeight="12.75" x14ac:dyDescent="0.25"/>
  <cols>
    <col min="1" max="1" width="1.7109375" style="7" customWidth="1"/>
    <col min="2" max="2" width="35" style="5" customWidth="1"/>
    <col min="3" max="3" width="65.140625" style="10" customWidth="1"/>
    <col min="4" max="4" width="8.42578125" style="10" customWidth="1"/>
    <col min="5" max="5" width="2.85546875" style="10" customWidth="1"/>
    <col min="6" max="6" width="24.140625" style="7" customWidth="1"/>
    <col min="7" max="8" width="12.5703125" style="7" customWidth="1"/>
    <col min="9" max="9" width="13.7109375" style="7" customWidth="1"/>
    <col min="10" max="11" width="12.5703125" style="7" customWidth="1"/>
    <col min="12" max="12" width="2.5703125" style="10" customWidth="1"/>
    <col min="13" max="13" width="22.28515625" style="5" customWidth="1"/>
    <col min="14" max="14" width="44.85546875" style="10" customWidth="1"/>
    <col min="15" max="15" width="2.42578125" style="7" customWidth="1"/>
    <col min="16" max="20" width="3.5703125" style="36" customWidth="1"/>
    <col min="21" max="21" width="9.140625" style="7"/>
    <col min="22" max="22" width="10.7109375" style="7" customWidth="1"/>
    <col min="23" max="25" width="10.140625" style="7" customWidth="1"/>
    <col min="26" max="27" width="9.140625" style="7"/>
    <col min="28" max="28" width="10" style="7" customWidth="1"/>
    <col min="29" max="16384" width="9.140625" style="7"/>
  </cols>
  <sheetData>
    <row r="1" spans="1:21" s="1688" customFormat="1" ht="18.75" x14ac:dyDescent="0.25">
      <c r="A1" s="1686"/>
      <c r="B1" s="1686" t="s">
        <v>338</v>
      </c>
      <c r="C1" s="1687" t="s">
        <v>958</v>
      </c>
      <c r="D1" s="1687"/>
      <c r="E1" s="1687"/>
      <c r="L1" s="1687"/>
      <c r="M1" s="1686"/>
      <c r="N1" s="1687"/>
      <c r="P1" s="1689"/>
      <c r="Q1" s="1689"/>
      <c r="R1" s="1689"/>
      <c r="S1" s="1689"/>
      <c r="T1" s="1689"/>
    </row>
    <row r="2" spans="1:21" x14ac:dyDescent="0.25">
      <c r="C2" s="6" t="s">
        <v>12</v>
      </c>
      <c r="E2" s="124" t="s">
        <v>13</v>
      </c>
      <c r="F2" s="1511" t="s">
        <v>362</v>
      </c>
      <c r="H2" s="624" t="s">
        <v>708</v>
      </c>
      <c r="I2" s="623" t="s">
        <v>709</v>
      </c>
      <c r="L2" s="7"/>
      <c r="M2" s="989" t="s">
        <v>855</v>
      </c>
      <c r="N2" s="126" t="s">
        <v>364</v>
      </c>
    </row>
    <row r="3" spans="1:21" ht="15" x14ac:dyDescent="0.25">
      <c r="B3" s="329" t="s">
        <v>584</v>
      </c>
      <c r="E3" s="125" t="s">
        <v>14</v>
      </c>
      <c r="F3" s="126" t="s">
        <v>363</v>
      </c>
      <c r="H3" s="9" t="s">
        <v>15</v>
      </c>
      <c r="I3" s="126" t="s">
        <v>365</v>
      </c>
      <c r="L3" s="7"/>
      <c r="M3" s="676" t="s">
        <v>366</v>
      </c>
      <c r="N3" s="140" t="s">
        <v>367</v>
      </c>
    </row>
    <row r="4" spans="1:21" s="1055" customFormat="1" ht="18.75" x14ac:dyDescent="0.3">
      <c r="B4" s="1056"/>
      <c r="C4" s="1057"/>
      <c r="D4" s="2605" t="str">
        <f>IF(COUNTIF(P16:T404,1)&gt;0,"Red outline","")</f>
        <v>Red outline</v>
      </c>
      <c r="E4" s="2605"/>
      <c r="F4" s="1058" t="str">
        <f>IF(COUNTIF(P16:T404,1)&gt;0,": The data input value is surprisingly high - please check","")</f>
        <v>: The data input value is surprisingly high - please check</v>
      </c>
      <c r="J4" s="2605" t="str">
        <f>IF(COUNTIF(P16:T404,-1)&gt;0,"Dotted red outline","")</f>
        <v>Dotted red outline</v>
      </c>
      <c r="K4" s="2605"/>
      <c r="L4" s="1058" t="str">
        <f>IF(COUNTIF(P16:T404,-1)&gt;0,": The data input value is surprisingly low - please check","")</f>
        <v>: The data input value is surprisingly low - please check</v>
      </c>
      <c r="O4" s="1059"/>
      <c r="P4" s="1060"/>
      <c r="Q4" s="1060"/>
      <c r="R4" s="1060"/>
      <c r="S4" s="1060"/>
      <c r="T4" s="1060"/>
      <c r="U4" s="1060"/>
    </row>
    <row r="5" spans="1:21" ht="15" x14ac:dyDescent="0.25">
      <c r="C5" s="14"/>
      <c r="D5" s="14"/>
      <c r="E5" s="14"/>
      <c r="F5" s="1220" t="str">
        <f>IF(COUNTIF(P16:T404,1)&gt;0,"Click here for an explanation","")</f>
        <v>Click here for an explanation</v>
      </c>
      <c r="L5" s="7"/>
      <c r="M5" s="83" t="str">
        <f>IF(COUNTIF(P16:T406,-1)&gt;0,"Click here for an explanation","")</f>
        <v>Click here for an explanation</v>
      </c>
      <c r="N5" s="14"/>
      <c r="U5" s="36"/>
    </row>
    <row r="6" spans="1:21" s="105" customFormat="1" ht="15.75" x14ac:dyDescent="0.2">
      <c r="A6" s="103"/>
      <c r="B6" s="3" t="s">
        <v>322</v>
      </c>
      <c r="C6" s="4"/>
      <c r="D6" s="4"/>
      <c r="E6" s="104"/>
      <c r="F6" s="136" t="s">
        <v>328</v>
      </c>
      <c r="G6" s="73"/>
      <c r="H6" s="73"/>
      <c r="I6" s="73"/>
      <c r="J6" s="73"/>
      <c r="K6" s="73"/>
      <c r="L6" s="73"/>
      <c r="M6" s="154" t="s">
        <v>321</v>
      </c>
      <c r="N6" s="73"/>
      <c r="P6" s="1060"/>
      <c r="Q6" s="1060"/>
      <c r="R6" s="1060"/>
      <c r="S6" s="1060"/>
      <c r="T6" s="1060"/>
    </row>
    <row r="7" spans="1:21" x14ac:dyDescent="0.25">
      <c r="A7" s="2382"/>
      <c r="C7" s="7"/>
      <c r="D7" s="7"/>
      <c r="E7" s="7"/>
      <c r="L7" s="7"/>
      <c r="N7" s="7"/>
    </row>
    <row r="8" spans="1:21" ht="15.75" x14ac:dyDescent="0.25">
      <c r="B8" s="146" t="s">
        <v>655</v>
      </c>
      <c r="C8" s="127"/>
      <c r="D8" s="127"/>
      <c r="E8" s="127"/>
      <c r="F8" s="127"/>
      <c r="G8" s="129"/>
      <c r="H8" s="129"/>
      <c r="I8" s="127"/>
      <c r="J8" s="147"/>
      <c r="K8" s="147"/>
      <c r="L8" s="147"/>
      <c r="M8" s="147"/>
      <c r="N8" s="2607" t="s">
        <v>360</v>
      </c>
      <c r="P8" s="1050"/>
      <c r="Q8" s="1050"/>
      <c r="R8" s="1050"/>
      <c r="S8" s="1050"/>
      <c r="T8" s="1050"/>
    </row>
    <row r="9" spans="1:21" s="126" customFormat="1" ht="18.75" x14ac:dyDescent="0.25">
      <c r="B9" s="149"/>
      <c r="C9" s="150" t="s">
        <v>357</v>
      </c>
      <c r="D9" s="1319"/>
      <c r="E9" s="128"/>
      <c r="F9" s="455" t="str">
        <f>IF(AND(D9&gt;0,P14=0,O14&lt;D9),"Please fill in the white boxes below","")</f>
        <v/>
      </c>
      <c r="G9" s="129"/>
      <c r="H9" s="129"/>
      <c r="I9" s="128"/>
      <c r="J9" s="147"/>
      <c r="K9" s="147"/>
      <c r="L9" s="147"/>
      <c r="M9" s="147"/>
      <c r="N9" s="2607"/>
      <c r="P9" s="36"/>
      <c r="Q9" s="36"/>
      <c r="R9" s="36"/>
      <c r="S9" s="36"/>
      <c r="T9" s="36"/>
    </row>
    <row r="10" spans="1:21" x14ac:dyDescent="0.25">
      <c r="B10" s="509" t="s">
        <v>99</v>
      </c>
      <c r="C10" s="509" t="s">
        <v>351</v>
      </c>
      <c r="D10" s="2608" t="s">
        <v>640</v>
      </c>
      <c r="E10" s="2608"/>
      <c r="F10" s="2608"/>
      <c r="G10" s="2608"/>
      <c r="H10" s="2608"/>
      <c r="I10" s="2608"/>
      <c r="J10" s="147" t="s">
        <v>320</v>
      </c>
      <c r="K10" s="147"/>
      <c r="L10" s="147"/>
      <c r="M10" s="147"/>
      <c r="N10" s="2607"/>
      <c r="O10" s="302" t="s">
        <v>458</v>
      </c>
    </row>
    <row r="11" spans="1:21" ht="39.75" customHeight="1" x14ac:dyDescent="0.25">
      <c r="B11" s="1545"/>
      <c r="C11" s="1546"/>
      <c r="D11" s="2601"/>
      <c r="E11" s="2601"/>
      <c r="F11" s="2601"/>
      <c r="G11" s="2601"/>
      <c r="H11" s="2601"/>
      <c r="I11" s="2601"/>
      <c r="J11" s="2602"/>
      <c r="K11" s="2602"/>
      <c r="L11" s="2602"/>
      <c r="M11" s="2602"/>
      <c r="N11" s="1324"/>
      <c r="O11" s="36">
        <f>IF(AND(D11=Validated,OR(D9=1,D9=2,D9=3)),1,0)</f>
        <v>0</v>
      </c>
      <c r="P11" s="36">
        <f>IF(AND(D11=Not_validated,OR(D9=1,D9=2,D9=3)),-1,0)</f>
        <v>0</v>
      </c>
      <c r="Q11" s="36">
        <f>IF(AND(O11=1,ISBLANK(N11)),1,0)</f>
        <v>0</v>
      </c>
      <c r="R11" s="36" t="str">
        <f>Validated</f>
        <v>Yes, I believe the calculation steps, assumptions &amp; classifications below reasonably convert our waste data for this year to the form required for the national waste data set.</v>
      </c>
    </row>
    <row r="12" spans="1:21" ht="39.75" customHeight="1" x14ac:dyDescent="0.25">
      <c r="B12" s="1321"/>
      <c r="C12" s="1320"/>
      <c r="D12" s="2601"/>
      <c r="E12" s="2601"/>
      <c r="F12" s="2601"/>
      <c r="G12" s="2601"/>
      <c r="H12" s="2601"/>
      <c r="I12" s="2601"/>
      <c r="J12" s="2602"/>
      <c r="K12" s="2602"/>
      <c r="L12" s="2602"/>
      <c r="M12" s="2602"/>
      <c r="N12" s="457"/>
      <c r="O12" s="36">
        <f>IF(AND(D12=Validated,OR(D9=2,D9=3)),1,0)</f>
        <v>0</v>
      </c>
      <c r="P12" s="36">
        <f>IF(AND(D12=Not_validated,OR(D9=2,D9=3)),-1,0)</f>
        <v>0</v>
      </c>
      <c r="Q12" s="36">
        <f>IF(AND(O12=1,ISBLANK(N12)),1,0)</f>
        <v>0</v>
      </c>
      <c r="R12" s="36" t="str">
        <f>Not_validated</f>
        <v>No, I don't believe the calculation steps, assumptions &amp; classifications below reasonably convert our waste data for this year to the form required for the national waste data set.</v>
      </c>
    </row>
    <row r="13" spans="1:21" ht="38.25" customHeight="1" x14ac:dyDescent="0.25">
      <c r="B13" s="1322"/>
      <c r="C13" s="1323"/>
      <c r="D13" s="2601"/>
      <c r="E13" s="2601"/>
      <c r="F13" s="2601"/>
      <c r="G13" s="2601"/>
      <c r="H13" s="2601"/>
      <c r="I13" s="2601"/>
      <c r="J13" s="2602"/>
      <c r="K13" s="2602"/>
      <c r="L13" s="2602"/>
      <c r="M13" s="2602"/>
      <c r="N13" s="457"/>
      <c r="O13" s="36">
        <f>IF(AND(D13=Validated,D9=3),1,0)</f>
        <v>0</v>
      </c>
      <c r="P13" s="148">
        <f>IF(AND(D13=Not_validated,D9=3),-1,0)</f>
        <v>0</v>
      </c>
      <c r="Q13" s="148">
        <f>IF(AND(O13=1,ISBLANK(N13)),1,0)</f>
        <v>0</v>
      </c>
      <c r="R13" s="36" t="str">
        <f>Intro!B38</f>
        <v>Yes, I have updated all relevant data in the white cells below</v>
      </c>
    </row>
    <row r="14" spans="1:21" ht="26.25" x14ac:dyDescent="0.25">
      <c r="B14" s="152" t="str">
        <f>IF(P14&lt;0,R14,IF(Q14&gt;0,R15,""))</f>
        <v/>
      </c>
      <c r="C14" s="151"/>
      <c r="D14" s="151"/>
      <c r="E14" s="151"/>
      <c r="F14" s="151"/>
      <c r="G14" s="151"/>
      <c r="H14" s="151"/>
      <c r="I14" s="151"/>
      <c r="J14" s="151"/>
      <c r="K14" s="151"/>
      <c r="L14" s="151"/>
      <c r="M14" s="151"/>
      <c r="N14" s="151"/>
      <c r="O14" s="36">
        <f>SUM(O11:O13)</f>
        <v>0</v>
      </c>
      <c r="P14" s="148">
        <f>SUM(P11:P13)</f>
        <v>0</v>
      </c>
      <c r="Q14" s="148">
        <f>SUM(Q11:Q13)</f>
        <v>0</v>
      </c>
      <c r="R14" s="36" t="s">
        <v>807</v>
      </c>
    </row>
    <row r="15" spans="1:21" x14ac:dyDescent="0.25">
      <c r="C15" s="7"/>
      <c r="D15" s="7"/>
      <c r="E15" s="7"/>
      <c r="L15" s="7"/>
      <c r="N15" s="7"/>
      <c r="P15" s="148"/>
      <c r="Q15" s="148"/>
      <c r="R15" s="36" t="s">
        <v>561</v>
      </c>
    </row>
    <row r="16" spans="1:21" ht="15.75" x14ac:dyDescent="0.25">
      <c r="A16" s="130"/>
      <c r="B16" s="130" t="s">
        <v>438</v>
      </c>
      <c r="C16" s="362" t="s">
        <v>967</v>
      </c>
      <c r="D16" s="130"/>
      <c r="E16" s="130"/>
      <c r="F16" s="130"/>
      <c r="G16" s="130"/>
      <c r="H16" s="130"/>
      <c r="I16" s="130"/>
      <c r="J16" s="130"/>
      <c r="K16" s="130"/>
      <c r="L16" s="130"/>
      <c r="M16" s="130"/>
      <c r="N16" s="130"/>
      <c r="O16" s="130"/>
      <c r="P16" s="148"/>
      <c r="Q16" s="148"/>
    </row>
    <row r="17" spans="1:20" s="188" customFormat="1" x14ac:dyDescent="0.25">
      <c r="A17" s="185"/>
      <c r="F17" s="191"/>
      <c r="G17" s="6"/>
      <c r="H17" s="6"/>
      <c r="I17" s="191"/>
      <c r="J17" s="191"/>
      <c r="M17" s="192"/>
      <c r="O17" s="185"/>
      <c r="P17" s="36"/>
      <c r="Q17" s="36"/>
      <c r="R17" s="36"/>
      <c r="S17" s="36"/>
      <c r="T17" s="36"/>
    </row>
    <row r="18" spans="1:20" s="191" customFormat="1" x14ac:dyDescent="0.2">
      <c r="A18" s="185"/>
      <c r="B18" s="97" t="s">
        <v>125</v>
      </c>
      <c r="C18" s="37" t="s">
        <v>933</v>
      </c>
      <c r="D18" s="11"/>
      <c r="E18" s="11"/>
      <c r="F18" s="6"/>
      <c r="G18" s="24" t="s">
        <v>16</v>
      </c>
      <c r="H18" s="24" t="s">
        <v>17</v>
      </c>
      <c r="I18" s="24" t="s">
        <v>18</v>
      </c>
      <c r="L18" s="11"/>
      <c r="M18" s="113" t="s">
        <v>104</v>
      </c>
      <c r="N18" s="37" t="s">
        <v>753</v>
      </c>
      <c r="O18" s="185"/>
      <c r="S18" s="36"/>
      <c r="T18" s="36"/>
    </row>
    <row r="19" spans="1:20" s="191" customFormat="1" x14ac:dyDescent="0.25">
      <c r="A19" s="185"/>
      <c r="B19" s="2067" t="s">
        <v>720</v>
      </c>
      <c r="C19" s="2621" t="s">
        <v>1115</v>
      </c>
      <c r="D19" s="11"/>
      <c r="E19" s="11"/>
      <c r="F19" s="2069" t="s">
        <v>1116</v>
      </c>
      <c r="G19" s="1369"/>
      <c r="H19" s="1370"/>
      <c r="I19" s="1371"/>
      <c r="L19" s="11"/>
      <c r="M19" s="113" t="s">
        <v>100</v>
      </c>
      <c r="N19" s="37" t="s">
        <v>102</v>
      </c>
      <c r="O19" s="185"/>
      <c r="P19" s="1051">
        <f>IF(AND(ISNUMBER(G20),'Validn data - hide'!D121&gt;0),IF(G20/'Validn data - hide'!D121-1&gt;'Validn data - hide'!$L121,1,IF(G20/'Validn data - hide'!D121-1&lt;-'Validn data - hide'!$L121,-1,0)),0)</f>
        <v>0</v>
      </c>
      <c r="Q19" s="1051">
        <f>IF(AND(ISNUMBER(H20),'Validn data - hide'!E121&gt;0),IF(H20/'Validn data - hide'!E121-1&gt;'Validn data - hide'!$L121,1,IF(H20/'Validn data - hide'!E121-1&lt;-'Validn data - hide'!$L121,-1,0)),0)</f>
        <v>0</v>
      </c>
      <c r="R19" s="1051">
        <f>IF(AND(ISNUMBER(I20),'Validn data - hide'!F121&gt;0),IF(I20/'Validn data - hide'!F121-1&gt;'Validn data - hide'!$L121,1,IF(I20/'Validn data - hide'!F121-1&lt;-'Validn data - hide'!$L121,-1,0)),0)</f>
        <v>0</v>
      </c>
      <c r="S19" s="36"/>
      <c r="T19" s="36"/>
    </row>
    <row r="20" spans="1:20" s="191" customFormat="1" x14ac:dyDescent="0.25">
      <c r="A20" s="185"/>
      <c r="B20" s="202"/>
      <c r="C20" s="2622"/>
      <c r="D20" s="11"/>
      <c r="E20" s="11"/>
      <c r="F20" s="2069" t="s">
        <v>1114</v>
      </c>
      <c r="G20" s="2070">
        <v>2207553.83</v>
      </c>
      <c r="H20" s="2071">
        <v>2187339.5000000005</v>
      </c>
      <c r="I20" s="2072">
        <v>900824.4343281053</v>
      </c>
      <c r="L20" s="11"/>
      <c r="M20" s="2067" t="s">
        <v>10</v>
      </c>
      <c r="N20" s="2598" t="s">
        <v>1060</v>
      </c>
      <c r="O20" s="185"/>
      <c r="P20" s="1051"/>
      <c r="Q20" s="1051"/>
      <c r="R20" s="1051"/>
      <c r="S20" s="1051"/>
      <c r="T20" s="1051"/>
    </row>
    <row r="21" spans="1:20" s="191" customFormat="1" x14ac:dyDescent="0.25">
      <c r="A21" s="185"/>
      <c r="B21" s="202"/>
      <c r="C21" s="2621" t="s">
        <v>1117</v>
      </c>
      <c r="D21" s="590"/>
      <c r="E21" s="590"/>
      <c r="L21" s="590"/>
      <c r="M21" s="221"/>
      <c r="N21" s="2600"/>
      <c r="O21" s="185"/>
      <c r="P21" s="1051"/>
      <c r="Q21" s="1051"/>
      <c r="R21" s="1051"/>
      <c r="S21" s="1051"/>
      <c r="T21" s="1051"/>
    </row>
    <row r="22" spans="1:20" s="191" customFormat="1" x14ac:dyDescent="0.25">
      <c r="A22" s="185"/>
      <c r="B22" s="203"/>
      <c r="C22" s="2622"/>
      <c r="D22" s="590"/>
      <c r="E22" s="590"/>
      <c r="F22" s="137"/>
      <c r="G22" s="137"/>
      <c r="L22" s="590"/>
      <c r="M22" s="113" t="s">
        <v>352</v>
      </c>
      <c r="N22" s="1329" t="s">
        <v>1015</v>
      </c>
      <c r="O22" s="185"/>
      <c r="P22" s="1051"/>
      <c r="Q22" s="1051"/>
      <c r="R22" s="1051"/>
      <c r="S22" s="1051"/>
      <c r="T22" s="1051"/>
    </row>
    <row r="23" spans="1:20" s="191" customFormat="1" x14ac:dyDescent="0.25">
      <c r="A23" s="185"/>
      <c r="B23" s="193"/>
      <c r="C23" s="188"/>
      <c r="D23" s="590"/>
      <c r="E23" s="590"/>
      <c r="F23" s="137"/>
      <c r="G23" s="137"/>
      <c r="L23" s="590"/>
      <c r="M23" s="113" t="s">
        <v>99</v>
      </c>
      <c r="N23" s="1595">
        <v>42606</v>
      </c>
      <c r="O23" s="185"/>
      <c r="P23" s="1051"/>
      <c r="Q23" s="1051"/>
      <c r="R23" s="1051"/>
      <c r="S23" s="1051"/>
      <c r="T23" s="1051"/>
    </row>
    <row r="24" spans="1:20" s="191" customFormat="1" x14ac:dyDescent="0.25">
      <c r="A24" s="185"/>
      <c r="B24" s="193"/>
      <c r="C24" s="188"/>
      <c r="D24" s="1116"/>
      <c r="E24" s="1116"/>
      <c r="F24" s="137"/>
      <c r="G24" s="137"/>
      <c r="L24" s="1116"/>
      <c r="M24" s="113" t="s">
        <v>658</v>
      </c>
      <c r="N24" s="1328" t="s">
        <v>1016</v>
      </c>
      <c r="O24" s="185"/>
      <c r="P24" s="1051"/>
      <c r="Q24" s="1051"/>
      <c r="R24" s="1051"/>
      <c r="S24" s="1051"/>
      <c r="T24" s="1051"/>
    </row>
    <row r="25" spans="1:20" s="191" customFormat="1" x14ac:dyDescent="0.25">
      <c r="A25" s="185"/>
      <c r="B25" s="193"/>
      <c r="C25" s="188"/>
      <c r="D25" s="590"/>
      <c r="E25" s="590"/>
      <c r="F25" s="137"/>
      <c r="G25" s="137"/>
      <c r="L25" s="590"/>
      <c r="M25" s="99"/>
      <c r="N25" s="590"/>
      <c r="O25" s="185"/>
      <c r="P25" s="1051"/>
      <c r="Q25" s="1051"/>
      <c r="R25" s="1051"/>
      <c r="S25" s="1051"/>
      <c r="T25" s="1051"/>
    </row>
    <row r="26" spans="1:20" s="188" customFormat="1" x14ac:dyDescent="0.25">
      <c r="A26" s="185"/>
      <c r="B26" s="98"/>
      <c r="C26" s="196"/>
      <c r="D26" s="196"/>
      <c r="E26" s="196"/>
      <c r="F26" s="92"/>
      <c r="G26" s="93"/>
      <c r="H26" s="187"/>
      <c r="I26" s="187"/>
      <c r="J26" s="187"/>
      <c r="K26" s="187"/>
      <c r="L26" s="196"/>
      <c r="M26" s="98"/>
      <c r="N26" s="196"/>
      <c r="O26" s="185"/>
      <c r="P26" s="1051"/>
      <c r="Q26" s="1051"/>
      <c r="R26" s="1051"/>
      <c r="S26" s="1051"/>
      <c r="T26" s="1051"/>
    </row>
    <row r="27" spans="1:20" s="188" customFormat="1" ht="12.75" customHeight="1" x14ac:dyDescent="0.2">
      <c r="A27" s="185"/>
      <c r="B27" s="1571" t="s">
        <v>126</v>
      </c>
      <c r="C27" s="1597" t="s">
        <v>994</v>
      </c>
      <c r="D27" s="196"/>
      <c r="E27" s="196"/>
      <c r="F27" s="677"/>
      <c r="G27" s="678" t="s">
        <v>16</v>
      </c>
      <c r="H27" s="679" t="s">
        <v>17</v>
      </c>
      <c r="I27" s="679" t="s">
        <v>18</v>
      </c>
      <c r="J27" s="187"/>
      <c r="K27" s="187"/>
      <c r="L27" s="196"/>
      <c r="M27" s="114" t="s">
        <v>104</v>
      </c>
      <c r="N27" s="94" t="s">
        <v>745</v>
      </c>
      <c r="O27" s="185"/>
      <c r="P27" s="1051"/>
      <c r="Q27" s="1051"/>
      <c r="R27" s="1051"/>
      <c r="S27" s="1051"/>
      <c r="T27" s="1051"/>
    </row>
    <row r="28" spans="1:20" s="188" customFormat="1" x14ac:dyDescent="0.25">
      <c r="A28" s="185"/>
      <c r="B28" s="1598"/>
      <c r="C28" s="1599" t="s">
        <v>995</v>
      </c>
      <c r="D28" s="190"/>
      <c r="E28" s="190"/>
      <c r="F28" s="765" t="s">
        <v>746</v>
      </c>
      <c r="G28" s="2138">
        <f>Vic!G28</f>
        <v>15000</v>
      </c>
      <c r="H28" s="2139"/>
      <c r="I28" s="2140"/>
      <c r="J28" s="187"/>
      <c r="K28" s="187"/>
      <c r="L28" s="190"/>
      <c r="M28" s="114" t="s">
        <v>100</v>
      </c>
      <c r="N28" s="210" t="s">
        <v>102</v>
      </c>
      <c r="O28" s="185"/>
      <c r="P28" s="36"/>
      <c r="Q28" s="36"/>
      <c r="R28" s="36"/>
      <c r="S28" s="36"/>
      <c r="T28" s="36"/>
    </row>
    <row r="29" spans="1:20" s="188" customFormat="1" x14ac:dyDescent="0.25">
      <c r="A29" s="185"/>
      <c r="B29" s="1572" t="s">
        <v>714</v>
      </c>
      <c r="C29" s="2628" t="s">
        <v>996</v>
      </c>
      <c r="D29" s="190"/>
      <c r="E29" s="190"/>
      <c r="F29" s="765" t="s">
        <v>747</v>
      </c>
      <c r="G29" s="2141">
        <f>Qld!G27+ACT!G27</f>
        <v>54902.783210988229</v>
      </c>
      <c r="H29" s="2142">
        <f>Qld!H27+ACT!H27</f>
        <v>35154.564726506287</v>
      </c>
      <c r="I29" s="2143">
        <f>Qld!I27+ACT!I27</f>
        <v>278396.32081716706</v>
      </c>
      <c r="J29" s="187"/>
      <c r="K29" s="187"/>
      <c r="L29" s="190"/>
      <c r="M29" s="114" t="s">
        <v>10</v>
      </c>
      <c r="N29" s="1350"/>
      <c r="O29" s="185"/>
      <c r="P29" s="36"/>
      <c r="Q29" s="36"/>
      <c r="R29" s="36"/>
      <c r="S29" s="36"/>
      <c r="T29" s="36"/>
    </row>
    <row r="30" spans="1:20" s="188" customFormat="1" x14ac:dyDescent="0.25">
      <c r="A30" s="185"/>
      <c r="B30" s="1600"/>
      <c r="C30" s="2629"/>
      <c r="D30" s="190"/>
      <c r="E30" s="190"/>
      <c r="F30" s="677"/>
      <c r="G30" s="677"/>
      <c r="H30" s="677"/>
      <c r="I30" s="677"/>
      <c r="J30" s="187"/>
      <c r="K30" s="187"/>
      <c r="L30" s="190"/>
      <c r="M30" s="114" t="s">
        <v>352</v>
      </c>
      <c r="N30" s="1330"/>
      <c r="O30" s="185"/>
      <c r="P30" s="1051"/>
      <c r="Q30" s="1051"/>
      <c r="R30" s="36"/>
      <c r="S30" s="36"/>
      <c r="T30" s="36"/>
    </row>
    <row r="31" spans="1:20" s="188" customFormat="1" x14ac:dyDescent="0.25">
      <c r="A31" s="185"/>
      <c r="B31" s="189"/>
      <c r="C31" s="187"/>
      <c r="D31" s="190"/>
      <c r="E31" s="190"/>
      <c r="F31" s="681" t="s">
        <v>103</v>
      </c>
      <c r="G31" s="682">
        <f>G20-G28+G29</f>
        <v>2247456.6132109882</v>
      </c>
      <c r="H31" s="684">
        <f t="shared" ref="H31:I31" si="0">H20-H28+H29</f>
        <v>2222494.0647265068</v>
      </c>
      <c r="I31" s="683">
        <f t="shared" si="0"/>
        <v>1179220.7551452722</v>
      </c>
      <c r="J31" s="187"/>
      <c r="K31" s="187"/>
      <c r="L31" s="190"/>
      <c r="M31" s="114" t="s">
        <v>99</v>
      </c>
      <c r="N31" s="1330"/>
      <c r="O31" s="185"/>
      <c r="P31" s="1051"/>
      <c r="Q31" s="1051"/>
      <c r="R31" s="36"/>
      <c r="S31" s="36"/>
      <c r="T31" s="36"/>
    </row>
    <row r="32" spans="1:20" s="191" customFormat="1" x14ac:dyDescent="0.25">
      <c r="A32" s="185"/>
      <c r="B32" s="189"/>
      <c r="C32" s="187"/>
      <c r="D32" s="307"/>
      <c r="E32" s="307"/>
      <c r="F32" s="308"/>
      <c r="G32" s="308"/>
      <c r="H32" s="195"/>
      <c r="I32" s="195"/>
      <c r="J32" s="195"/>
      <c r="K32" s="195"/>
      <c r="L32" s="307"/>
      <c r="M32" s="114" t="s">
        <v>658</v>
      </c>
      <c r="N32" s="1331"/>
      <c r="O32" s="185"/>
      <c r="P32" s="36"/>
      <c r="Q32" s="36"/>
      <c r="R32" s="36"/>
      <c r="S32" s="36"/>
      <c r="T32" s="36"/>
    </row>
    <row r="33" spans="1:20" s="191" customFormat="1" x14ac:dyDescent="0.25">
      <c r="A33" s="185"/>
      <c r="B33" s="189"/>
      <c r="C33" s="187"/>
      <c r="D33" s="307"/>
      <c r="E33" s="307"/>
      <c r="F33" s="308"/>
      <c r="G33" s="308"/>
      <c r="H33" s="195"/>
      <c r="I33" s="195"/>
      <c r="J33" s="195"/>
      <c r="K33" s="195"/>
      <c r="L33" s="307"/>
      <c r="M33" s="98"/>
      <c r="N33" s="307"/>
      <c r="O33" s="185"/>
      <c r="P33" s="36"/>
      <c r="Q33" s="36"/>
      <c r="R33" s="36"/>
      <c r="S33" s="36"/>
      <c r="T33" s="36"/>
    </row>
    <row r="34" spans="1:20" s="188" customFormat="1" x14ac:dyDescent="0.25">
      <c r="A34" s="185"/>
      <c r="O34" s="185"/>
      <c r="P34" s="1051"/>
      <c r="Q34" s="1051"/>
      <c r="R34" s="1051"/>
      <c r="S34" s="1051"/>
      <c r="T34" s="1051"/>
    </row>
    <row r="35" spans="1:20" s="191" customFormat="1" x14ac:dyDescent="0.2">
      <c r="A35" s="185"/>
      <c r="B35" s="853" t="s">
        <v>127</v>
      </c>
      <c r="C35" s="2586" t="s">
        <v>749</v>
      </c>
      <c r="D35" s="11"/>
      <c r="E35" s="11"/>
      <c r="F35" s="513"/>
      <c r="G35" s="24" t="s">
        <v>16</v>
      </c>
      <c r="H35" s="24" t="s">
        <v>17</v>
      </c>
      <c r="I35" s="24" t="s">
        <v>18</v>
      </c>
      <c r="K35" s="11"/>
      <c r="L35" s="11"/>
      <c r="M35" s="510" t="s">
        <v>648</v>
      </c>
      <c r="N35" s="772" t="s">
        <v>757</v>
      </c>
      <c r="O35" s="185"/>
      <c r="P35" s="1051"/>
      <c r="Q35" s="1051"/>
      <c r="R35" s="1051"/>
      <c r="S35" s="1051"/>
      <c r="T35" s="1051"/>
    </row>
    <row r="36" spans="1:20" s="191" customFormat="1" x14ac:dyDescent="0.25">
      <c r="A36" s="185"/>
      <c r="B36" s="221"/>
      <c r="C36" s="2588"/>
      <c r="D36" s="11"/>
      <c r="E36" s="11"/>
      <c r="F36" s="546" t="s">
        <v>25</v>
      </c>
      <c r="G36" s="1465">
        <v>1.0081485757020022E-2</v>
      </c>
      <c r="H36" s="1466">
        <v>0.11734649107740246</v>
      </c>
      <c r="I36" s="1467">
        <v>0.41519901519874958</v>
      </c>
      <c r="L36" s="11"/>
      <c r="M36" s="113" t="s">
        <v>100</v>
      </c>
      <c r="N36" s="37" t="s">
        <v>101</v>
      </c>
      <c r="O36" s="185"/>
      <c r="P36" s="1051">
        <f>IF(AND(ISNUMBER(G36),'Validn data - hide'!D125&gt;0),IF(G36/'Validn data - hide'!D125-1&gt;'Validn data - hide'!$L125,1,IF(G36/'Validn data - hide'!D125-1&lt;-'Validn data - hide'!$L125,-1,0)),0)</f>
        <v>-1</v>
      </c>
      <c r="Q36" s="1051">
        <f>IF(AND(ISNUMBER(H36),'Validn data - hide'!E125&gt;0),IF(H36/'Validn data - hide'!E125-1&gt;'Validn data - hide'!$L125,1,IF(H36/'Validn data - hide'!E125-1&lt;-'Validn data - hide'!$L125,-1,0)),0)</f>
        <v>0</v>
      </c>
      <c r="R36" s="1051">
        <f>IF(AND(ISNUMBER(I36),'Validn data - hide'!F125&gt;0),IF(I36/'Validn data - hide'!F125-1&gt;'Validn data - hide'!$L125,1,IF(I36/'Validn data - hide'!F125-1&lt;-'Validn data - hide'!$L125,-1,0)),0)</f>
        <v>0</v>
      </c>
      <c r="S36" s="36"/>
      <c r="T36" s="36"/>
    </row>
    <row r="37" spans="1:20" s="191" customFormat="1" ht="12.75" customHeight="1" x14ac:dyDescent="0.25">
      <c r="A37" s="185"/>
      <c r="B37" s="1453" t="s">
        <v>714</v>
      </c>
      <c r="C37" s="2621" t="s">
        <v>919</v>
      </c>
      <c r="D37" s="11"/>
      <c r="E37" s="11"/>
      <c r="F37" s="546" t="s">
        <v>28</v>
      </c>
      <c r="G37" s="1459">
        <v>2.0317688733325252E-2</v>
      </c>
      <c r="H37" s="1460">
        <v>2.1658925576025116E-2</v>
      </c>
      <c r="I37" s="1461">
        <v>4.3632046714314698E-2</v>
      </c>
      <c r="L37" s="11"/>
      <c r="M37" s="510" t="s">
        <v>446</v>
      </c>
      <c r="N37" s="2672" t="s">
        <v>649</v>
      </c>
      <c r="O37" s="185"/>
      <c r="P37" s="1051">
        <f>IF(AND(ISNUMBER(G37),'Validn data - hide'!D126&gt;0),IF(G37/'Validn data - hide'!D126-1&gt;'Validn data - hide'!$L126,1,IF(G37/'Validn data - hide'!D126-1&lt;-'Validn data - hide'!$L126,-1,0)),0)</f>
        <v>0</v>
      </c>
      <c r="Q37" s="1051">
        <f>IF(AND(ISNUMBER(H37),'Validn data - hide'!E126&gt;0),IF(H37/'Validn data - hide'!E126-1&gt;'Validn data - hide'!$L126,1,IF(H37/'Validn data - hide'!E126-1&lt;-'Validn data - hide'!$L126,-1,0)),0)</f>
        <v>0</v>
      </c>
      <c r="R37" s="1051">
        <f>IF(AND(ISNUMBER(I37),'Validn data - hide'!F126&gt;0),IF(I37/'Validn data - hide'!F126-1&gt;'Validn data - hide'!$L126,1,IF(I37/'Validn data - hide'!F126-1&lt;-'Validn data - hide'!$L126,-1,0)),0)</f>
        <v>0</v>
      </c>
      <c r="S37" s="36"/>
      <c r="T37" s="36"/>
    </row>
    <row r="38" spans="1:20" s="191" customFormat="1" x14ac:dyDescent="0.25">
      <c r="A38" s="185"/>
      <c r="B38" s="202"/>
      <c r="C38" s="2662"/>
      <c r="D38" s="12"/>
      <c r="E38" s="12"/>
      <c r="F38" s="663" t="s">
        <v>61</v>
      </c>
      <c r="G38" s="1351">
        <v>0.32813326192140918</v>
      </c>
      <c r="H38" s="1352">
        <v>9.0697361648706107E-2</v>
      </c>
      <c r="I38" s="1353">
        <v>1.646269731910769E-4</v>
      </c>
      <c r="L38" s="12"/>
      <c r="M38" s="236"/>
      <c r="N38" s="2673"/>
      <c r="O38" s="185"/>
      <c r="P38" s="1051">
        <f>IF(AND(ISNUMBER(G38),'Validn data - hide'!D127&gt;0),IF(G38/'Validn data - hide'!D127-1&gt;'Validn data - hide'!$L127,1,IF(G38/'Validn data - hide'!D127-1&lt;-'Validn data - hide'!$L127,-1,0)),0)</f>
        <v>-1</v>
      </c>
      <c r="Q38" s="1051">
        <f>IF(AND(ISNUMBER(H38),'Validn data - hide'!E127&gt;0),IF(H38/'Validn data - hide'!E127-1&gt;'Validn data - hide'!$L127,1,IF(H38/'Validn data - hide'!E127-1&lt;-'Validn data - hide'!$L127,-1,0)),0)</f>
        <v>0</v>
      </c>
      <c r="R38" s="1051">
        <f>IF(AND(ISNUMBER(I38),'Validn data - hide'!F127&gt;0),IF(I38/'Validn data - hide'!F127-1&gt;'Validn data - hide'!$L127,1,IF(I38/'Validn data - hide'!F127-1&lt;-'Validn data - hide'!$L127,-1,0)),0)</f>
        <v>1</v>
      </c>
      <c r="S38" s="36"/>
      <c r="T38" s="36"/>
    </row>
    <row r="39" spans="1:20" s="191" customFormat="1" x14ac:dyDescent="0.25">
      <c r="A39" s="185"/>
      <c r="B39" s="202"/>
      <c r="C39" s="2662"/>
      <c r="D39" s="12"/>
      <c r="E39" s="12"/>
      <c r="F39" s="663" t="s">
        <v>63</v>
      </c>
      <c r="G39" s="1351">
        <v>0.15466355441262328</v>
      </c>
      <c r="H39" s="1352">
        <v>5.3509429917029339E-2</v>
      </c>
      <c r="I39" s="1353">
        <v>2.2029949192932146E-2</v>
      </c>
      <c r="L39" s="12"/>
      <c r="M39" s="236"/>
      <c r="N39" s="2673" t="s">
        <v>650</v>
      </c>
      <c r="O39" s="185"/>
      <c r="P39" s="1051">
        <f>IF(AND(ISNUMBER(G39),'Validn data - hide'!D128&gt;0),IF(G39/'Validn data - hide'!D128-1&gt;'Validn data - hide'!$L128,1,IF(G39/'Validn data - hide'!D128-1&lt;-'Validn data - hide'!$L128,-1,0)),0)</f>
        <v>1</v>
      </c>
      <c r="Q39" s="1051">
        <f>IF(AND(ISNUMBER(H39),'Validn data - hide'!E128&gt;0),IF(H39/'Validn data - hide'!E128-1&gt;'Validn data - hide'!$L128,1,IF(H39/'Validn data - hide'!E128-1&lt;-'Validn data - hide'!$L128,-1,0)),0)</f>
        <v>1</v>
      </c>
      <c r="R39" s="1051">
        <f>IF(AND(ISNUMBER(I39),'Validn data - hide'!F128&gt;0),IF(I39/'Validn data - hide'!F128-1&gt;'Validn data - hide'!$L128,1,IF(I39/'Validn data - hide'!F128-1&lt;-'Validn data - hide'!$L128,-1,0)),0)</f>
        <v>1</v>
      </c>
      <c r="S39" s="36"/>
      <c r="T39" s="36"/>
    </row>
    <row r="40" spans="1:20" s="191" customFormat="1" x14ac:dyDescent="0.25">
      <c r="A40" s="185"/>
      <c r="B40" s="1488"/>
      <c r="C40" s="2662"/>
      <c r="D40" s="12"/>
      <c r="E40" s="12"/>
      <c r="F40" s="663" t="s">
        <v>67</v>
      </c>
      <c r="G40" s="1351">
        <v>1.3436079647036284E-2</v>
      </c>
      <c r="H40" s="1352">
        <v>0.13433586389309934</v>
      </c>
      <c r="I40" s="1353">
        <v>0.16623852988601517</v>
      </c>
      <c r="L40" s="12"/>
      <c r="M40" s="236"/>
      <c r="N40" s="2673"/>
      <c r="O40" s="185"/>
      <c r="P40" s="1051">
        <f>IF(AND(ISNUMBER(G40),'Validn data - hide'!D129&gt;0),IF(G40/'Validn data - hide'!D129-1&gt;'Validn data - hide'!$L129,1,IF(G40/'Validn data - hide'!D129-1&lt;-'Validn data - hide'!$L129,-1,0)),0)</f>
        <v>1</v>
      </c>
      <c r="Q40" s="1051">
        <f>IF(AND(ISNUMBER(H40),'Validn data - hide'!E129&gt;0),IF(H40/'Validn data - hide'!E129-1&gt;'Validn data - hide'!$L129,1,IF(H40/'Validn data - hide'!E129-1&lt;-'Validn data - hide'!$L129,-1,0)),0)</f>
        <v>0</v>
      </c>
      <c r="R40" s="1051">
        <f>IF(AND(ISNUMBER(I40),'Validn data - hide'!F129&gt;0),IF(I40/'Validn data - hide'!F129-1&gt;'Validn data - hide'!$L129,1,IF(I40/'Validn data - hide'!F129-1&lt;-'Validn data - hide'!$L129,-1,0)),0)</f>
        <v>0</v>
      </c>
      <c r="S40" s="36"/>
      <c r="T40" s="36"/>
    </row>
    <row r="41" spans="1:20" s="191" customFormat="1" x14ac:dyDescent="0.25">
      <c r="A41" s="185"/>
      <c r="B41" s="236"/>
      <c r="C41" s="2621" t="s">
        <v>969</v>
      </c>
      <c r="D41" s="12"/>
      <c r="E41" s="12"/>
      <c r="F41" s="663" t="s">
        <v>65</v>
      </c>
      <c r="G41" s="1351">
        <v>6.9205147312308118E-2</v>
      </c>
      <c r="H41" s="1352">
        <v>0</v>
      </c>
      <c r="I41" s="1353">
        <v>0</v>
      </c>
      <c r="L41" s="12"/>
      <c r="M41" s="511"/>
      <c r="N41" s="2673" t="s">
        <v>651</v>
      </c>
      <c r="O41" s="185"/>
      <c r="P41" s="1051">
        <f>IF(AND(ISNUMBER(G41),'Validn data - hide'!D130&gt;0),IF(G41/'Validn data - hide'!D130-1&gt;'Validn data - hide'!$L130,1,IF(G41/'Validn data - hide'!D130-1&lt;-'Validn data - hide'!$L130,-1,0)),0)</f>
        <v>0</v>
      </c>
      <c r="Q41" s="1051">
        <f>IF(AND(ISNUMBER(H41),'Validn data - hide'!E130&gt;0),IF(H41/'Validn data - hide'!E130-1&gt;'Validn data - hide'!$L130,1,IF(H41/'Validn data - hide'!E130-1&lt;-'Validn data - hide'!$L130,-1,0)),0)</f>
        <v>0</v>
      </c>
      <c r="R41" s="1051">
        <f>IF(AND(ISNUMBER(I41),'Validn data - hide'!F130&gt;0),IF(I41/'Validn data - hide'!F130-1&gt;'Validn data - hide'!$L130,1,IF(I41/'Validn data - hide'!F130-1&lt;-'Validn data - hide'!$L130,-1,0)),0)</f>
        <v>-1</v>
      </c>
      <c r="S41" s="36"/>
      <c r="T41" s="36"/>
    </row>
    <row r="42" spans="1:20" s="191" customFormat="1" ht="12.75" customHeight="1" x14ac:dyDescent="0.25">
      <c r="A42" s="185"/>
      <c r="C42" s="2662"/>
      <c r="D42" s="12"/>
      <c r="E42" s="12"/>
      <c r="F42" s="546" t="s">
        <v>20</v>
      </c>
      <c r="G42" s="1459">
        <v>5.3633784282170825E-2</v>
      </c>
      <c r="H42" s="1460">
        <v>0.13772625057975679</v>
      </c>
      <c r="I42" s="1461">
        <v>2.532061512853255E-2</v>
      </c>
      <c r="L42" s="12"/>
      <c r="M42" s="511"/>
      <c r="N42" s="2673"/>
      <c r="O42" s="185"/>
      <c r="P42" s="1051">
        <f>IF(AND(ISNUMBER(G42),'Validn data - hide'!D131&gt;0),IF(G42/'Validn data - hide'!D131-1&gt;'Validn data - hide'!$L131,1,IF(G42/'Validn data - hide'!D131-1&lt;-'Validn data - hide'!$L131,-1,0)),0)</f>
        <v>0</v>
      </c>
      <c r="Q42" s="1051">
        <f>IF(AND(ISNUMBER(H42),'Validn data - hide'!E131&gt;0),IF(H42/'Validn data - hide'!E131-1&gt;'Validn data - hide'!$L131,1,IF(H42/'Validn data - hide'!E131-1&lt;-'Validn data - hide'!$L131,-1,0)),0)</f>
        <v>0</v>
      </c>
      <c r="R42" s="1051">
        <f>IF(AND(ISNUMBER(I42),'Validn data - hide'!F131&gt;0),IF(I42/'Validn data - hide'!F131-1&gt;'Validn data - hide'!$L131,1,IF(I42/'Validn data - hide'!F131-1&lt;-'Validn data - hide'!$L131,-1,0)),0)</f>
        <v>0</v>
      </c>
      <c r="S42" s="36"/>
      <c r="T42" s="36"/>
    </row>
    <row r="43" spans="1:20" s="191" customFormat="1" ht="12.75" customHeight="1" x14ac:dyDescent="0.25">
      <c r="A43" s="185"/>
      <c r="B43" s="202"/>
      <c r="C43" s="2631" t="s">
        <v>916</v>
      </c>
      <c r="D43" s="12"/>
      <c r="E43" s="12"/>
      <c r="F43" s="547" t="s">
        <v>32</v>
      </c>
      <c r="G43" s="1459">
        <v>9.6464654963815774E-2</v>
      </c>
      <c r="H43" s="1460">
        <v>0.11374379686372416</v>
      </c>
      <c r="I43" s="1461">
        <v>2.275404376135548E-2</v>
      </c>
      <c r="L43" s="12"/>
      <c r="M43" s="511"/>
      <c r="N43" s="2675" t="s">
        <v>652</v>
      </c>
      <c r="O43" s="185"/>
      <c r="P43" s="1051">
        <f>IF(AND(ISNUMBER(G43),'Validn data - hide'!D132&gt;0),IF(G43/'Validn data - hide'!D132-1&gt;'Validn data - hide'!$L132,1,IF(G43/'Validn data - hide'!D132-1&lt;-'Validn data - hide'!$L132,-1,0)),0)</f>
        <v>0</v>
      </c>
      <c r="Q43" s="1051">
        <f>IF(AND(ISNUMBER(H43),'Validn data - hide'!E132&gt;0),IF(H43/'Validn data - hide'!E132-1&gt;'Validn data - hide'!$L132,1,IF(H43/'Validn data - hide'!E132-1&lt;-'Validn data - hide'!$L132,-1,0)),0)</f>
        <v>0</v>
      </c>
      <c r="R43" s="1051">
        <f>IF(AND(ISNUMBER(I43),'Validn data - hide'!F132&gt;0),IF(I43/'Validn data - hide'!F132-1&gt;'Validn data - hide'!$L132,1,IF(I43/'Validn data - hide'!F132-1&lt;-'Validn data - hide'!$L132,-1,0)),0)</f>
        <v>0</v>
      </c>
      <c r="S43" s="36"/>
      <c r="T43" s="36"/>
    </row>
    <row r="44" spans="1:20" s="191" customFormat="1" x14ac:dyDescent="0.25">
      <c r="A44" s="185"/>
      <c r="B44" s="236"/>
      <c r="C44" s="2632"/>
      <c r="D44" s="12"/>
      <c r="E44" s="12"/>
      <c r="F44" s="546" t="s">
        <v>30</v>
      </c>
      <c r="G44" s="1351">
        <v>3.3776418792922487E-2</v>
      </c>
      <c r="H44" s="1352">
        <v>1.3762432215026517E-2</v>
      </c>
      <c r="I44" s="1353">
        <v>-1.104129730608227E-3</v>
      </c>
      <c r="L44" s="12"/>
      <c r="M44" s="511"/>
      <c r="N44" s="2675"/>
      <c r="O44" s="185"/>
      <c r="P44" s="1051">
        <f>IF(AND(ISNUMBER(G44),'Validn data - hide'!D133&gt;0),IF(G44/'Validn data - hide'!D133-1&gt;'Validn data - hide'!$L133,1,IF(G44/'Validn data - hide'!D133-1&lt;-'Validn data - hide'!$L133,-1,0)),0)</f>
        <v>0</v>
      </c>
      <c r="Q44" s="1051">
        <f>IF(AND(ISNUMBER(H44),'Validn data - hide'!E133&gt;0),IF(H44/'Validn data - hide'!E133-1&gt;'Validn data - hide'!$L133,1,IF(H44/'Validn data - hide'!E133-1&lt;-'Validn data - hide'!$L133,-1,0)),0)</f>
        <v>0</v>
      </c>
      <c r="R44" s="1051">
        <f>IF(AND(ISNUMBER(I44),'Validn data - hide'!F133&gt;0),IF(I44/'Validn data - hide'!F133-1&gt;'Validn data - hide'!$L133,1,IF(I44/'Validn data - hide'!F133-1&lt;-'Validn data - hide'!$L133,-1,0)),0)</f>
        <v>-1</v>
      </c>
      <c r="S44" s="36"/>
      <c r="T44" s="36"/>
    </row>
    <row r="45" spans="1:20" s="191" customFormat="1" x14ac:dyDescent="0.25">
      <c r="A45" s="185"/>
      <c r="B45" s="221"/>
      <c r="C45" s="2633"/>
      <c r="D45" s="12"/>
      <c r="E45" s="12"/>
      <c r="F45" s="546" t="s">
        <v>27</v>
      </c>
      <c r="G45" s="1462">
        <v>0.22028792417736873</v>
      </c>
      <c r="H45" s="1463">
        <v>0.31721944822923015</v>
      </c>
      <c r="I45" s="1464">
        <v>0.30576530287551762</v>
      </c>
      <c r="L45" s="12"/>
      <c r="M45" s="236"/>
      <c r="N45" s="2674" t="s">
        <v>653</v>
      </c>
      <c r="O45" s="185"/>
      <c r="P45" s="1051">
        <f>IF(AND(ISNUMBER(G45),'Validn data - hide'!D134&gt;0),IF(G45/'Validn data - hide'!D134-1&gt;'Validn data - hide'!$L134,1,IF(G45/'Validn data - hide'!D134-1&lt;-'Validn data - hide'!$L134,-1,0)),0)</f>
        <v>0</v>
      </c>
      <c r="Q45" s="1051">
        <f>IF(AND(ISNUMBER(H45),'Validn data - hide'!E134&gt;0),IF(H45/'Validn data - hide'!E134-1&gt;'Validn data - hide'!$L134,1,IF(H45/'Validn data - hide'!E134-1&lt;-'Validn data - hide'!$L134,-1,0)),0)</f>
        <v>0</v>
      </c>
      <c r="R45" s="1051">
        <f>IF(AND(ISNUMBER(I45),'Validn data - hide'!F134&gt;0),IF(I45/'Validn data - hide'!F134-1&gt;'Validn data - hide'!$L134,1,IF(I45/'Validn data - hide'!F134-1&lt;-'Validn data - hide'!$L134,-1,0)),0)</f>
        <v>0</v>
      </c>
      <c r="S45" s="36"/>
      <c r="T45" s="36"/>
    </row>
    <row r="46" spans="1:20" s="191" customFormat="1" x14ac:dyDescent="0.25">
      <c r="A46" s="185"/>
      <c r="B46" s="193"/>
      <c r="D46" s="12"/>
      <c r="E46" s="12"/>
      <c r="F46" s="188"/>
      <c r="G46" s="794">
        <f>SUM(G36:G45)</f>
        <v>0.99999999999999989</v>
      </c>
      <c r="H46" s="794">
        <f>SUM(H36:H45)</f>
        <v>1</v>
      </c>
      <c r="I46" s="794">
        <f>SUM(I36:I45)</f>
        <v>1</v>
      </c>
      <c r="L46" s="12"/>
      <c r="M46" s="236"/>
      <c r="N46" s="2674"/>
      <c r="O46" s="185"/>
      <c r="P46" s="1051"/>
      <c r="Q46" s="1051"/>
      <c r="R46" s="1051"/>
      <c r="S46" s="36"/>
      <c r="T46" s="36"/>
    </row>
    <row r="47" spans="1:20" s="191" customFormat="1" x14ac:dyDescent="0.25">
      <c r="A47" s="185"/>
      <c r="B47" s="193"/>
      <c r="D47" s="12"/>
      <c r="E47" s="12"/>
      <c r="L47" s="12"/>
      <c r="M47" s="113" t="s">
        <v>352</v>
      </c>
      <c r="N47" s="1329" t="s">
        <v>1015</v>
      </c>
      <c r="O47" s="185"/>
      <c r="P47" s="1051"/>
      <c r="Q47" s="1051"/>
      <c r="R47" s="1051"/>
      <c r="S47" s="36"/>
      <c r="T47" s="36"/>
    </row>
    <row r="48" spans="1:20" s="191" customFormat="1" x14ac:dyDescent="0.2">
      <c r="A48" s="185"/>
      <c r="B48" s="193"/>
      <c r="D48" s="12"/>
      <c r="E48" s="12"/>
      <c r="F48" s="513"/>
      <c r="G48" s="24" t="s">
        <v>16</v>
      </c>
      <c r="H48" s="24" t="s">
        <v>17</v>
      </c>
      <c r="I48" s="24" t="s">
        <v>18</v>
      </c>
      <c r="L48" s="12"/>
      <c r="M48" s="113" t="s">
        <v>99</v>
      </c>
      <c r="N48" s="1626">
        <v>42606</v>
      </c>
      <c r="O48" s="185"/>
      <c r="P48" s="1051"/>
      <c r="Q48" s="1051"/>
      <c r="R48" s="1051"/>
      <c r="S48" s="36"/>
      <c r="T48" s="36"/>
    </row>
    <row r="49" spans="1:20" s="191" customFormat="1" x14ac:dyDescent="0.25">
      <c r="A49" s="185"/>
      <c r="B49" s="193"/>
      <c r="D49" s="12"/>
      <c r="E49" s="12"/>
      <c r="F49" s="546" t="s">
        <v>25</v>
      </c>
      <c r="G49" s="859">
        <f t="shared" ref="G49:I58" si="1">G36*G$31</f>
        <v>22657.701835607037</v>
      </c>
      <c r="H49" s="860">
        <f t="shared" si="1"/>
        <v>260801.87993600895</v>
      </c>
      <c r="I49" s="861">
        <f t="shared" si="1"/>
        <v>489611.29623824282</v>
      </c>
      <c r="L49" s="12"/>
      <c r="M49" s="113" t="s">
        <v>658</v>
      </c>
      <c r="N49" s="1328" t="s">
        <v>1016</v>
      </c>
      <c r="O49" s="185"/>
      <c r="P49" s="1051"/>
      <c r="Q49" s="1051"/>
      <c r="R49" s="1051"/>
      <c r="S49" s="36"/>
      <c r="T49" s="36"/>
    </row>
    <row r="50" spans="1:20" s="191" customFormat="1" x14ac:dyDescent="0.25">
      <c r="A50" s="185"/>
      <c r="B50" s="193"/>
      <c r="C50" s="188"/>
      <c r="D50" s="12"/>
      <c r="E50" s="12"/>
      <c r="F50" s="546" t="s">
        <v>28</v>
      </c>
      <c r="G50" s="862">
        <f t="shared" si="1"/>
        <v>45663.123908874222</v>
      </c>
      <c r="H50" s="863">
        <f t="shared" si="1"/>
        <v>48136.833541068954</v>
      </c>
      <c r="I50" s="864">
        <f t="shared" si="1"/>
        <v>51451.815074987971</v>
      </c>
      <c r="L50" s="12"/>
      <c r="O50" s="185"/>
      <c r="P50" s="1051"/>
      <c r="Q50" s="1051"/>
      <c r="R50" s="1051"/>
      <c r="S50" s="36"/>
      <c r="T50" s="36"/>
    </row>
    <row r="51" spans="1:20" s="191" customFormat="1" x14ac:dyDescent="0.25">
      <c r="A51" s="185"/>
      <c r="D51" s="12"/>
      <c r="E51" s="12"/>
      <c r="F51" s="663" t="s">
        <v>61</v>
      </c>
      <c r="G51" s="862">
        <f t="shared" si="1"/>
        <v>737465.26951976435</v>
      </c>
      <c r="H51" s="863">
        <f t="shared" si="1"/>
        <v>201574.34795060282</v>
      </c>
      <c r="I51" s="864">
        <f t="shared" si="1"/>
        <v>194.13154364366218</v>
      </c>
      <c r="L51" s="12"/>
      <c r="O51" s="185"/>
      <c r="P51" s="1051"/>
      <c r="Q51" s="1051"/>
      <c r="R51" s="1051"/>
      <c r="S51" s="36"/>
      <c r="T51" s="36"/>
    </row>
    <row r="52" spans="1:20" s="191" customFormat="1" x14ac:dyDescent="0.25">
      <c r="A52" s="185"/>
      <c r="D52" s="12"/>
      <c r="E52" s="12"/>
      <c r="F52" s="663" t="s">
        <v>63</v>
      </c>
      <c r="G52" s="862">
        <f t="shared" si="1"/>
        <v>347599.62818736769</v>
      </c>
      <c r="H52" s="863">
        <f t="shared" si="1"/>
        <v>118924.39039749668</v>
      </c>
      <c r="I52" s="864">
        <f t="shared" si="1"/>
        <v>25978.173323101426</v>
      </c>
      <c r="L52" s="12"/>
      <c r="O52" s="185"/>
      <c r="P52" s="1051"/>
      <c r="Q52" s="1051"/>
      <c r="R52" s="1051"/>
      <c r="S52" s="36"/>
      <c r="T52" s="36"/>
    </row>
    <row r="53" spans="1:20" s="191" customFormat="1" x14ac:dyDescent="0.25">
      <c r="A53" s="185"/>
      <c r="D53" s="12"/>
      <c r="E53" s="12"/>
      <c r="F53" s="663" t="s">
        <v>67</v>
      </c>
      <c r="G53" s="862">
        <f t="shared" si="1"/>
        <v>30197.006058361258</v>
      </c>
      <c r="H53" s="863">
        <f t="shared" si="1"/>
        <v>298560.66018232115</v>
      </c>
      <c r="I53" s="864">
        <f t="shared" si="1"/>
        <v>196031.92474642672</v>
      </c>
      <c r="L53" s="12"/>
      <c r="O53" s="185"/>
      <c r="P53" s="1051"/>
      <c r="Q53" s="1051"/>
      <c r="R53" s="1051"/>
      <c r="S53" s="36"/>
      <c r="T53" s="36"/>
    </row>
    <row r="54" spans="1:20" s="191" customFormat="1" x14ac:dyDescent="0.25">
      <c r="A54" s="185"/>
      <c r="B54" s="193"/>
      <c r="C54" s="188"/>
      <c r="D54" s="12"/>
      <c r="E54" s="12"/>
      <c r="F54" s="663" t="s">
        <v>65</v>
      </c>
      <c r="G54" s="862">
        <f t="shared" si="1"/>
        <v>155535.56599528753</v>
      </c>
      <c r="H54" s="863">
        <f t="shared" si="1"/>
        <v>0</v>
      </c>
      <c r="I54" s="864">
        <f t="shared" si="1"/>
        <v>0</v>
      </c>
      <c r="L54" s="12"/>
      <c r="O54" s="185"/>
      <c r="P54" s="1051"/>
      <c r="Q54" s="1051"/>
      <c r="R54" s="1051"/>
      <c r="S54" s="36"/>
      <c r="T54" s="36"/>
    </row>
    <row r="55" spans="1:20" s="191" customFormat="1" x14ac:dyDescent="0.25">
      <c r="A55" s="185"/>
      <c r="B55" s="193"/>
      <c r="C55" s="188"/>
      <c r="D55" s="12"/>
      <c r="E55" s="12"/>
      <c r="F55" s="546" t="s">
        <v>20</v>
      </c>
      <c r="G55" s="862">
        <f t="shared" si="1"/>
        <v>120539.60317649637</v>
      </c>
      <c r="H55" s="863">
        <f t="shared" si="1"/>
        <v>306095.77447054512</v>
      </c>
      <c r="I55" s="864">
        <f t="shared" si="1"/>
        <v>29858.59489261096</v>
      </c>
      <c r="L55" s="12"/>
      <c r="O55" s="185"/>
      <c r="P55" s="1051"/>
      <c r="Q55" s="1051"/>
      <c r="R55" s="1051"/>
      <c r="S55" s="36"/>
      <c r="T55" s="36"/>
    </row>
    <row r="56" spans="1:20" s="191" customFormat="1" x14ac:dyDescent="0.25">
      <c r="A56" s="185"/>
      <c r="B56" s="193"/>
      <c r="C56" s="188"/>
      <c r="D56" s="12"/>
      <c r="E56" s="12"/>
      <c r="F56" s="547" t="s">
        <v>32</v>
      </c>
      <c r="G56" s="862">
        <f t="shared" si="1"/>
        <v>216800.12673954395</v>
      </c>
      <c r="H56" s="863">
        <f t="shared" si="1"/>
        <v>252794.91342908441</v>
      </c>
      <c r="I56" s="864">
        <f t="shared" si="1"/>
        <v>26832.040666874182</v>
      </c>
      <c r="L56" s="12"/>
      <c r="O56" s="185"/>
      <c r="P56" s="1051"/>
      <c r="Q56" s="1051"/>
      <c r="R56" s="1051"/>
      <c r="S56" s="36"/>
      <c r="T56" s="36"/>
    </row>
    <row r="57" spans="1:20" s="191" customFormat="1" x14ac:dyDescent="0.25">
      <c r="A57" s="185"/>
      <c r="B57" s="193"/>
      <c r="C57" s="188"/>
      <c r="D57" s="12"/>
      <c r="E57" s="12"/>
      <c r="F57" s="546" t="s">
        <v>30</v>
      </c>
      <c r="G57" s="862">
        <f t="shared" si="1"/>
        <v>75911.035786737542</v>
      </c>
      <c r="H57" s="863">
        <f t="shared" si="1"/>
        <v>30586.923914097308</v>
      </c>
      <c r="I57" s="864">
        <v>0</v>
      </c>
      <c r="L57" s="12"/>
      <c r="O57" s="185"/>
      <c r="P57" s="1051"/>
      <c r="Q57" s="1051"/>
      <c r="R57" s="1051"/>
      <c r="S57" s="36"/>
      <c r="T57" s="36"/>
    </row>
    <row r="58" spans="1:20" s="191" customFormat="1" x14ac:dyDescent="0.25">
      <c r="A58" s="185"/>
      <c r="B58" s="193"/>
      <c r="C58" s="188"/>
      <c r="D58" s="12"/>
      <c r="E58" s="12"/>
      <c r="F58" s="546" t="s">
        <v>27</v>
      </c>
      <c r="G58" s="1468">
        <f t="shared" si="1"/>
        <v>495087.55200294807</v>
      </c>
      <c r="H58" s="1469">
        <f t="shared" si="1"/>
        <v>705018.34090528137</v>
      </c>
      <c r="I58" s="1470">
        <f t="shared" si="1"/>
        <v>360564.79135409079</v>
      </c>
      <c r="L58" s="12"/>
      <c r="O58" s="185"/>
      <c r="P58" s="1051"/>
      <c r="Q58" s="1051"/>
      <c r="R58" s="1051"/>
      <c r="S58" s="36"/>
      <c r="T58" s="36"/>
    </row>
    <row r="59" spans="1:20" s="191" customFormat="1" x14ac:dyDescent="0.25">
      <c r="A59" s="185"/>
      <c r="B59" s="193"/>
      <c r="C59" s="188"/>
      <c r="D59" s="12"/>
      <c r="E59" s="12"/>
      <c r="F59" s="188"/>
      <c r="G59" s="794" t="str">
        <f>IF(SUM(G49:G58)=G31,"Ok","Error")</f>
        <v>Ok</v>
      </c>
      <c r="H59" s="794" t="str">
        <f>IF(SUM(H49:H58)=H31,"Ok","Error")</f>
        <v>Ok</v>
      </c>
      <c r="I59" s="794" t="str">
        <f>IF(SUM(I49:I58)=I31,"Ok","Error")</f>
        <v>Error</v>
      </c>
      <c r="L59" s="12"/>
      <c r="O59" s="185"/>
      <c r="P59" s="1051"/>
      <c r="Q59" s="1051"/>
      <c r="R59" s="1051"/>
      <c r="S59" s="36"/>
      <c r="T59" s="36"/>
    </row>
    <row r="60" spans="1:20" s="188" customFormat="1" x14ac:dyDescent="0.25">
      <c r="A60" s="185"/>
      <c r="B60" s="186"/>
      <c r="C60" s="187"/>
      <c r="D60" s="187"/>
      <c r="E60" s="187"/>
      <c r="F60" s="96"/>
      <c r="G60" s="620"/>
      <c r="H60" s="620"/>
      <c r="I60" s="620"/>
      <c r="J60" s="187"/>
      <c r="K60" s="187"/>
      <c r="L60" s="187"/>
      <c r="M60" s="186"/>
      <c r="N60" s="187"/>
      <c r="O60" s="185"/>
      <c r="P60" s="1051"/>
      <c r="Q60" s="1051"/>
      <c r="R60" s="1051"/>
      <c r="S60" s="36"/>
      <c r="T60" s="36"/>
    </row>
    <row r="61" spans="1:20" s="188" customFormat="1" x14ac:dyDescent="0.2">
      <c r="A61" s="185"/>
      <c r="B61" s="100" t="s">
        <v>128</v>
      </c>
      <c r="C61" s="94" t="s">
        <v>707</v>
      </c>
      <c r="D61" s="187"/>
      <c r="E61" s="187"/>
      <c r="F61" s="686"/>
      <c r="G61" s="91" t="s">
        <v>16</v>
      </c>
      <c r="H61" s="91" t="s">
        <v>17</v>
      </c>
      <c r="I61" s="91" t="s">
        <v>18</v>
      </c>
      <c r="J61" s="187"/>
      <c r="K61" s="187"/>
      <c r="L61" s="187"/>
      <c r="M61" s="2609" t="s">
        <v>393</v>
      </c>
      <c r="N61" s="2612" t="s">
        <v>713</v>
      </c>
      <c r="O61" s="185"/>
      <c r="P61" s="1051"/>
      <c r="Q61" s="1051"/>
      <c r="R61" s="1051"/>
      <c r="S61" s="36"/>
      <c r="T61" s="36"/>
    </row>
    <row r="62" spans="1:20" s="188" customFormat="1" x14ac:dyDescent="0.25">
      <c r="A62" s="185"/>
      <c r="B62" s="186"/>
      <c r="C62" s="187"/>
      <c r="D62" s="187"/>
      <c r="E62" s="187"/>
      <c r="F62" s="694" t="s">
        <v>25</v>
      </c>
      <c r="G62" s="1001">
        <f t="shared" ref="G62:I63" si="2">G49</f>
        <v>22657.701835607037</v>
      </c>
      <c r="H62" s="1002">
        <f t="shared" si="2"/>
        <v>260801.87993600895</v>
      </c>
      <c r="I62" s="1003">
        <f t="shared" si="2"/>
        <v>489611.29623824282</v>
      </c>
      <c r="J62" s="187"/>
      <c r="K62" s="187"/>
      <c r="L62" s="187"/>
      <c r="M62" s="2610"/>
      <c r="N62" s="2613"/>
      <c r="O62" s="185"/>
      <c r="P62" s="1051"/>
      <c r="Q62" s="1051"/>
      <c r="R62" s="1051"/>
      <c r="S62" s="36"/>
      <c r="T62" s="36"/>
    </row>
    <row r="63" spans="1:20" s="188" customFormat="1" x14ac:dyDescent="0.25">
      <c r="A63" s="185"/>
      <c r="B63" s="186"/>
      <c r="C63" s="187"/>
      <c r="D63" s="187"/>
      <c r="E63" s="187"/>
      <c r="F63" s="694" t="s">
        <v>28</v>
      </c>
      <c r="G63" s="1004">
        <f t="shared" si="2"/>
        <v>45663.123908874222</v>
      </c>
      <c r="H63" s="688">
        <f t="shared" si="2"/>
        <v>48136.833541068954</v>
      </c>
      <c r="I63" s="1005">
        <f t="shared" si="2"/>
        <v>51451.815074987971</v>
      </c>
      <c r="J63" s="187"/>
      <c r="K63" s="187"/>
      <c r="L63" s="187"/>
      <c r="M63" s="2611"/>
      <c r="N63" s="2614"/>
      <c r="O63" s="185"/>
      <c r="P63" s="1051"/>
      <c r="Q63" s="1051"/>
      <c r="R63" s="1051"/>
      <c r="S63" s="36"/>
      <c r="T63" s="36"/>
    </row>
    <row r="64" spans="1:20" s="188" customFormat="1" x14ac:dyDescent="0.25">
      <c r="A64" s="185"/>
      <c r="B64" s="186"/>
      <c r="C64" s="187"/>
      <c r="D64" s="187"/>
      <c r="E64" s="187"/>
      <c r="F64" s="695" t="s">
        <v>61</v>
      </c>
      <c r="G64" s="1004">
        <f>G51-'Other national data'!K320</f>
        <v>556213.38979349833</v>
      </c>
      <c r="H64" s="688">
        <f>H51-'Other national data'!L320</f>
        <v>152032.0427320328</v>
      </c>
      <c r="I64" s="1005">
        <f>I51-'Other national data'!M320</f>
        <v>146.41850730977637</v>
      </c>
      <c r="J64" s="187"/>
      <c r="K64" s="187"/>
      <c r="L64" s="187"/>
      <c r="M64" s="114" t="s">
        <v>100</v>
      </c>
      <c r="N64" s="94" t="s">
        <v>102</v>
      </c>
      <c r="O64" s="185"/>
      <c r="P64" s="1051"/>
      <c r="Q64" s="1051"/>
      <c r="R64" s="1051"/>
      <c r="S64" s="36"/>
      <c r="T64" s="36"/>
    </row>
    <row r="65" spans="1:20" s="188" customFormat="1" x14ac:dyDescent="0.25">
      <c r="A65" s="185"/>
      <c r="B65" s="186"/>
      <c r="C65" s="187"/>
      <c r="D65" s="187"/>
      <c r="E65" s="187"/>
      <c r="F65" s="695" t="s">
        <v>63</v>
      </c>
      <c r="G65" s="1004">
        <f>G52-'Other national data'!K321</f>
        <v>323699.02693325444</v>
      </c>
      <c r="H65" s="688">
        <f>H52-'Other national data'!L321</f>
        <v>110747.26877886556</v>
      </c>
      <c r="I65" s="1005">
        <f>I52-'Other national data'!M321</f>
        <v>24191.940221692563</v>
      </c>
      <c r="J65" s="187"/>
      <c r="K65" s="187"/>
      <c r="L65" s="187"/>
      <c r="M65" s="186"/>
      <c r="N65" s="187"/>
      <c r="O65" s="185"/>
      <c r="P65" s="1051"/>
      <c r="Q65" s="1051"/>
      <c r="R65" s="1051"/>
      <c r="S65" s="36"/>
      <c r="T65" s="36"/>
    </row>
    <row r="66" spans="1:20" s="188" customFormat="1" x14ac:dyDescent="0.25">
      <c r="A66" s="185"/>
      <c r="B66" s="186"/>
      <c r="C66" s="187"/>
      <c r="D66" s="187"/>
      <c r="E66" s="187"/>
      <c r="F66" s="695" t="s">
        <v>67</v>
      </c>
      <c r="G66" s="1004">
        <f>G53-'Other national data'!K322</f>
        <v>28297.397983943163</v>
      </c>
      <c r="H66" s="688">
        <f>H53-'Other national data'!L322</f>
        <v>279779.05515532556</v>
      </c>
      <c r="I66" s="1005">
        <f>I53-'Other national data'!M322</f>
        <v>183700.11190470553</v>
      </c>
      <c r="J66" s="187"/>
      <c r="K66" s="187"/>
      <c r="L66" s="187"/>
      <c r="M66" s="186"/>
      <c r="N66" s="187"/>
      <c r="O66" s="185"/>
      <c r="P66" s="1051"/>
      <c r="Q66" s="1051"/>
      <c r="R66" s="1051"/>
      <c r="S66" s="36"/>
      <c r="T66" s="36"/>
    </row>
    <row r="67" spans="1:20" s="188" customFormat="1" x14ac:dyDescent="0.25">
      <c r="A67" s="185"/>
      <c r="B67" s="186"/>
      <c r="C67" s="187"/>
      <c r="D67" s="187"/>
      <c r="E67" s="187"/>
      <c r="F67" s="695" t="s">
        <v>65</v>
      </c>
      <c r="G67" s="1004">
        <f>G54-'Other national data'!K323</f>
        <v>142835.55300160055</v>
      </c>
      <c r="H67" s="688">
        <f>H54-'Other national data'!L323</f>
        <v>0</v>
      </c>
      <c r="I67" s="1005">
        <f>I54-'Other national data'!M323</f>
        <v>0</v>
      </c>
      <c r="J67" s="187"/>
      <c r="K67" s="187"/>
      <c r="L67" s="187"/>
      <c r="M67" s="186"/>
      <c r="N67" s="187"/>
      <c r="O67" s="185"/>
      <c r="P67" s="1051"/>
      <c r="Q67" s="1051"/>
      <c r="R67" s="1051"/>
      <c r="S67" s="36"/>
      <c r="T67" s="36"/>
    </row>
    <row r="68" spans="1:20" s="188" customFormat="1" x14ac:dyDescent="0.25">
      <c r="A68" s="185"/>
      <c r="B68" s="186"/>
      <c r="C68" s="187"/>
      <c r="D68" s="187"/>
      <c r="E68" s="187"/>
      <c r="F68" s="694" t="s">
        <v>20</v>
      </c>
      <c r="G68" s="1471">
        <f>G55-'Other national data'!K324</f>
        <v>91736.701097690166</v>
      </c>
      <c r="H68" s="1472">
        <f>H55-'Other national data'!L324</f>
        <v>232954.28083295404</v>
      </c>
      <c r="I68" s="1473">
        <f>I55-'Other national data'!M324</f>
        <v>22723.89258532555</v>
      </c>
      <c r="J68" s="187"/>
      <c r="K68" s="187"/>
      <c r="L68" s="187"/>
      <c r="M68" s="186"/>
      <c r="N68" s="187"/>
      <c r="O68" s="185"/>
      <c r="P68" s="1051"/>
      <c r="Q68" s="1051"/>
      <c r="R68" s="1051"/>
      <c r="S68" s="36"/>
      <c r="T68" s="36"/>
    </row>
    <row r="69" spans="1:20" s="188" customFormat="1" x14ac:dyDescent="0.25">
      <c r="A69" s="185"/>
      <c r="B69" s="186"/>
      <c r="C69" s="187"/>
      <c r="D69" s="187"/>
      <c r="E69" s="187"/>
      <c r="F69" s="696" t="s">
        <v>32</v>
      </c>
      <c r="G69" s="1004">
        <f t="shared" ref="G69:I70" si="3">G56</f>
        <v>216800.12673954395</v>
      </c>
      <c r="H69" s="688">
        <f t="shared" si="3"/>
        <v>252794.91342908441</v>
      </c>
      <c r="I69" s="1005">
        <f t="shared" si="3"/>
        <v>26832.040666874182</v>
      </c>
      <c r="J69" s="187"/>
      <c r="K69" s="187"/>
      <c r="L69" s="187"/>
      <c r="M69" s="186"/>
      <c r="N69" s="187"/>
      <c r="O69" s="185"/>
      <c r="P69" s="1051"/>
      <c r="Q69" s="1051"/>
      <c r="R69" s="1051"/>
      <c r="S69" s="36"/>
      <c r="T69" s="36"/>
    </row>
    <row r="70" spans="1:20" s="188" customFormat="1" x14ac:dyDescent="0.25">
      <c r="A70" s="185"/>
      <c r="B70" s="186"/>
      <c r="C70" s="187"/>
      <c r="D70" s="187"/>
      <c r="E70" s="187"/>
      <c r="F70" s="694" t="s">
        <v>30</v>
      </c>
      <c r="G70" s="1004">
        <f t="shared" si="3"/>
        <v>75911.035786737542</v>
      </c>
      <c r="H70" s="688">
        <f t="shared" si="3"/>
        <v>30586.923914097308</v>
      </c>
      <c r="I70" s="1005">
        <f t="shared" si="3"/>
        <v>0</v>
      </c>
      <c r="J70" s="187"/>
      <c r="K70" s="187"/>
      <c r="L70" s="187"/>
      <c r="M70" s="186"/>
      <c r="N70" s="187"/>
      <c r="O70" s="185"/>
      <c r="P70" s="1051"/>
      <c r="Q70" s="1051"/>
      <c r="R70" s="1051"/>
      <c r="S70" s="36"/>
      <c r="T70" s="36"/>
    </row>
    <row r="71" spans="1:20" s="188" customFormat="1" x14ac:dyDescent="0.25">
      <c r="A71" s="185"/>
      <c r="B71" s="186"/>
      <c r="C71" s="187"/>
      <c r="D71" s="187"/>
      <c r="E71" s="187"/>
      <c r="F71" s="694" t="s">
        <v>27</v>
      </c>
      <c r="G71" s="1474">
        <f>G58-'Other national data'!K325</f>
        <v>377390.10636911786</v>
      </c>
      <c r="H71" s="1475">
        <f>H58-'Other national data'!L325</f>
        <v>537413.92929394194</v>
      </c>
      <c r="I71" s="1476">
        <f>I58-'Other national data'!M325</f>
        <v>274847.51820475754</v>
      </c>
      <c r="J71" s="187"/>
      <c r="K71" s="187"/>
      <c r="L71" s="187"/>
      <c r="M71" s="186"/>
      <c r="N71" s="187"/>
      <c r="O71" s="185"/>
      <c r="P71" s="1051"/>
      <c r="Q71" s="1051"/>
      <c r="R71" s="1051"/>
      <c r="S71" s="36"/>
      <c r="T71" s="36"/>
    </row>
    <row r="72" spans="1:20" s="188" customFormat="1" x14ac:dyDescent="0.25">
      <c r="A72" s="185"/>
      <c r="B72" s="186"/>
      <c r="C72" s="187"/>
      <c r="D72" s="187"/>
      <c r="E72" s="187"/>
      <c r="F72" s="998"/>
      <c r="G72" s="1477" t="str">
        <f>IF(SUM(G62:G71)=G31-SUM('Other national data'!K320:K325),"Ok","Error")</f>
        <v>Ok</v>
      </c>
      <c r="H72" s="1477" t="str">
        <f>IF(SUM(H62:H71)=H31-SUM('Other national data'!L320:L325),"Ok","Error")</f>
        <v>Ok</v>
      </c>
      <c r="I72" s="1477" t="str">
        <f>IF(SUM(I62:I71)=I31-SUM('Other national data'!M320:M325),"Ok","Error")</f>
        <v>Error</v>
      </c>
      <c r="J72" s="187"/>
      <c r="K72" s="187"/>
      <c r="L72" s="187"/>
      <c r="M72" s="186"/>
      <c r="N72" s="187"/>
      <c r="O72" s="185"/>
      <c r="P72" s="36"/>
      <c r="Q72" s="36"/>
      <c r="R72" s="36"/>
      <c r="S72" s="36"/>
      <c r="T72" s="36"/>
    </row>
    <row r="73" spans="1:20" ht="15.75" x14ac:dyDescent="0.25">
      <c r="A73" s="130"/>
      <c r="B73" s="130"/>
      <c r="C73" s="130"/>
      <c r="D73" s="130"/>
      <c r="E73" s="130"/>
      <c r="F73" s="130"/>
      <c r="G73" s="130"/>
      <c r="H73" s="130"/>
      <c r="I73" s="130"/>
      <c r="J73" s="130"/>
      <c r="K73" s="130"/>
      <c r="L73" s="130"/>
      <c r="M73" s="130"/>
      <c r="N73" s="130"/>
      <c r="O73" s="130"/>
    </row>
    <row r="74" spans="1:20" ht="15.75" x14ac:dyDescent="0.25">
      <c r="A74" s="131"/>
      <c r="B74" s="131" t="s">
        <v>461</v>
      </c>
      <c r="C74" s="363" t="s">
        <v>976</v>
      </c>
      <c r="D74" s="131"/>
      <c r="E74" s="131"/>
      <c r="F74" s="131"/>
      <c r="G74" s="131"/>
      <c r="H74" s="131"/>
      <c r="I74" s="131"/>
      <c r="J74" s="131"/>
      <c r="K74" s="131"/>
      <c r="L74" s="131"/>
      <c r="M74" s="132"/>
      <c r="N74" s="131"/>
      <c r="O74" s="131"/>
    </row>
    <row r="75" spans="1:20" s="191" customFormat="1" x14ac:dyDescent="0.25">
      <c r="A75" s="201"/>
      <c r="B75" s="193"/>
      <c r="C75" s="188"/>
      <c r="D75" s="590"/>
      <c r="E75" s="590"/>
      <c r="F75" s="590"/>
      <c r="G75" s="590"/>
      <c r="H75" s="590"/>
      <c r="I75" s="590"/>
      <c r="J75" s="590"/>
      <c r="K75" s="590"/>
      <c r="L75" s="590"/>
      <c r="M75" s="590"/>
      <c r="N75" s="590"/>
      <c r="O75" s="201"/>
      <c r="P75" s="36"/>
      <c r="Q75" s="36"/>
      <c r="R75" s="36"/>
      <c r="S75" s="36"/>
      <c r="T75" s="36"/>
    </row>
    <row r="76" spans="1:20" s="191" customFormat="1" ht="12.75" customHeight="1" x14ac:dyDescent="0.2">
      <c r="A76" s="201"/>
      <c r="B76" s="1458" t="s">
        <v>125</v>
      </c>
      <c r="C76" s="2586" t="s">
        <v>1004</v>
      </c>
      <c r="D76" s="590"/>
      <c r="E76" s="590"/>
      <c r="F76" s="590"/>
      <c r="G76" s="24" t="s">
        <v>16</v>
      </c>
      <c r="H76" s="24" t="s">
        <v>17</v>
      </c>
      <c r="I76" s="24" t="s">
        <v>18</v>
      </c>
      <c r="J76" s="590"/>
      <c r="K76" s="590"/>
      <c r="L76" s="590"/>
      <c r="M76" s="113" t="s">
        <v>104</v>
      </c>
      <c r="N76" s="37" t="s">
        <v>767</v>
      </c>
      <c r="O76" s="201"/>
      <c r="P76" s="36"/>
      <c r="Q76" s="36"/>
      <c r="R76" s="36"/>
      <c r="S76" s="36"/>
      <c r="T76" s="36"/>
    </row>
    <row r="77" spans="1:20" s="191" customFormat="1" x14ac:dyDescent="0.25">
      <c r="A77" s="201"/>
      <c r="B77" s="221"/>
      <c r="C77" s="2588"/>
      <c r="D77" s="590"/>
      <c r="E77" s="590"/>
      <c r="F77" s="638"/>
      <c r="G77" s="2085">
        <f>'Other national data'!$G100*'Other national data'!H100</f>
        <v>58900.000000000007</v>
      </c>
      <c r="H77" s="2086">
        <f>'Other national data'!$G100*'Other national data'!I100</f>
        <v>31700</v>
      </c>
      <c r="I77" s="2087">
        <f>'Other national data'!$G100*'Other national data'!J100</f>
        <v>1100</v>
      </c>
      <c r="J77" s="590"/>
      <c r="K77" s="590"/>
      <c r="L77" s="590"/>
      <c r="M77" s="113" t="s">
        <v>100</v>
      </c>
      <c r="N77" s="37" t="s">
        <v>102</v>
      </c>
      <c r="O77" s="201"/>
      <c r="P77" s="36"/>
      <c r="Q77" s="36"/>
      <c r="R77" s="36"/>
      <c r="S77" s="36"/>
      <c r="T77" s="36"/>
    </row>
    <row r="78" spans="1:20" s="191" customFormat="1" x14ac:dyDescent="0.25">
      <c r="A78" s="201"/>
      <c r="B78" s="1453" t="s">
        <v>341</v>
      </c>
      <c r="C78" s="2596" t="s">
        <v>1002</v>
      </c>
      <c r="D78" s="625"/>
      <c r="E78" s="590"/>
      <c r="F78" s="590"/>
      <c r="G78" s="590"/>
      <c r="H78" s="590"/>
      <c r="I78" s="590"/>
      <c r="J78" s="590"/>
      <c r="K78" s="590"/>
      <c r="L78" s="590"/>
      <c r="M78" s="588" t="s">
        <v>10</v>
      </c>
      <c r="N78" s="366" t="s">
        <v>1001</v>
      </c>
      <c r="O78" s="201"/>
      <c r="P78" s="36"/>
      <c r="Q78" s="36"/>
      <c r="R78" s="36"/>
      <c r="S78" s="36"/>
      <c r="T78" s="36"/>
    </row>
    <row r="79" spans="1:20" s="191" customFormat="1" x14ac:dyDescent="0.25">
      <c r="A79" s="201"/>
      <c r="B79" s="236"/>
      <c r="C79" s="2630"/>
      <c r="D79" s="590"/>
      <c r="E79" s="590"/>
      <c r="F79" s="590"/>
      <c r="G79" s="590"/>
      <c r="H79" s="590"/>
      <c r="I79" s="590"/>
      <c r="J79" s="590"/>
      <c r="K79" s="590"/>
      <c r="L79" s="590"/>
      <c r="M79" s="113" t="s">
        <v>352</v>
      </c>
      <c r="N79" s="1329" t="s">
        <v>356</v>
      </c>
      <c r="O79" s="201"/>
      <c r="P79" s="36"/>
      <c r="Q79" s="36"/>
      <c r="R79" s="36"/>
      <c r="S79" s="36"/>
      <c r="T79" s="36"/>
    </row>
    <row r="80" spans="1:20" s="191" customFormat="1" x14ac:dyDescent="0.25">
      <c r="A80" s="201"/>
      <c r="B80" s="1453" t="s">
        <v>714</v>
      </c>
      <c r="C80" s="2621" t="s">
        <v>710</v>
      </c>
      <c r="D80" s="590"/>
      <c r="E80" s="590"/>
      <c r="F80" s="1116"/>
      <c r="G80" s="1116"/>
      <c r="H80" s="590"/>
      <c r="I80" s="590"/>
      <c r="J80" s="590"/>
      <c r="K80" s="590"/>
      <c r="L80" s="590"/>
      <c r="M80" s="113" t="s">
        <v>99</v>
      </c>
      <c r="N80" s="1595">
        <v>42568</v>
      </c>
      <c r="O80" s="201"/>
      <c r="P80" s="1051"/>
      <c r="Q80" s="1051"/>
      <c r="R80" s="1051"/>
      <c r="S80" s="36"/>
      <c r="T80" s="36"/>
    </row>
    <row r="81" spans="1:20" s="191" customFormat="1" x14ac:dyDescent="0.25">
      <c r="A81" s="201"/>
      <c r="B81" s="221"/>
      <c r="C81" s="2622"/>
      <c r="D81" s="590"/>
      <c r="E81" s="590"/>
      <c r="F81" s="590"/>
      <c r="G81" s="590"/>
      <c r="H81" s="590"/>
      <c r="I81" s="590"/>
      <c r="J81" s="590"/>
      <c r="K81" s="590"/>
      <c r="L81" s="590"/>
      <c r="M81" s="113" t="s">
        <v>658</v>
      </c>
      <c r="N81" s="1328" t="s">
        <v>681</v>
      </c>
      <c r="O81" s="201"/>
      <c r="P81" s="36"/>
      <c r="Q81" s="36"/>
      <c r="R81" s="36"/>
      <c r="S81" s="36"/>
      <c r="T81" s="36"/>
    </row>
    <row r="82" spans="1:20" s="191" customFormat="1" x14ac:dyDescent="0.25">
      <c r="A82" s="201"/>
      <c r="B82" s="193"/>
      <c r="C82" s="188"/>
      <c r="D82" s="590"/>
      <c r="E82" s="590"/>
      <c r="F82" s="590"/>
      <c r="G82" s="590"/>
      <c r="H82" s="590"/>
      <c r="I82" s="590"/>
      <c r="J82" s="590"/>
      <c r="K82" s="590"/>
      <c r="L82" s="590"/>
      <c r="M82" s="590"/>
      <c r="N82" s="590"/>
      <c r="O82" s="201"/>
      <c r="P82" s="36"/>
      <c r="Q82" s="36"/>
      <c r="R82" s="36"/>
      <c r="S82" s="36"/>
      <c r="T82" s="36"/>
    </row>
    <row r="83" spans="1:20" s="188" customFormat="1" x14ac:dyDescent="0.25">
      <c r="A83" s="201"/>
      <c r="B83" s="195"/>
      <c r="C83" s="187"/>
      <c r="D83" s="187"/>
      <c r="E83" s="187"/>
      <c r="F83" s="187"/>
      <c r="G83" s="187"/>
      <c r="H83" s="187"/>
      <c r="I83" s="187"/>
      <c r="J83" s="187"/>
      <c r="K83" s="187"/>
      <c r="L83" s="187"/>
      <c r="M83" s="187"/>
      <c r="N83" s="187"/>
      <c r="O83" s="201"/>
      <c r="P83" s="36"/>
      <c r="Q83" s="36"/>
      <c r="R83" s="36"/>
      <c r="S83" s="36"/>
      <c r="T83" s="36"/>
    </row>
    <row r="84" spans="1:20" s="188" customFormat="1" x14ac:dyDescent="0.2">
      <c r="A84" s="201"/>
      <c r="B84" s="100" t="s">
        <v>126</v>
      </c>
      <c r="C84" s="94" t="s">
        <v>741</v>
      </c>
      <c r="D84" s="88"/>
      <c r="E84" s="88"/>
      <c r="F84" s="686"/>
      <c r="G84" s="91" t="s">
        <v>16</v>
      </c>
      <c r="H84" s="91" t="s">
        <v>17</v>
      </c>
      <c r="I84" s="91" t="s">
        <v>18</v>
      </c>
      <c r="J84" s="187"/>
      <c r="K84" s="88"/>
      <c r="L84" s="88"/>
      <c r="M84" s="114" t="s">
        <v>648</v>
      </c>
      <c r="N84" s="2612" t="s">
        <v>763</v>
      </c>
      <c r="O84" s="201"/>
      <c r="P84" s="36"/>
      <c r="Q84" s="36"/>
      <c r="R84" s="36"/>
      <c r="S84" s="36"/>
      <c r="T84" s="36"/>
    </row>
    <row r="85" spans="1:20" s="188" customFormat="1" ht="12.75" customHeight="1" x14ac:dyDescent="0.25">
      <c r="A85" s="201"/>
      <c r="B85" s="1492" t="s">
        <v>720</v>
      </c>
      <c r="C85" s="2628" t="s">
        <v>918</v>
      </c>
      <c r="D85" s="187"/>
      <c r="E85" s="187"/>
      <c r="F85" s="111" t="s">
        <v>42</v>
      </c>
      <c r="G85" s="2663" t="s">
        <v>1412</v>
      </c>
      <c r="H85" s="2664"/>
      <c r="I85" s="2665"/>
      <c r="J85" s="187"/>
      <c r="K85" s="187"/>
      <c r="L85" s="187"/>
      <c r="M85" s="379"/>
      <c r="N85" s="2613"/>
      <c r="O85" s="201"/>
      <c r="P85" s="1051"/>
      <c r="Q85" s="1051"/>
      <c r="R85" s="1051"/>
      <c r="S85" s="36"/>
      <c r="T85" s="36"/>
    </row>
    <row r="86" spans="1:20" s="188" customFormat="1" x14ac:dyDescent="0.25">
      <c r="A86" s="201"/>
      <c r="B86" s="653"/>
      <c r="C86" s="2676"/>
      <c r="D86" s="187"/>
      <c r="E86" s="187"/>
      <c r="F86" s="111" t="s">
        <v>44</v>
      </c>
      <c r="G86" s="2666"/>
      <c r="H86" s="2667"/>
      <c r="I86" s="2668"/>
      <c r="J86" s="187"/>
      <c r="K86" s="187"/>
      <c r="L86" s="187"/>
      <c r="M86" s="114" t="s">
        <v>100</v>
      </c>
      <c r="N86" s="94" t="s">
        <v>102</v>
      </c>
      <c r="O86" s="201"/>
      <c r="P86" s="1051"/>
      <c r="Q86" s="1051"/>
      <c r="R86" s="1051"/>
      <c r="S86" s="36"/>
      <c r="T86" s="36"/>
    </row>
    <row r="87" spans="1:20" s="471" customFormat="1" x14ac:dyDescent="0.25">
      <c r="A87" s="201"/>
      <c r="B87" s="655"/>
      <c r="C87" s="2676"/>
      <c r="D87" s="475"/>
      <c r="E87" s="475"/>
      <c r="F87" s="111" t="s">
        <v>46</v>
      </c>
      <c r="G87" s="2666"/>
      <c r="H87" s="2667"/>
      <c r="I87" s="2668"/>
      <c r="J87" s="187"/>
      <c r="K87" s="475"/>
      <c r="L87" s="475"/>
      <c r="M87" s="1522" t="s">
        <v>446</v>
      </c>
      <c r="N87" s="1556" t="s">
        <v>978</v>
      </c>
      <c r="O87" s="201"/>
      <c r="P87" s="1051"/>
      <c r="Q87" s="1051"/>
      <c r="R87" s="1051"/>
      <c r="S87" s="36"/>
      <c r="T87" s="36"/>
    </row>
    <row r="88" spans="1:20" s="471" customFormat="1" x14ac:dyDescent="0.25">
      <c r="A88" s="201"/>
      <c r="B88" s="475"/>
      <c r="C88" s="2629"/>
      <c r="D88" s="475"/>
      <c r="E88" s="475"/>
      <c r="F88" s="111" t="s">
        <v>47</v>
      </c>
      <c r="G88" s="2666"/>
      <c r="H88" s="2667"/>
      <c r="I88" s="2668"/>
      <c r="J88" s="187"/>
      <c r="K88" s="475"/>
      <c r="L88" s="475"/>
      <c r="M88" s="375"/>
      <c r="N88" s="1557" t="s">
        <v>654</v>
      </c>
      <c r="O88" s="201"/>
      <c r="P88" s="1051"/>
      <c r="Q88" s="1051"/>
      <c r="R88" s="1051"/>
      <c r="S88" s="36"/>
      <c r="T88" s="36"/>
    </row>
    <row r="89" spans="1:20" s="471" customFormat="1" x14ac:dyDescent="0.25">
      <c r="A89" s="201"/>
      <c r="B89" s="655"/>
      <c r="C89" s="2628" t="s">
        <v>719</v>
      </c>
      <c r="D89" s="475"/>
      <c r="E89" s="475"/>
      <c r="F89" s="111" t="s">
        <v>49</v>
      </c>
      <c r="G89" s="2666"/>
      <c r="H89" s="2667"/>
      <c r="I89" s="2668"/>
      <c r="J89" s="187"/>
      <c r="K89" s="475"/>
      <c r="L89" s="475"/>
      <c r="M89" s="114" t="s">
        <v>352</v>
      </c>
      <c r="N89" s="1330"/>
      <c r="O89" s="201"/>
      <c r="P89" s="1051"/>
      <c r="Q89" s="1051"/>
      <c r="R89" s="1051"/>
      <c r="S89" s="36"/>
      <c r="T89" s="36"/>
    </row>
    <row r="90" spans="1:20" s="471" customFormat="1" x14ac:dyDescent="0.25">
      <c r="A90" s="201"/>
      <c r="B90" s="655"/>
      <c r="C90" s="2629"/>
      <c r="D90" s="475"/>
      <c r="E90" s="475"/>
      <c r="F90" s="998" t="s">
        <v>25</v>
      </c>
      <c r="G90" s="2666"/>
      <c r="H90" s="2667"/>
      <c r="I90" s="2668"/>
      <c r="J90" s="187"/>
      <c r="K90" s="475"/>
      <c r="L90" s="475"/>
      <c r="M90" s="114" t="s">
        <v>99</v>
      </c>
      <c r="N90" s="1330"/>
      <c r="O90" s="201"/>
      <c r="P90" s="1051"/>
      <c r="Q90" s="1051"/>
      <c r="R90" s="1051"/>
      <c r="S90" s="36"/>
      <c r="T90" s="36"/>
    </row>
    <row r="91" spans="1:20" s="471" customFormat="1" x14ac:dyDescent="0.25">
      <c r="A91" s="201"/>
      <c r="B91" s="655"/>
      <c r="C91" s="640" t="s">
        <v>968</v>
      </c>
      <c r="D91" s="475"/>
      <c r="E91" s="475"/>
      <c r="F91" s="999" t="s">
        <v>56</v>
      </c>
      <c r="G91" s="2666"/>
      <c r="H91" s="2667"/>
      <c r="I91" s="2668"/>
      <c r="J91" s="187"/>
      <c r="K91" s="475"/>
      <c r="L91" s="475"/>
      <c r="M91" s="114" t="s">
        <v>658</v>
      </c>
      <c r="N91" s="1331"/>
      <c r="O91" s="201"/>
      <c r="P91" s="1051"/>
      <c r="Q91" s="1051"/>
      <c r="R91" s="1051"/>
      <c r="S91" s="36"/>
      <c r="T91" s="36"/>
    </row>
    <row r="92" spans="1:20" s="471" customFormat="1" x14ac:dyDescent="0.25">
      <c r="A92" s="201"/>
      <c r="B92" s="587"/>
      <c r="C92" s="2623" t="s">
        <v>916</v>
      </c>
      <c r="D92" s="475"/>
      <c r="E92" s="475"/>
      <c r="F92" s="111" t="s">
        <v>52</v>
      </c>
      <c r="G92" s="2666"/>
      <c r="H92" s="2667"/>
      <c r="I92" s="2668"/>
      <c r="J92" s="187"/>
      <c r="K92" s="475"/>
      <c r="L92" s="475"/>
      <c r="M92" s="98"/>
      <c r="N92" s="689"/>
      <c r="O92" s="201"/>
      <c r="P92" s="1051"/>
      <c r="Q92" s="1051"/>
      <c r="R92" s="1051"/>
      <c r="S92" s="36"/>
      <c r="T92" s="36"/>
    </row>
    <row r="93" spans="1:20" s="471" customFormat="1" x14ac:dyDescent="0.25">
      <c r="A93" s="201"/>
      <c r="B93" s="653"/>
      <c r="C93" s="2624"/>
      <c r="D93" s="475"/>
      <c r="E93" s="475"/>
      <c r="F93" s="111" t="s">
        <v>54</v>
      </c>
      <c r="G93" s="2666"/>
      <c r="H93" s="2667"/>
      <c r="I93" s="2668"/>
      <c r="J93" s="187"/>
      <c r="K93" s="475"/>
      <c r="L93" s="475"/>
      <c r="M93" s="195"/>
      <c r="N93" s="689"/>
      <c r="O93" s="201"/>
      <c r="P93" s="1051"/>
      <c r="Q93" s="1051"/>
      <c r="R93" s="1051"/>
      <c r="S93" s="36"/>
      <c r="T93" s="36"/>
    </row>
    <row r="94" spans="1:20" s="471" customFormat="1" x14ac:dyDescent="0.25">
      <c r="A94" s="201"/>
      <c r="B94" s="653"/>
      <c r="C94" s="2625"/>
      <c r="D94" s="475"/>
      <c r="E94" s="475"/>
      <c r="F94" s="1000" t="s">
        <v>28</v>
      </c>
      <c r="G94" s="2666"/>
      <c r="H94" s="2667"/>
      <c r="I94" s="2668"/>
      <c r="J94" s="187"/>
      <c r="K94" s="475"/>
      <c r="L94" s="475"/>
      <c r="M94" s="475"/>
      <c r="N94" s="475"/>
      <c r="O94" s="201"/>
      <c r="P94" s="1051"/>
      <c r="Q94" s="1051"/>
      <c r="R94" s="1051"/>
      <c r="S94" s="36"/>
      <c r="T94" s="36"/>
    </row>
    <row r="95" spans="1:20" s="471" customFormat="1" x14ac:dyDescent="0.25">
      <c r="A95" s="201"/>
      <c r="B95" s="655"/>
      <c r="C95" s="2628" t="s">
        <v>920</v>
      </c>
      <c r="D95" s="475"/>
      <c r="E95" s="475"/>
      <c r="F95" s="999" t="s">
        <v>61</v>
      </c>
      <c r="G95" s="2666"/>
      <c r="H95" s="2667"/>
      <c r="I95" s="2668"/>
      <c r="J95" s="187"/>
      <c r="K95" s="475"/>
      <c r="L95" s="475"/>
      <c r="M95" s="475"/>
      <c r="N95" s="475"/>
      <c r="O95" s="201"/>
      <c r="P95" s="1051"/>
      <c r="Q95" s="1051"/>
      <c r="R95" s="1051"/>
      <c r="S95" s="36"/>
      <c r="T95" s="36"/>
    </row>
    <row r="96" spans="1:20" s="471" customFormat="1" x14ac:dyDescent="0.25">
      <c r="A96" s="201"/>
      <c r="B96" s="477"/>
      <c r="C96" s="2629"/>
      <c r="D96" s="475"/>
      <c r="E96" s="475"/>
      <c r="F96" s="111" t="s">
        <v>63</v>
      </c>
      <c r="G96" s="2666"/>
      <c r="H96" s="2667"/>
      <c r="I96" s="2668"/>
      <c r="J96" s="187"/>
      <c r="K96" s="475"/>
      <c r="L96" s="475"/>
      <c r="M96" s="475"/>
      <c r="N96" s="475"/>
      <c r="O96" s="201"/>
      <c r="P96" s="1051"/>
      <c r="Q96" s="1051"/>
      <c r="R96" s="1051"/>
      <c r="S96" s="36"/>
      <c r="T96" s="36"/>
    </row>
    <row r="97" spans="1:20" s="471" customFormat="1" x14ac:dyDescent="0.25">
      <c r="A97" s="201"/>
      <c r="B97" s="475"/>
      <c r="C97" s="475"/>
      <c r="D97" s="475"/>
      <c r="E97" s="475"/>
      <c r="F97" s="111" t="s">
        <v>67</v>
      </c>
      <c r="G97" s="2666"/>
      <c r="H97" s="2667"/>
      <c r="I97" s="2668"/>
      <c r="J97" s="187"/>
      <c r="K97" s="475"/>
      <c r="L97" s="475"/>
      <c r="M97" s="475"/>
      <c r="N97" s="475"/>
      <c r="O97" s="201"/>
      <c r="P97" s="1051"/>
      <c r="Q97" s="1051"/>
      <c r="R97" s="1051"/>
      <c r="S97" s="36"/>
      <c r="T97" s="36"/>
    </row>
    <row r="98" spans="1:20" s="471" customFormat="1" x14ac:dyDescent="0.25">
      <c r="A98" s="201"/>
      <c r="B98" s="475"/>
      <c r="C98" s="475"/>
      <c r="D98" s="475"/>
      <c r="E98" s="475"/>
      <c r="F98" s="111" t="s">
        <v>65</v>
      </c>
      <c r="G98" s="2666"/>
      <c r="H98" s="2667"/>
      <c r="I98" s="2668"/>
      <c r="J98" s="187"/>
      <c r="K98" s="475"/>
      <c r="L98" s="475"/>
      <c r="M98" s="475"/>
      <c r="N98" s="475"/>
      <c r="O98" s="201"/>
      <c r="P98" s="1051"/>
      <c r="Q98" s="1051"/>
      <c r="R98" s="1051"/>
      <c r="S98" s="36"/>
      <c r="T98" s="36"/>
    </row>
    <row r="99" spans="1:20" s="471" customFormat="1" x14ac:dyDescent="0.25">
      <c r="A99" s="201"/>
      <c r="B99" s="475"/>
      <c r="C99" s="475"/>
      <c r="D99" s="475"/>
      <c r="E99" s="475"/>
      <c r="F99" s="1000" t="s">
        <v>22</v>
      </c>
      <c r="G99" s="2666"/>
      <c r="H99" s="2667"/>
      <c r="I99" s="2668"/>
      <c r="J99" s="187"/>
      <c r="K99" s="475"/>
      <c r="L99" s="475"/>
      <c r="M99" s="475"/>
      <c r="N99" s="475"/>
      <c r="O99" s="201"/>
      <c r="P99" s="1051"/>
      <c r="Q99" s="1051"/>
      <c r="R99" s="1051"/>
      <c r="S99" s="36"/>
      <c r="T99" s="36"/>
    </row>
    <row r="100" spans="1:20" s="471" customFormat="1" x14ac:dyDescent="0.25">
      <c r="A100" s="201"/>
      <c r="B100" s="475"/>
      <c r="C100" s="475"/>
      <c r="D100" s="475"/>
      <c r="E100" s="475"/>
      <c r="F100" s="111" t="s">
        <v>74</v>
      </c>
      <c r="G100" s="2666"/>
      <c r="H100" s="2667"/>
      <c r="I100" s="2668"/>
      <c r="J100" s="187"/>
      <c r="K100" s="475"/>
      <c r="L100" s="475"/>
      <c r="M100" s="98"/>
      <c r="N100" s="88"/>
      <c r="O100" s="201"/>
      <c r="P100" s="1051"/>
      <c r="Q100" s="1051"/>
      <c r="R100" s="1051"/>
      <c r="S100" s="36"/>
      <c r="T100" s="36"/>
    </row>
    <row r="101" spans="1:20" s="471" customFormat="1" x14ac:dyDescent="0.25">
      <c r="A101" s="201"/>
      <c r="B101" s="475"/>
      <c r="C101" s="475"/>
      <c r="D101" s="475"/>
      <c r="E101" s="475"/>
      <c r="F101" s="111" t="s">
        <v>89</v>
      </c>
      <c r="G101" s="2666"/>
      <c r="H101" s="2667"/>
      <c r="I101" s="2668"/>
      <c r="J101" s="187"/>
      <c r="K101" s="475"/>
      <c r="L101" s="475"/>
      <c r="M101" s="98"/>
      <c r="N101" s="88"/>
      <c r="O101" s="201"/>
      <c r="P101" s="1051"/>
      <c r="Q101" s="1051"/>
      <c r="R101" s="1051"/>
      <c r="S101" s="36"/>
      <c r="T101" s="36"/>
    </row>
    <row r="102" spans="1:20" s="471" customFormat="1" x14ac:dyDescent="0.25">
      <c r="A102" s="201"/>
      <c r="B102" s="475"/>
      <c r="C102" s="475"/>
      <c r="D102" s="475"/>
      <c r="E102" s="475"/>
      <c r="F102" s="111" t="s">
        <v>76</v>
      </c>
      <c r="G102" s="2666"/>
      <c r="H102" s="2667"/>
      <c r="I102" s="2668"/>
      <c r="J102" s="187"/>
      <c r="K102" s="475"/>
      <c r="L102" s="475"/>
      <c r="M102" s="98"/>
      <c r="N102" s="88"/>
      <c r="O102" s="201"/>
      <c r="P102" s="1051"/>
      <c r="Q102" s="1051"/>
      <c r="R102" s="1051"/>
      <c r="S102" s="36"/>
      <c r="T102" s="36"/>
    </row>
    <row r="103" spans="1:20" s="471" customFormat="1" x14ac:dyDescent="0.25">
      <c r="A103" s="201"/>
      <c r="B103" s="475"/>
      <c r="C103" s="475"/>
      <c r="D103" s="475"/>
      <c r="E103" s="475"/>
      <c r="F103" s="111" t="s">
        <v>79</v>
      </c>
      <c r="G103" s="2666"/>
      <c r="H103" s="2667"/>
      <c r="I103" s="2668"/>
      <c r="J103" s="187"/>
      <c r="K103" s="475"/>
      <c r="L103" s="475"/>
      <c r="M103" s="98"/>
      <c r="N103" s="88"/>
      <c r="O103" s="201"/>
      <c r="P103" s="1051"/>
      <c r="Q103" s="1051"/>
      <c r="R103" s="1051"/>
      <c r="S103" s="36"/>
      <c r="T103" s="36"/>
    </row>
    <row r="104" spans="1:20" s="471" customFormat="1" x14ac:dyDescent="0.25">
      <c r="A104" s="201"/>
      <c r="B104" s="475"/>
      <c r="C104" s="475"/>
      <c r="D104" s="475"/>
      <c r="E104" s="475"/>
      <c r="F104" s="998" t="s">
        <v>20</v>
      </c>
      <c r="G104" s="2666"/>
      <c r="H104" s="2667"/>
      <c r="I104" s="2668"/>
      <c r="J104" s="187"/>
      <c r="K104" s="475"/>
      <c r="L104" s="475"/>
      <c r="M104" s="98"/>
      <c r="N104" s="88"/>
      <c r="O104" s="201"/>
      <c r="P104" s="1051"/>
      <c r="Q104" s="1051"/>
      <c r="R104" s="1051"/>
      <c r="S104" s="36"/>
      <c r="T104" s="36"/>
    </row>
    <row r="105" spans="1:20" s="471" customFormat="1" x14ac:dyDescent="0.25">
      <c r="A105" s="201"/>
      <c r="B105" s="475"/>
      <c r="C105" s="475"/>
      <c r="D105" s="475"/>
      <c r="E105" s="475"/>
      <c r="F105" s="1479" t="s">
        <v>30</v>
      </c>
      <c r="G105" s="2666"/>
      <c r="H105" s="2667"/>
      <c r="I105" s="2668"/>
      <c r="J105" s="187"/>
      <c r="K105" s="475"/>
      <c r="L105" s="475"/>
      <c r="M105" s="98"/>
      <c r="N105" s="88"/>
      <c r="O105" s="201"/>
      <c r="P105" s="1051"/>
      <c r="Q105" s="1051"/>
      <c r="R105" s="1051"/>
      <c r="S105" s="36"/>
      <c r="T105" s="36"/>
    </row>
    <row r="106" spans="1:20" s="471" customFormat="1" x14ac:dyDescent="0.25">
      <c r="A106" s="201"/>
      <c r="B106" s="475"/>
      <c r="C106" s="475"/>
      <c r="D106" s="475"/>
      <c r="E106" s="475"/>
      <c r="F106" s="999" t="s">
        <v>83</v>
      </c>
      <c r="G106" s="2666"/>
      <c r="H106" s="2667"/>
      <c r="I106" s="2668"/>
      <c r="J106" s="187"/>
      <c r="K106" s="475"/>
      <c r="L106" s="475"/>
      <c r="M106" s="98"/>
      <c r="N106" s="88"/>
      <c r="O106" s="201"/>
      <c r="P106" s="1051"/>
      <c r="Q106" s="1051"/>
      <c r="R106" s="1051"/>
      <c r="S106" s="36"/>
      <c r="T106" s="36"/>
    </row>
    <row r="107" spans="1:20" s="471" customFormat="1" x14ac:dyDescent="0.25">
      <c r="A107" s="201"/>
      <c r="B107" s="475"/>
      <c r="C107" s="475"/>
      <c r="D107" s="475"/>
      <c r="E107" s="475"/>
      <c r="F107" s="1000" t="s">
        <v>27</v>
      </c>
      <c r="G107" s="2669"/>
      <c r="H107" s="2670"/>
      <c r="I107" s="2671"/>
      <c r="J107" s="187"/>
      <c r="K107" s="475"/>
      <c r="L107" s="475"/>
      <c r="M107" s="98"/>
      <c r="N107" s="88"/>
      <c r="O107" s="201"/>
      <c r="P107" s="1051"/>
      <c r="Q107" s="1051"/>
      <c r="R107" s="1051"/>
      <c r="S107" s="302"/>
      <c r="T107" s="302"/>
    </row>
    <row r="108" spans="1:20" s="471" customFormat="1" x14ac:dyDescent="0.25">
      <c r="A108" s="201"/>
      <c r="B108" s="475"/>
      <c r="C108" s="475"/>
      <c r="D108" s="475"/>
      <c r="E108" s="475"/>
      <c r="F108" s="187"/>
      <c r="G108" s="187"/>
      <c r="H108" s="187"/>
      <c r="I108" s="475"/>
      <c r="J108" s="475"/>
      <c r="K108" s="475"/>
      <c r="L108" s="475"/>
      <c r="M108" s="98"/>
      <c r="N108" s="88"/>
      <c r="O108" s="201"/>
      <c r="P108" s="36"/>
      <c r="Q108" s="36"/>
      <c r="R108" s="36"/>
      <c r="S108" s="36"/>
      <c r="T108" s="36"/>
    </row>
    <row r="109" spans="1:20" ht="15.75" x14ac:dyDescent="0.25">
      <c r="A109" s="131"/>
      <c r="B109" s="131"/>
      <c r="C109" s="131"/>
      <c r="D109" s="131"/>
      <c r="E109" s="131"/>
      <c r="F109" s="131"/>
      <c r="G109" s="131"/>
      <c r="H109" s="131"/>
      <c r="I109" s="131"/>
      <c r="J109" s="131"/>
      <c r="K109" s="131"/>
      <c r="L109" s="131"/>
      <c r="M109" s="131"/>
      <c r="N109" s="131"/>
      <c r="O109" s="131"/>
    </row>
    <row r="110" spans="1:20" ht="15.75" x14ac:dyDescent="0.25">
      <c r="A110" s="133"/>
      <c r="B110" s="134" t="s">
        <v>462</v>
      </c>
      <c r="C110" s="364" t="s">
        <v>656</v>
      </c>
      <c r="D110" s="133"/>
      <c r="E110" s="133"/>
      <c r="F110" s="133"/>
      <c r="G110" s="133"/>
      <c r="H110" s="133"/>
      <c r="I110" s="133"/>
      <c r="J110" s="133"/>
      <c r="K110" s="133"/>
      <c r="L110" s="133"/>
      <c r="M110" s="135"/>
      <c r="N110" s="133"/>
      <c r="O110" s="133"/>
    </row>
    <row r="111" spans="1:20" s="188" customFormat="1" x14ac:dyDescent="0.25">
      <c r="A111" s="204"/>
      <c r="B111" s="192"/>
      <c r="C111" s="11"/>
      <c r="D111" s="11"/>
      <c r="E111" s="11"/>
      <c r="F111" s="11"/>
      <c r="G111" s="11"/>
      <c r="H111" s="11"/>
      <c r="I111" s="11"/>
      <c r="J111" s="11"/>
      <c r="K111" s="11"/>
      <c r="L111" s="11"/>
      <c r="M111" s="11"/>
      <c r="N111" s="11"/>
      <c r="O111" s="205"/>
      <c r="P111" s="36"/>
      <c r="Q111" s="36"/>
      <c r="R111" s="36"/>
      <c r="S111" s="36"/>
      <c r="T111" s="36"/>
    </row>
    <row r="112" spans="1:20" s="188" customFormat="1" x14ac:dyDescent="0.2">
      <c r="A112" s="204"/>
      <c r="B112" s="97" t="s">
        <v>125</v>
      </c>
      <c r="C112" s="37" t="s">
        <v>881</v>
      </c>
      <c r="D112" s="11"/>
      <c r="E112" s="11"/>
      <c r="F112" s="691"/>
      <c r="H112" s="11"/>
      <c r="I112" s="24" t="s">
        <v>17</v>
      </c>
      <c r="J112" s="11"/>
      <c r="K112" s="11"/>
      <c r="L112" s="11"/>
      <c r="M112" s="365" t="s">
        <v>393</v>
      </c>
      <c r="N112" s="2586" t="s">
        <v>718</v>
      </c>
      <c r="O112" s="205"/>
      <c r="P112" s="36"/>
      <c r="Q112" s="36"/>
      <c r="R112" s="36"/>
      <c r="S112" s="36"/>
      <c r="T112" s="36"/>
    </row>
    <row r="113" spans="1:20" s="188" customFormat="1" ht="12.75" customHeight="1" x14ac:dyDescent="0.25">
      <c r="A113" s="204"/>
      <c r="B113" s="1568" t="s">
        <v>714</v>
      </c>
      <c r="C113" s="2621" t="s">
        <v>999</v>
      </c>
      <c r="D113" s="11"/>
      <c r="E113" s="11"/>
      <c r="F113" s="11"/>
      <c r="G113" s="244" t="s">
        <v>61</v>
      </c>
      <c r="H113" s="11"/>
      <c r="I113" s="1354">
        <f>'Other national data'!N364</f>
        <v>30243.540983606563</v>
      </c>
      <c r="J113" s="11"/>
      <c r="K113" s="11"/>
      <c r="L113" s="11"/>
      <c r="M113" s="221"/>
      <c r="N113" s="2588"/>
      <c r="O113" s="205"/>
      <c r="P113" s="1051"/>
      <c r="Q113" s="1051"/>
      <c r="R113" s="36"/>
      <c r="S113" s="36"/>
      <c r="T113" s="36"/>
    </row>
    <row r="114" spans="1:20" s="188" customFormat="1" x14ac:dyDescent="0.25">
      <c r="A114" s="204"/>
      <c r="B114" s="1575"/>
      <c r="C114" s="2662"/>
      <c r="D114" s="11"/>
      <c r="E114" s="11"/>
      <c r="F114" s="11"/>
      <c r="G114" s="244"/>
      <c r="H114" s="11"/>
      <c r="I114" s="690"/>
      <c r="J114" s="11"/>
      <c r="K114" s="11"/>
      <c r="L114" s="11"/>
      <c r="M114" s="113" t="s">
        <v>100</v>
      </c>
      <c r="N114" s="37" t="s">
        <v>102</v>
      </c>
      <c r="O114" s="205"/>
      <c r="P114" s="36"/>
      <c r="Q114" s="36"/>
      <c r="R114" s="36"/>
      <c r="S114" s="36"/>
      <c r="T114" s="36"/>
    </row>
    <row r="115" spans="1:20" s="188" customFormat="1" x14ac:dyDescent="0.25">
      <c r="A115" s="204"/>
      <c r="B115" s="1575"/>
      <c r="C115" s="2621" t="s">
        <v>1000</v>
      </c>
      <c r="D115" s="11"/>
      <c r="E115" s="11"/>
      <c r="F115" s="11"/>
      <c r="G115" s="244"/>
      <c r="H115" s="11"/>
      <c r="I115" s="690"/>
      <c r="J115" s="11"/>
      <c r="K115" s="11"/>
      <c r="L115" s="11"/>
      <c r="M115" s="99"/>
      <c r="N115" s="11"/>
      <c r="O115" s="205"/>
      <c r="P115" s="36"/>
      <c r="Q115" s="36"/>
      <c r="R115" s="36"/>
      <c r="S115" s="36"/>
      <c r="T115" s="36"/>
    </row>
    <row r="116" spans="1:20" s="188" customFormat="1" x14ac:dyDescent="0.25">
      <c r="A116" s="204"/>
      <c r="B116" s="1574"/>
      <c r="C116" s="2622"/>
      <c r="D116" s="11"/>
      <c r="E116" s="11"/>
      <c r="F116" s="11"/>
      <c r="G116" s="244"/>
      <c r="H116" s="11"/>
      <c r="I116" s="690"/>
      <c r="J116" s="11"/>
      <c r="K116" s="11"/>
      <c r="L116" s="11"/>
      <c r="M116" s="99"/>
      <c r="N116" s="11"/>
      <c r="O116" s="205"/>
      <c r="P116" s="36"/>
      <c r="Q116" s="36"/>
      <c r="R116" s="36"/>
      <c r="S116" s="36"/>
      <c r="T116" s="36"/>
    </row>
    <row r="117" spans="1:20" s="188" customFormat="1" x14ac:dyDescent="0.25">
      <c r="A117" s="204"/>
      <c r="B117" s="1593"/>
      <c r="C117" s="1594"/>
      <c r="D117" s="197"/>
      <c r="E117" s="197"/>
      <c r="F117" s="11"/>
      <c r="G117" s="11"/>
      <c r="H117" s="11"/>
      <c r="I117" s="11"/>
      <c r="J117" s="11"/>
      <c r="K117" s="11"/>
      <c r="L117" s="11"/>
      <c r="M117" s="11"/>
      <c r="N117" s="11"/>
      <c r="O117" s="205"/>
      <c r="P117" s="36"/>
      <c r="Q117" s="36"/>
      <c r="R117" s="36"/>
      <c r="S117" s="36"/>
      <c r="T117" s="36"/>
    </row>
    <row r="118" spans="1:20" s="15" customFormat="1" ht="15.75" x14ac:dyDescent="0.25">
      <c r="A118" s="133"/>
      <c r="B118" s="133"/>
      <c r="C118" s="133"/>
      <c r="D118" s="133"/>
      <c r="E118" s="133"/>
      <c r="F118" s="133"/>
      <c r="G118" s="133"/>
      <c r="H118" s="133"/>
      <c r="I118" s="133"/>
      <c r="J118" s="133"/>
      <c r="K118" s="133"/>
      <c r="L118" s="133"/>
      <c r="M118" s="133"/>
      <c r="N118" s="133"/>
      <c r="O118" s="133"/>
      <c r="P118" s="36"/>
      <c r="Q118" s="36"/>
      <c r="R118" s="36"/>
      <c r="S118" s="36"/>
      <c r="T118" s="36"/>
    </row>
    <row r="119" spans="1:20" ht="15.75" x14ac:dyDescent="0.25">
      <c r="B119" s="143" t="s">
        <v>657</v>
      </c>
      <c r="M119" s="19"/>
    </row>
    <row r="120" spans="1:20" x14ac:dyDescent="0.25">
      <c r="B120" s="141" t="s">
        <v>361</v>
      </c>
      <c r="E120" s="16"/>
      <c r="F120" s="122"/>
      <c r="G120" s="434" t="s">
        <v>113</v>
      </c>
      <c r="H120" s="435" t="s">
        <v>114</v>
      </c>
      <c r="I120" s="436" t="s">
        <v>38</v>
      </c>
      <c r="J120" s="6" t="s">
        <v>88</v>
      </c>
      <c r="L120" s="6" t="s">
        <v>368</v>
      </c>
    </row>
    <row r="121" spans="1:20" x14ac:dyDescent="0.2">
      <c r="B121" s="7"/>
      <c r="C121" s="7"/>
      <c r="D121" s="7"/>
      <c r="E121" s="7"/>
      <c r="F121" s="138" t="s">
        <v>143</v>
      </c>
      <c r="G121" s="2383">
        <f>$J121*IF(ISNUMBER('Other national data'!H423),'Other national data'!H423,'Other national data'!L423)</f>
        <v>1.3378285689035332</v>
      </c>
      <c r="H121" s="2384">
        <f>J121-G121</f>
        <v>0.21780945204109203</v>
      </c>
      <c r="I121" s="2385">
        <f>$J121*'Other national data'!N423</f>
        <v>1.5556380209446253E-14</v>
      </c>
      <c r="J121" s="1495">
        <f>SUMIFS('Basel data'!E:E,'Basel data'!A:A,L121,'Basel data'!G:G,$B$1)+SUMIFS('Basel data'!F:F,'Basel data'!A:A,L121,'Basel data'!G:G,$B$1)+SUMIFS('Basel data'!E:E,'Basel data'!C:C,L121,'Basel data'!G:G,$B$1)+SUMIFS('Basel data'!F:F,'Basel data'!C:C,L121,'Basel data'!G:G,$B$1)</f>
        <v>1.5556380209446252</v>
      </c>
      <c r="L121" s="121" t="s">
        <v>142</v>
      </c>
      <c r="O121" s="36" t="str">
        <f>IF(ROUND(SUM(G121:I121),0)=ROUND(J121,0),"OK","Error")</f>
        <v>OK</v>
      </c>
    </row>
    <row r="122" spans="1:20" x14ac:dyDescent="0.2">
      <c r="B122" s="7"/>
      <c r="C122" s="7"/>
      <c r="D122" s="7"/>
      <c r="E122" s="7"/>
      <c r="F122" s="138" t="s">
        <v>152</v>
      </c>
      <c r="G122" s="2386">
        <f>$J122*IF(ISNUMBER('Other national data'!H424),'Other national data'!H424,'Other national data'!L424)</f>
        <v>3617.2960408401004</v>
      </c>
      <c r="H122" s="2387">
        <f t="shared" ref="H122:H137" si="4">J122-G122</f>
        <v>13735.907935923988</v>
      </c>
      <c r="I122" s="2388">
        <f>$J122*'Other national data'!N424</f>
        <v>1.7353203976764089E-10</v>
      </c>
      <c r="J122" s="1495">
        <f>SUMIFS('Basel data'!E:E,'Basel data'!A:A,L122,'Basel data'!G:G,$B$1)+SUMIFS('Basel data'!F:F,'Basel data'!A:A,L122,'Basel data'!G:G,$B$1)+SUMIFS('Basel data'!E:E,'Basel data'!C:C,L122,'Basel data'!G:G,$B$1)+SUMIFS('Basel data'!F:F,'Basel data'!C:C,L122,'Basel data'!G:G,$B$1)</f>
        <v>17353.203976764089</v>
      </c>
      <c r="L122" s="121" t="s">
        <v>151</v>
      </c>
      <c r="O122" s="36" t="str">
        <f t="shared" ref="O122:O137" si="5">IF(ROUND(SUM(G122:I122),0)=ROUND(J122,0),"OK","Error")</f>
        <v>OK</v>
      </c>
    </row>
    <row r="123" spans="1:20" x14ac:dyDescent="0.2">
      <c r="B123" s="7"/>
      <c r="C123" s="7"/>
      <c r="D123" s="7"/>
      <c r="E123" s="7"/>
      <c r="F123" s="138" t="s">
        <v>156</v>
      </c>
      <c r="G123" s="2386">
        <f>$J123*IF(ISNUMBER('Other national data'!H425),'Other national data'!H425,'Other national data'!L425)</f>
        <v>524.54878103084297</v>
      </c>
      <c r="H123" s="2387">
        <f t="shared" si="4"/>
        <v>1661.6290311058099</v>
      </c>
      <c r="I123" s="2388">
        <f>$J123*'Other national data'!N425</f>
        <v>2.1861778121366529E-11</v>
      </c>
      <c r="J123" s="1495">
        <f>SUMIFS('Basel data'!E:E,'Basel data'!A:A,L123,'Basel data'!G:G,$B$1)+SUMIFS('Basel data'!F:F,'Basel data'!A:A,L123,'Basel data'!G:G,$B$1)+SUMIFS('Basel data'!E:E,'Basel data'!C:C,L123,'Basel data'!G:G,$B$1)+SUMIFS('Basel data'!F:F,'Basel data'!C:C,L123,'Basel data'!G:G,$B$1)</f>
        <v>2186.1778121366528</v>
      </c>
      <c r="L123" s="121" t="s">
        <v>155</v>
      </c>
      <c r="O123" s="36" t="str">
        <f t="shared" si="5"/>
        <v>OK</v>
      </c>
    </row>
    <row r="124" spans="1:20" x14ac:dyDescent="0.2">
      <c r="B124" s="7"/>
      <c r="C124" s="7"/>
      <c r="D124" s="7"/>
      <c r="E124" s="7"/>
      <c r="F124" s="138" t="s">
        <v>160</v>
      </c>
      <c r="G124" s="2386">
        <f>$J124*IF(ISNUMBER('Other national data'!H426),'Other national data'!H426,'Other national data'!L426)</f>
        <v>83591.361932598869</v>
      </c>
      <c r="H124" s="2387">
        <f t="shared" si="4"/>
        <v>0</v>
      </c>
      <c r="I124" s="2388">
        <f>$J124*'Other national data'!N426</f>
        <v>8.3591361932598869E-10</v>
      </c>
      <c r="J124" s="1495">
        <f>SUMIFS('Basel data'!E:E,'Basel data'!A:A,L124,'Basel data'!G:G,$B$1)+SUMIFS('Basel data'!F:F,'Basel data'!A:A,L124,'Basel data'!G:G,$B$1)+SUMIFS('Basel data'!E:E,'Basel data'!C:C,L124,'Basel data'!G:G,$B$1)+SUMIFS('Basel data'!F:F,'Basel data'!C:C,L124,'Basel data'!G:G,$B$1)</f>
        <v>83591.361932598869</v>
      </c>
      <c r="L124" s="121" t="s">
        <v>159</v>
      </c>
      <c r="O124" s="36" t="str">
        <f t="shared" si="5"/>
        <v>OK</v>
      </c>
    </row>
    <row r="125" spans="1:20" x14ac:dyDescent="0.2">
      <c r="B125" s="7"/>
      <c r="C125" s="7"/>
      <c r="D125" s="7"/>
      <c r="E125" s="7"/>
      <c r="F125" s="138" t="s">
        <v>210</v>
      </c>
      <c r="G125" s="2386">
        <f>$J125*IF(ISNUMBER('Other national data'!H427),'Other national data'!H427,'Other national data'!L427)</f>
        <v>0.39655378153186177</v>
      </c>
      <c r="H125" s="2387">
        <f t="shared" si="4"/>
        <v>36.089824864583157</v>
      </c>
      <c r="I125" s="2388">
        <f>$J125*'Other national data'!N427</f>
        <v>3.648637864611502E-13</v>
      </c>
      <c r="J125" s="1495">
        <f>SUMIFS('Basel data'!E:E,'Basel data'!A:A,L125,'Basel data'!G:G,$B$1)+SUMIFS('Basel data'!F:F,'Basel data'!A:A,L125,'Basel data'!G:G,$B$1)+SUMIFS('Basel data'!E:E,'Basel data'!C:C,L125,'Basel data'!G:G,$B$1)+SUMIFS('Basel data'!F:F,'Basel data'!C:C,L125,'Basel data'!G:G,$B$1)</f>
        <v>36.486378646115021</v>
      </c>
      <c r="L125" s="121" t="s">
        <v>209</v>
      </c>
      <c r="O125" s="36" t="str">
        <f t="shared" si="5"/>
        <v>OK</v>
      </c>
    </row>
    <row r="126" spans="1:20" x14ac:dyDescent="0.2">
      <c r="B126" s="7"/>
      <c r="C126" s="7"/>
      <c r="D126" s="7"/>
      <c r="E126" s="7"/>
      <c r="F126" s="138" t="s">
        <v>214</v>
      </c>
      <c r="G126" s="2386">
        <f>$J126*IF(ISNUMBER('Other national data'!H428),'Other national data'!H428,'Other national data'!L428)</f>
        <v>2860.7346963531936</v>
      </c>
      <c r="H126" s="2387">
        <f t="shared" si="4"/>
        <v>6066.2750092775195</v>
      </c>
      <c r="I126" s="2388">
        <f>$J126*'Other national data'!N428</f>
        <v>8.9270097056307131E-11</v>
      </c>
      <c r="J126" s="1495">
        <f>SUMIFS('Basel data'!E:E,'Basel data'!A:A,L126,'Basel data'!G:G,$B$1)+SUMIFS('Basel data'!F:F,'Basel data'!A:A,L126,'Basel data'!G:G,$B$1)+SUMIFS('Basel data'!E:E,'Basel data'!C:C,L126,'Basel data'!G:G,$B$1)+SUMIFS('Basel data'!F:F,'Basel data'!C:C,L126,'Basel data'!G:G,$B$1)</f>
        <v>8927.0097056307131</v>
      </c>
      <c r="L126" s="121" t="s">
        <v>213</v>
      </c>
      <c r="O126" s="36" t="str">
        <f t="shared" si="5"/>
        <v>OK</v>
      </c>
    </row>
    <row r="127" spans="1:20" x14ac:dyDescent="0.2">
      <c r="B127" s="7"/>
      <c r="C127" s="7"/>
      <c r="D127" s="7"/>
      <c r="E127" s="7"/>
      <c r="F127" s="138" t="s">
        <v>220</v>
      </c>
      <c r="G127" s="2386">
        <f>$J127*IF(ISNUMBER('Other national data'!H429),'Other national data'!H429,'Other national data'!L429)</f>
        <v>161.20722806899087</v>
      </c>
      <c r="H127" s="2387">
        <f t="shared" si="4"/>
        <v>1735.7331382342954</v>
      </c>
      <c r="I127" s="2388">
        <f>$J127*'Other national data'!N429</f>
        <v>1.8969403663032864E-11</v>
      </c>
      <c r="J127" s="1495">
        <f>SUMIFS('Basel data'!E:E,'Basel data'!A:A,L127,'Basel data'!G:G,$B$1)+SUMIFS('Basel data'!F:F,'Basel data'!A:A,L127,'Basel data'!G:G,$B$1)+SUMIFS('Basel data'!E:E,'Basel data'!C:C,L127,'Basel data'!G:G,$B$1)+SUMIFS('Basel data'!F:F,'Basel data'!C:C,L127,'Basel data'!G:G,$B$1)</f>
        <v>1896.9403663032863</v>
      </c>
      <c r="L127" s="121" t="s">
        <v>219</v>
      </c>
      <c r="O127" s="36" t="str">
        <f t="shared" si="5"/>
        <v>OK</v>
      </c>
    </row>
    <row r="128" spans="1:20" x14ac:dyDescent="0.2">
      <c r="B128" s="7"/>
      <c r="C128" s="7"/>
      <c r="D128" s="7"/>
      <c r="E128" s="7"/>
      <c r="F128" s="138" t="s">
        <v>230</v>
      </c>
      <c r="G128" s="2386">
        <f>$J128*IF(ISNUMBER('Other national data'!H430),'Other national data'!H430,'Other national data'!L430)</f>
        <v>11.030546417131836</v>
      </c>
      <c r="H128" s="2387">
        <f t="shared" si="4"/>
        <v>153.49867536567029</v>
      </c>
      <c r="I128" s="2388">
        <f>$J128*'Other national data'!N430</f>
        <v>1.6452922178280212E-12</v>
      </c>
      <c r="J128" s="1495">
        <f>SUMIFS('Basel data'!E:E,'Basel data'!A:A,L128,'Basel data'!G:G,$B$1)+SUMIFS('Basel data'!F:F,'Basel data'!A:A,L128,'Basel data'!G:G,$B$1)+SUMIFS('Basel data'!E:E,'Basel data'!C:C,L128,'Basel data'!G:G,$B$1)+SUMIFS('Basel data'!F:F,'Basel data'!C:C,L128,'Basel data'!G:G,$B$1)</f>
        <v>164.52922178280213</v>
      </c>
      <c r="L128" s="121" t="s">
        <v>229</v>
      </c>
      <c r="O128" s="36" t="str">
        <f t="shared" si="5"/>
        <v>OK</v>
      </c>
    </row>
    <row r="129" spans="2:15" x14ac:dyDescent="0.2">
      <c r="B129" s="7"/>
      <c r="C129" s="7"/>
      <c r="D129" s="7"/>
      <c r="E129" s="7"/>
      <c r="F129" s="138" t="s">
        <v>238</v>
      </c>
      <c r="G129" s="2386">
        <f>$J129*IF(ISNUMBER('Other national data'!H431),'Other national data'!H431,'Other national data'!L431)</f>
        <v>23.940446595068817</v>
      </c>
      <c r="H129" s="2387">
        <f t="shared" si="4"/>
        <v>75069.828957408943</v>
      </c>
      <c r="I129" s="2388">
        <f>$J129*'Other national data'!N431</f>
        <v>7.5093769404004011E-10</v>
      </c>
      <c r="J129" s="1495">
        <f>SUMIFS('Basel data'!E:E,'Basel data'!A:A,L129,'Basel data'!G:G,$B$1)+SUMIFS('Basel data'!F:F,'Basel data'!A:A,L129,'Basel data'!G:G,$B$1)+SUMIFS('Basel data'!E:E,'Basel data'!C:C,L129,'Basel data'!G:G,$B$1)+SUMIFS('Basel data'!F:F,'Basel data'!C:C,L129,'Basel data'!G:G,$B$1)</f>
        <v>75093.769404004008</v>
      </c>
      <c r="L129" s="121" t="s">
        <v>237</v>
      </c>
      <c r="O129" s="36" t="str">
        <f t="shared" si="5"/>
        <v>OK</v>
      </c>
    </row>
    <row r="130" spans="2:15" x14ac:dyDescent="0.2">
      <c r="B130" s="7"/>
      <c r="C130" s="7"/>
      <c r="D130" s="7"/>
      <c r="E130" s="7"/>
      <c r="F130" s="138" t="s">
        <v>246</v>
      </c>
      <c r="G130" s="2386">
        <f>$J130*IF(ISNUMBER('Other national data'!H432),'Other national data'!H432,'Other national data'!L432)</f>
        <v>12658.686348461073</v>
      </c>
      <c r="H130" s="2387">
        <f t="shared" si="4"/>
        <v>237929.98966099686</v>
      </c>
      <c r="I130" s="2388">
        <f>$J130*'Other national data'!N432</f>
        <v>2.5058867600945794E-9</v>
      </c>
      <c r="J130" s="1495">
        <f>SUMIFS('Basel data'!E:E,'Basel data'!A:A,L130,'Basel data'!G:G,$B$1)+SUMIFS('Basel data'!F:F,'Basel data'!A:A,L130,'Basel data'!G:G,$B$1)+SUMIFS('Basel data'!E:E,'Basel data'!C:C,L130,'Basel data'!G:G,$B$1)+SUMIFS('Basel data'!F:F,'Basel data'!C:C,L130,'Basel data'!G:G,$B$1)</f>
        <v>250588.67600945794</v>
      </c>
      <c r="L130" s="121" t="s">
        <v>245</v>
      </c>
      <c r="O130" s="36" t="str">
        <f t="shared" si="5"/>
        <v>OK</v>
      </c>
    </row>
    <row r="131" spans="2:15" x14ac:dyDescent="0.2">
      <c r="B131" s="7"/>
      <c r="C131" s="7"/>
      <c r="D131" s="7"/>
      <c r="E131" s="7"/>
      <c r="F131" s="138" t="s">
        <v>256</v>
      </c>
      <c r="G131" s="2386">
        <f>$J131*IF(ISNUMBER('Other national data'!H433),'Other national data'!H433,'Other national data'!L433)</f>
        <v>7389.0766417247487</v>
      </c>
      <c r="H131" s="2387">
        <f t="shared" si="4"/>
        <v>80.336670127103389</v>
      </c>
      <c r="I131" s="2388">
        <f>$J131*'Other national data'!N433</f>
        <v>7.469413311851852E-11</v>
      </c>
      <c r="J131" s="1495">
        <f>SUMIFS('Basel data'!E:E,'Basel data'!A:A,L131,'Basel data'!G:G,$B$1)+SUMIFS('Basel data'!F:F,'Basel data'!A:A,L131,'Basel data'!G:G,$B$1)+SUMIFS('Basel data'!E:E,'Basel data'!C:C,L131,'Basel data'!G:G,$B$1)+SUMIFS('Basel data'!F:F,'Basel data'!C:C,L131,'Basel data'!G:G,$B$1)</f>
        <v>7469.4133118518521</v>
      </c>
      <c r="L131" s="121" t="s">
        <v>255</v>
      </c>
      <c r="O131" s="36" t="str">
        <f t="shared" si="5"/>
        <v>OK</v>
      </c>
    </row>
    <row r="132" spans="2:15" x14ac:dyDescent="0.2">
      <c r="B132" s="7"/>
      <c r="C132" s="7"/>
      <c r="D132" s="7"/>
      <c r="E132" s="7"/>
      <c r="F132" s="139" t="s">
        <v>343</v>
      </c>
      <c r="G132" s="2386">
        <f>$J132*IF(ISNUMBER('Other national data'!H434),'Other national data'!H434,'Other national data'!L434)</f>
        <v>429305.15493968525</v>
      </c>
      <c r="H132" s="2387">
        <f t="shared" si="4"/>
        <v>0</v>
      </c>
      <c r="I132" s="2388">
        <f>$J132*'Other national data'!N434</f>
        <v>4.2930515493968528E-9</v>
      </c>
      <c r="J132" s="1495">
        <f>SUMIFS('Basel data'!E:E,'Basel data'!A:A,L132,'Basel data'!G:G,$B$1)+SUMIFS('Basel data'!F:F,'Basel data'!A:A,L132,'Basel data'!G:G,$B$1)+SUMIFS('Basel data'!E:E,'Basel data'!C:C,L132,'Basel data'!G:G,$B$1)+SUMIFS('Basel data'!F:F,'Basel data'!C:C,L132,'Basel data'!G:G,$B$1)</f>
        <v>429305.15493968525</v>
      </c>
      <c r="L132" s="121" t="s">
        <v>281</v>
      </c>
      <c r="O132" s="36" t="str">
        <f t="shared" si="5"/>
        <v>OK</v>
      </c>
    </row>
    <row r="133" spans="2:15" x14ac:dyDescent="0.2">
      <c r="B133" s="7"/>
      <c r="C133" s="7"/>
      <c r="D133" s="7"/>
      <c r="E133" s="7"/>
      <c r="F133" s="139" t="s">
        <v>97</v>
      </c>
      <c r="G133" s="2386">
        <f>$J133*IF(ISNUMBER('Other national data'!H435),'Other national data'!H435,'Other national data'!L435)</f>
        <v>390956.67321456142</v>
      </c>
      <c r="H133" s="2387">
        <f t="shared" si="4"/>
        <v>0</v>
      </c>
      <c r="I133" s="2388">
        <f>$J133*'Other national data'!N435</f>
        <v>3.9095667321456142E-9</v>
      </c>
      <c r="J133" s="1495">
        <f>SUMIFS('Basel data'!E:E,'Basel data'!A:A,L133,'Basel data'!G:G,$B$1)+SUMIFS('Basel data'!F:F,'Basel data'!A:A,L133,'Basel data'!G:G,$B$1)+SUMIFS('Basel data'!E:E,'Basel data'!C:C,L133,'Basel data'!G:G,$B$1)+SUMIFS('Basel data'!F:F,'Basel data'!C:C,L133,'Basel data'!G:G,$B$1)</f>
        <v>390956.67321456142</v>
      </c>
      <c r="L133" s="121" t="s">
        <v>293</v>
      </c>
      <c r="O133" s="36" t="str">
        <f t="shared" si="5"/>
        <v>OK</v>
      </c>
    </row>
    <row r="134" spans="2:15" x14ac:dyDescent="0.2">
      <c r="B134" s="7"/>
      <c r="C134" s="7"/>
      <c r="D134" s="7"/>
      <c r="E134" s="7"/>
      <c r="F134" s="139" t="s">
        <v>345</v>
      </c>
      <c r="G134" s="2543">
        <f>$J134*'Other national data'!I443</f>
        <v>26091.807637576698</v>
      </c>
      <c r="H134" s="2544">
        <f t="shared" si="4"/>
        <v>373662.98416729283</v>
      </c>
      <c r="I134" s="2388">
        <f>$J134*'Other national data'!N436</f>
        <v>0</v>
      </c>
      <c r="J134" s="1495">
        <f>SUMIFS('Basel data'!E:E,'Basel data'!A:A,L134,'Basel data'!G:G,$B$1)+SUMIFS('Basel data'!F:F,'Basel data'!A:A,L134,'Basel data'!G:G,$B$1)+SUMIFS('Basel data'!E:E,'Basel data'!C:C,L134,'Basel data'!G:G,$B$1)+SUMIFS('Basel data'!F:F,'Basel data'!C:C,L134,'Basel data'!G:G,$B$1)-SUM(J132:J133)</f>
        <v>399754.79180486954</v>
      </c>
      <c r="K134" s="142" t="s">
        <v>27</v>
      </c>
      <c r="L134" s="121" t="s">
        <v>277</v>
      </c>
      <c r="O134" s="36" t="str">
        <f t="shared" si="5"/>
        <v>OK</v>
      </c>
    </row>
    <row r="135" spans="2:15" x14ac:dyDescent="0.2">
      <c r="B135" s="7"/>
      <c r="C135" s="7"/>
      <c r="D135" s="7"/>
      <c r="E135" s="7"/>
      <c r="F135" s="138" t="s">
        <v>297</v>
      </c>
      <c r="G135" s="2386">
        <f>$J135*IF(ISNUMBER('Other national data'!H437),'Other national data'!H437,'Other national data'!L437)</f>
        <v>23327.354667731386</v>
      </c>
      <c r="H135" s="2387">
        <f t="shared" si="4"/>
        <v>0</v>
      </c>
      <c r="I135" s="2388">
        <f>$J135*'Other national data'!N437</f>
        <v>2.3327354667731387E-10</v>
      </c>
      <c r="J135" s="1495">
        <f>SUMIFS('Basel data'!E:E,'Basel data'!A:A,L135,'Basel data'!G:G,$B$1)+SUMIFS('Basel data'!F:F,'Basel data'!A:A,L135,'Basel data'!G:G,$B$1)+SUMIFS('Basel data'!E:E,'Basel data'!C:C,L135,'Basel data'!G:G,$B$1)+SUMIFS('Basel data'!F:F,'Basel data'!C:C,L135,'Basel data'!G:G,$B$1)</f>
        <v>23327.354667731386</v>
      </c>
      <c r="L135" s="121" t="s">
        <v>296</v>
      </c>
      <c r="O135" s="36" t="str">
        <f t="shared" si="5"/>
        <v>OK</v>
      </c>
    </row>
    <row r="136" spans="2:15" x14ac:dyDescent="0.2">
      <c r="B136" s="7"/>
      <c r="C136" s="7"/>
      <c r="D136" s="7"/>
      <c r="E136" s="7"/>
      <c r="F136" s="1283" t="s">
        <v>39</v>
      </c>
      <c r="G136" s="2386">
        <f>$J136*IF(ISNUMBER('Other national data'!H438),'Other national data'!H438,'Other national data'!L438)</f>
        <v>39211.416869198787</v>
      </c>
      <c r="H136" s="2387">
        <f t="shared" si="4"/>
        <v>70016.307911320546</v>
      </c>
      <c r="I136" s="2388">
        <f>$J136*'Other national data'!N438</f>
        <v>1.0922772478051933E-9</v>
      </c>
      <c r="J136" s="1495">
        <f>SUMIFS('Basel data'!E:E,'Basel data'!A:A,L136,'Basel data'!G:G,$B$1)+SUMIFS('Basel data'!F:F,'Basel data'!A:A,L136,'Basel data'!G:G,$B$1)+SUMIFS('Basel data'!E:E,'Basel data'!C:C,L136,'Basel data'!G:G,$B$1)+SUMIFS('Basel data'!F:F,'Basel data'!C:C,L136,'Basel data'!G:G,$B$1)</f>
        <v>109227.72478051933</v>
      </c>
      <c r="L136" s="1275" t="s">
        <v>309</v>
      </c>
      <c r="O136" s="36" t="str">
        <f t="shared" si="5"/>
        <v>OK</v>
      </c>
    </row>
    <row r="137" spans="2:15" x14ac:dyDescent="0.2">
      <c r="C137" s="7"/>
      <c r="D137" s="7"/>
      <c r="E137" s="7"/>
      <c r="F137" s="1283" t="s">
        <v>904</v>
      </c>
      <c r="G137" s="2389">
        <f>$J137*IF(ISNUMBER('Other national data'!H439),'Other national data'!H439,'Other national data'!L439)</f>
        <v>392.16752308017379</v>
      </c>
      <c r="H137" s="2390">
        <f t="shared" si="4"/>
        <v>1648.6419230532374</v>
      </c>
      <c r="I137" s="2391">
        <f>$J137*'Other national data'!N439</f>
        <v>2.0408094461334113E-11</v>
      </c>
      <c r="J137" s="1495">
        <f>SUMIFS('Basel data'!E:E,'Basel data'!A:A,L137,'Basel data'!G:G,$B$1)+SUMIFS('Basel data'!F:F,'Basel data'!A:A,L137,'Basel data'!G:G,$B$1)+SUMIFS('Basel data'!E:E,'Basel data'!C:C,L137,'Basel data'!G:G,$B$1)+SUMIFS('Basel data'!F:F,'Basel data'!C:C,L137,'Basel data'!G:G,$B$1)-J136</f>
        <v>2040.8094461334113</v>
      </c>
      <c r="L137" s="121" t="s">
        <v>303</v>
      </c>
      <c r="O137" s="36" t="str">
        <f t="shared" si="5"/>
        <v>OK</v>
      </c>
    </row>
    <row r="138" spans="2:15" x14ac:dyDescent="0.25">
      <c r="J138" s="1318">
        <f>SUM(J121:J137)</f>
        <v>1801921.6326106975</v>
      </c>
      <c r="M138" s="35" t="str">
        <f>IF(SUM(SUMIF('Basel data'!E:E,B1,'Basel data'!C:C),SUMIF('Basel data'!E:E,B1,'Basel data'!D:D))=H138,"OK","Error")</f>
        <v>OK</v>
      </c>
      <c r="O138" s="35"/>
    </row>
    <row r="139" spans="2:15" x14ac:dyDescent="0.25">
      <c r="M139" s="19"/>
    </row>
    <row r="140" spans="2:15" x14ac:dyDescent="0.25">
      <c r="K140" s="126"/>
      <c r="M140" s="19"/>
    </row>
    <row r="141" spans="2:15" ht="15.75" x14ac:dyDescent="0.25">
      <c r="B141" s="143" t="s">
        <v>585</v>
      </c>
      <c r="F141" s="143" t="s">
        <v>586</v>
      </c>
      <c r="K141" s="126"/>
      <c r="M141" s="19"/>
    </row>
    <row r="142" spans="2:15" x14ac:dyDescent="0.25">
      <c r="B142" s="2618" t="s">
        <v>1061</v>
      </c>
      <c r="C142" s="2619"/>
      <c r="D142" s="2620"/>
      <c r="E142" s="473"/>
      <c r="F142" s="2618"/>
      <c r="G142" s="2619"/>
      <c r="H142" s="2619"/>
      <c r="I142" s="2619"/>
      <c r="J142" s="2619"/>
      <c r="K142" s="2619"/>
      <c r="L142" s="2619"/>
      <c r="M142" s="2619"/>
      <c r="N142" s="2620"/>
    </row>
    <row r="143" spans="2:15" x14ac:dyDescent="0.25">
      <c r="B143" s="2615" t="s">
        <v>1062</v>
      </c>
      <c r="C143" s="2616"/>
      <c r="D143" s="2617"/>
      <c r="E143" s="473"/>
      <c r="F143" s="2615"/>
      <c r="G143" s="2616"/>
      <c r="H143" s="2616"/>
      <c r="I143" s="2616"/>
      <c r="J143" s="2616"/>
      <c r="K143" s="2616"/>
      <c r="L143" s="2616"/>
      <c r="M143" s="2616"/>
      <c r="N143" s="2617"/>
    </row>
    <row r="144" spans="2:15" x14ac:dyDescent="0.25">
      <c r="B144" s="2615" t="s">
        <v>1063</v>
      </c>
      <c r="C144" s="2616"/>
      <c r="D144" s="2617"/>
      <c r="E144" s="473"/>
      <c r="F144" s="2615"/>
      <c r="G144" s="2616"/>
      <c r="H144" s="2616"/>
      <c r="I144" s="2616"/>
      <c r="J144" s="2616"/>
      <c r="K144" s="2616"/>
      <c r="L144" s="2616"/>
      <c r="M144" s="2616"/>
      <c r="N144" s="2617"/>
    </row>
    <row r="145" spans="2:14" x14ac:dyDescent="0.25">
      <c r="B145" s="2615" t="s">
        <v>1064</v>
      </c>
      <c r="C145" s="2616"/>
      <c r="D145" s="2617"/>
      <c r="E145" s="473"/>
      <c r="F145" s="2615"/>
      <c r="G145" s="2616"/>
      <c r="H145" s="2616"/>
      <c r="I145" s="2616"/>
      <c r="J145" s="2616"/>
      <c r="K145" s="2616"/>
      <c r="L145" s="2616"/>
      <c r="M145" s="2616"/>
      <c r="N145" s="2617"/>
    </row>
    <row r="146" spans="2:14" x14ac:dyDescent="0.25">
      <c r="B146" s="2615"/>
      <c r="C146" s="2616"/>
      <c r="D146" s="2617"/>
      <c r="E146" s="473"/>
      <c r="F146" s="2615"/>
      <c r="G146" s="2616"/>
      <c r="H146" s="2616"/>
      <c r="I146" s="2616"/>
      <c r="J146" s="2616"/>
      <c r="K146" s="2616"/>
      <c r="L146" s="2616"/>
      <c r="M146" s="2616"/>
      <c r="N146" s="2617"/>
    </row>
    <row r="147" spans="2:14" x14ac:dyDescent="0.25">
      <c r="B147" s="2615"/>
      <c r="C147" s="2616"/>
      <c r="D147" s="2617"/>
      <c r="E147" s="473"/>
      <c r="F147" s="2615"/>
      <c r="G147" s="2616"/>
      <c r="H147" s="2616"/>
      <c r="I147" s="2616"/>
      <c r="J147" s="2616"/>
      <c r="K147" s="2616"/>
      <c r="L147" s="2616"/>
      <c r="M147" s="2616"/>
      <c r="N147" s="2617"/>
    </row>
    <row r="148" spans="2:14" x14ac:dyDescent="0.25">
      <c r="B148" s="2615"/>
      <c r="C148" s="2616"/>
      <c r="D148" s="2617"/>
      <c r="E148" s="473"/>
      <c r="F148" s="2615"/>
      <c r="G148" s="2616"/>
      <c r="H148" s="2616"/>
      <c r="I148" s="2616"/>
      <c r="J148" s="2616"/>
      <c r="K148" s="2616"/>
      <c r="L148" s="2616"/>
      <c r="M148" s="2616"/>
      <c r="N148" s="2617"/>
    </row>
    <row r="149" spans="2:14" x14ac:dyDescent="0.25">
      <c r="B149" s="2615"/>
      <c r="C149" s="2616"/>
      <c r="D149" s="2617"/>
      <c r="E149" s="473"/>
      <c r="F149" s="2615"/>
      <c r="G149" s="2616"/>
      <c r="H149" s="2616"/>
      <c r="I149" s="2616"/>
      <c r="J149" s="2616"/>
      <c r="K149" s="2616"/>
      <c r="L149" s="2616"/>
      <c r="M149" s="2616"/>
      <c r="N149" s="2617"/>
    </row>
    <row r="150" spans="2:14" x14ac:dyDescent="0.25">
      <c r="B150" s="2615"/>
      <c r="C150" s="2616"/>
      <c r="D150" s="2617"/>
      <c r="E150" s="473"/>
      <c r="F150" s="2615"/>
      <c r="G150" s="2616"/>
      <c r="H150" s="2616"/>
      <c r="I150" s="2616"/>
      <c r="J150" s="2616"/>
      <c r="K150" s="2616"/>
      <c r="L150" s="2616"/>
      <c r="M150" s="2616"/>
      <c r="N150" s="2617"/>
    </row>
    <row r="151" spans="2:14" x14ac:dyDescent="0.25">
      <c r="B151" s="2615"/>
      <c r="C151" s="2616"/>
      <c r="D151" s="2617"/>
      <c r="E151" s="473"/>
      <c r="F151" s="2615"/>
      <c r="G151" s="2616"/>
      <c r="H151" s="2616"/>
      <c r="I151" s="2616"/>
      <c r="J151" s="2616"/>
      <c r="K151" s="2616"/>
      <c r="L151" s="2616"/>
      <c r="M151" s="2616"/>
      <c r="N151" s="2617"/>
    </row>
    <row r="152" spans="2:14" x14ac:dyDescent="0.25">
      <c r="B152" s="2615"/>
      <c r="C152" s="2616"/>
      <c r="D152" s="2617"/>
      <c r="E152" s="473"/>
      <c r="F152" s="2615"/>
      <c r="G152" s="2616"/>
      <c r="H152" s="2616"/>
      <c r="I152" s="2616"/>
      <c r="J152" s="2616"/>
      <c r="K152" s="2616"/>
      <c r="L152" s="2616"/>
      <c r="M152" s="2616"/>
      <c r="N152" s="2617"/>
    </row>
    <row r="153" spans="2:14" x14ac:dyDescent="0.25">
      <c r="B153" s="2615"/>
      <c r="C153" s="2616"/>
      <c r="D153" s="2617"/>
      <c r="E153" s="473"/>
      <c r="F153" s="2615"/>
      <c r="G153" s="2616"/>
      <c r="H153" s="2616"/>
      <c r="I153" s="2616"/>
      <c r="J153" s="2616"/>
      <c r="K153" s="2616"/>
      <c r="L153" s="2616"/>
      <c r="M153" s="2616"/>
      <c r="N153" s="2617"/>
    </row>
    <row r="154" spans="2:14" x14ac:dyDescent="0.25">
      <c r="B154" s="2615"/>
      <c r="C154" s="2616"/>
      <c r="D154" s="2617"/>
      <c r="E154" s="473"/>
      <c r="F154" s="2615"/>
      <c r="G154" s="2616"/>
      <c r="H154" s="2616"/>
      <c r="I154" s="2616"/>
      <c r="J154" s="2616"/>
      <c r="K154" s="2616"/>
      <c r="L154" s="2616"/>
      <c r="M154" s="2616"/>
      <c r="N154" s="2617"/>
    </row>
    <row r="155" spans="2:14" x14ac:dyDescent="0.25">
      <c r="B155" s="2615"/>
      <c r="C155" s="2616"/>
      <c r="D155" s="2617"/>
      <c r="E155" s="473"/>
      <c r="F155" s="2615"/>
      <c r="G155" s="2616"/>
      <c r="H155" s="2616"/>
      <c r="I155" s="2616"/>
      <c r="J155" s="2616"/>
      <c r="K155" s="2616"/>
      <c r="L155" s="2616"/>
      <c r="M155" s="2616"/>
      <c r="N155" s="2617"/>
    </row>
    <row r="156" spans="2:14" x14ac:dyDescent="0.25">
      <c r="B156" s="2615"/>
      <c r="C156" s="2616"/>
      <c r="D156" s="2617"/>
      <c r="E156" s="473"/>
      <c r="F156" s="2615"/>
      <c r="G156" s="2616"/>
      <c r="H156" s="2616"/>
      <c r="I156" s="2616"/>
      <c r="J156" s="2616"/>
      <c r="K156" s="2616"/>
      <c r="L156" s="2616"/>
      <c r="M156" s="2616"/>
      <c r="N156" s="2617"/>
    </row>
    <row r="157" spans="2:14" x14ac:dyDescent="0.25">
      <c r="B157" s="2615"/>
      <c r="C157" s="2616"/>
      <c r="D157" s="2617"/>
      <c r="E157" s="473"/>
      <c r="F157" s="2615"/>
      <c r="G157" s="2616"/>
      <c r="H157" s="2616"/>
      <c r="I157" s="2616"/>
      <c r="J157" s="2616"/>
      <c r="K157" s="2616"/>
      <c r="L157" s="2616"/>
      <c r="M157" s="2616"/>
      <c r="N157" s="2617"/>
    </row>
    <row r="158" spans="2:14" x14ac:dyDescent="0.25">
      <c r="B158" s="2615"/>
      <c r="C158" s="2616"/>
      <c r="D158" s="2617"/>
      <c r="E158" s="473"/>
      <c r="F158" s="2615"/>
      <c r="G158" s="2616"/>
      <c r="H158" s="2616"/>
      <c r="I158" s="2616"/>
      <c r="J158" s="2616"/>
      <c r="K158" s="2616"/>
      <c r="L158" s="2616"/>
      <c r="M158" s="2616"/>
      <c r="N158" s="2617"/>
    </row>
    <row r="159" spans="2:14" x14ac:dyDescent="0.25">
      <c r="B159" s="2615"/>
      <c r="C159" s="2616"/>
      <c r="D159" s="2617"/>
      <c r="E159" s="473"/>
      <c r="F159" s="2615"/>
      <c r="G159" s="2616"/>
      <c r="H159" s="2616"/>
      <c r="I159" s="2616"/>
      <c r="J159" s="2616"/>
      <c r="K159" s="2616"/>
      <c r="L159" s="2616"/>
      <c r="M159" s="2616"/>
      <c r="N159" s="2617"/>
    </row>
    <row r="160" spans="2:14" x14ac:dyDescent="0.25">
      <c r="B160" s="2615"/>
      <c r="C160" s="2616"/>
      <c r="D160" s="2617"/>
      <c r="E160" s="473"/>
      <c r="F160" s="2615"/>
      <c r="G160" s="2616"/>
      <c r="H160" s="2616"/>
      <c r="I160" s="2616"/>
      <c r="J160" s="2616"/>
      <c r="K160" s="2616"/>
      <c r="L160" s="2616"/>
      <c r="M160" s="2616"/>
      <c r="N160" s="2617"/>
    </row>
    <row r="161" spans="2:26" x14ac:dyDescent="0.25">
      <c r="B161" s="2615"/>
      <c r="C161" s="2616"/>
      <c r="D161" s="2617"/>
      <c r="E161" s="473"/>
      <c r="F161" s="2615"/>
      <c r="G161" s="2616"/>
      <c r="H161" s="2616"/>
      <c r="I161" s="2616"/>
      <c r="J161" s="2616"/>
      <c r="K161" s="2616"/>
      <c r="L161" s="2616"/>
      <c r="M161" s="2616"/>
      <c r="N161" s="2617"/>
    </row>
    <row r="162" spans="2:26" x14ac:dyDescent="0.25">
      <c r="B162" s="2615"/>
      <c r="C162" s="2616"/>
      <c r="D162" s="2617"/>
      <c r="E162" s="473"/>
      <c r="F162" s="2615"/>
      <c r="G162" s="2616"/>
      <c r="H162" s="2616"/>
      <c r="I162" s="2616"/>
      <c r="J162" s="2616"/>
      <c r="K162" s="2616"/>
      <c r="L162" s="2616"/>
      <c r="M162" s="2616"/>
      <c r="N162" s="2617"/>
    </row>
    <row r="163" spans="2:26" x14ac:dyDescent="0.25">
      <c r="B163" s="2615"/>
      <c r="C163" s="2616"/>
      <c r="D163" s="2617"/>
      <c r="E163" s="473"/>
      <c r="F163" s="2615"/>
      <c r="G163" s="2616"/>
      <c r="H163" s="2616"/>
      <c r="I163" s="2616"/>
      <c r="J163" s="2616"/>
      <c r="K163" s="2616"/>
      <c r="L163" s="2616"/>
      <c r="M163" s="2616"/>
      <c r="N163" s="2617"/>
    </row>
    <row r="164" spans="2:26" x14ac:dyDescent="0.25">
      <c r="B164" s="2615"/>
      <c r="C164" s="2616"/>
      <c r="D164" s="2617"/>
      <c r="E164" s="473"/>
      <c r="F164" s="2615"/>
      <c r="G164" s="2616"/>
      <c r="H164" s="2616"/>
      <c r="I164" s="2616"/>
      <c r="J164" s="2616"/>
      <c r="K164" s="2616"/>
      <c r="L164" s="2616"/>
      <c r="M164" s="2616"/>
      <c r="N164" s="2617"/>
    </row>
    <row r="165" spans="2:26" x14ac:dyDescent="0.25">
      <c r="B165" s="2634"/>
      <c r="C165" s="2635"/>
      <c r="D165" s="2636"/>
      <c r="E165" s="473"/>
      <c r="F165" s="2634"/>
      <c r="G165" s="2635"/>
      <c r="H165" s="2635"/>
      <c r="I165" s="2635"/>
      <c r="J165" s="2635"/>
      <c r="K165" s="2635"/>
      <c r="L165" s="2635"/>
      <c r="M165" s="2635"/>
      <c r="N165" s="2636"/>
    </row>
    <row r="166" spans="2:26" x14ac:dyDescent="0.25">
      <c r="C166" s="14"/>
      <c r="D166" s="14"/>
      <c r="E166" s="14"/>
      <c r="F166" s="18"/>
      <c r="L166" s="14"/>
      <c r="N166" s="14"/>
    </row>
    <row r="167" spans="2:26" ht="15.75" x14ac:dyDescent="0.25">
      <c r="B167" s="143"/>
      <c r="C167" s="14"/>
      <c r="D167" s="14"/>
      <c r="E167" s="14"/>
      <c r="F167" s="18"/>
      <c r="L167" s="14"/>
    </row>
    <row r="168" spans="2:26" ht="15.75" x14ac:dyDescent="0.25">
      <c r="B168" s="3" t="s">
        <v>1413</v>
      </c>
      <c r="C168" s="2490"/>
      <c r="D168" s="2490"/>
      <c r="E168" s="2490"/>
      <c r="F168" s="2491"/>
      <c r="G168" s="2492"/>
      <c r="H168" s="2492"/>
      <c r="I168" s="2492"/>
      <c r="J168" s="2492"/>
      <c r="K168" s="2492"/>
      <c r="L168" s="2490"/>
      <c r="M168" s="2493"/>
      <c r="N168" s="2494"/>
      <c r="O168" s="2492"/>
      <c r="P168" s="2495"/>
      <c r="Q168" s="2495"/>
      <c r="R168" s="2495"/>
      <c r="S168" s="2495"/>
      <c r="T168" s="2495"/>
      <c r="U168" s="2492"/>
      <c r="V168" s="2492"/>
      <c r="W168" s="2492"/>
      <c r="X168" s="2492"/>
      <c r="Y168" s="2492"/>
      <c r="Z168" s="2492"/>
    </row>
    <row r="169" spans="2:26" ht="15.75" x14ac:dyDescent="0.25">
      <c r="B169" s="2496" t="s">
        <v>1381</v>
      </c>
      <c r="C169" s="14"/>
      <c r="D169" s="14"/>
      <c r="E169" s="14"/>
      <c r="F169" s="18"/>
      <c r="L169" s="14"/>
      <c r="N169" s="2516" t="s">
        <v>1414</v>
      </c>
      <c r="O169" s="7">
        <v>1</v>
      </c>
      <c r="P169" s="2517" t="s">
        <v>1416</v>
      </c>
    </row>
    <row r="170" spans="2:26" x14ac:dyDescent="0.25">
      <c r="B170" s="2445" t="s">
        <v>1376</v>
      </c>
      <c r="C170" s="14"/>
      <c r="D170" s="14"/>
      <c r="E170" s="14"/>
      <c r="F170" s="17"/>
      <c r="L170" s="14"/>
      <c r="O170" s="7">
        <v>2</v>
      </c>
      <c r="P170" s="2517" t="s">
        <v>1417</v>
      </c>
    </row>
    <row r="171" spans="2:26" x14ac:dyDescent="0.25">
      <c r="B171" s="2445" t="s">
        <v>1377</v>
      </c>
      <c r="O171" s="7">
        <v>3</v>
      </c>
      <c r="P171" s="2498" t="s">
        <v>1406</v>
      </c>
    </row>
    <row r="172" spans="2:26" x14ac:dyDescent="0.25">
      <c r="B172" s="2445" t="s">
        <v>1378</v>
      </c>
      <c r="O172" s="7">
        <v>4</v>
      </c>
      <c r="P172" s="2498" t="s">
        <v>1415</v>
      </c>
    </row>
    <row r="173" spans="2:26" x14ac:dyDescent="0.25">
      <c r="B173" s="2445" t="s">
        <v>1379</v>
      </c>
    </row>
    <row r="174" spans="2:26" x14ac:dyDescent="0.25">
      <c r="B174" s="2445" t="s">
        <v>1380</v>
      </c>
    </row>
    <row r="175" spans="2:26" x14ac:dyDescent="0.25">
      <c r="B175" s="7"/>
    </row>
    <row r="176" spans="2:26" ht="25.5" x14ac:dyDescent="0.25">
      <c r="B176" s="2496" t="s">
        <v>1403</v>
      </c>
      <c r="D176" s="2480"/>
      <c r="E176" s="2481"/>
      <c r="F176" s="2481"/>
      <c r="G176" s="2518" t="s">
        <v>1418</v>
      </c>
      <c r="H176" s="2482" t="s">
        <v>16</v>
      </c>
      <c r="I176" s="2483" t="s">
        <v>1382</v>
      </c>
      <c r="J176" s="2484" t="s">
        <v>18</v>
      </c>
      <c r="K176" s="2489" t="s">
        <v>1384</v>
      </c>
      <c r="L176" s="2642" t="s">
        <v>1189</v>
      </c>
      <c r="M176" s="2643"/>
      <c r="N176" s="14"/>
      <c r="O176" s="2500" t="s">
        <v>1405</v>
      </c>
    </row>
    <row r="177" spans="2:26" ht="15" customHeight="1" x14ac:dyDescent="0.25">
      <c r="B177" s="7"/>
      <c r="C177" s="2639" t="s">
        <v>1398</v>
      </c>
      <c r="D177" s="2648" t="s">
        <v>1383</v>
      </c>
      <c r="E177" s="2649"/>
      <c r="F177" s="2649"/>
      <c r="G177" s="2451" t="s">
        <v>1071</v>
      </c>
      <c r="H177" s="2446">
        <v>9385.5194981934037</v>
      </c>
      <c r="I177" s="2446">
        <v>11870.304458719729</v>
      </c>
      <c r="J177" s="2446">
        <v>11681.714734898083</v>
      </c>
      <c r="K177" s="2485">
        <f>'Trends and nat. data'!U122-'Trends and nat. data'!U87</f>
        <v>14992578</v>
      </c>
      <c r="L177" s="1761"/>
      <c r="M177" s="2487">
        <v>1</v>
      </c>
      <c r="N177" s="14"/>
      <c r="O177" s="2499" t="s">
        <v>1404</v>
      </c>
      <c r="P177" s="112"/>
      <c r="Q177" s="112"/>
      <c r="R177" s="112"/>
      <c r="S177" s="2498">
        <v>3</v>
      </c>
      <c r="Y177" s="63"/>
    </row>
    <row r="178" spans="2:26" x14ac:dyDescent="0.25">
      <c r="B178" s="7"/>
      <c r="C178" s="2660"/>
      <c r="D178" s="2650"/>
      <c r="E178" s="2651"/>
      <c r="F178" s="2651"/>
      <c r="G178" s="2451" t="s">
        <v>1072</v>
      </c>
      <c r="H178" s="18">
        <f t="shared" ref="H178:J179" si="6">(H$180-H$177)/3+H177</f>
        <v>9117.3372066093125</v>
      </c>
      <c r="I178" s="18">
        <f t="shared" si="6"/>
        <v>12971.780677245823</v>
      </c>
      <c r="J178" s="18">
        <f t="shared" si="6"/>
        <v>12086.625863328234</v>
      </c>
      <c r="K178" s="2485">
        <f>'Trends and nat. data'!V122-'Trends and nat. data'!V87</f>
        <v>15258706</v>
      </c>
      <c r="L178" s="2471"/>
      <c r="M178" s="2487"/>
      <c r="N178" s="14"/>
      <c r="X178" s="157"/>
    </row>
    <row r="179" spans="2:26" x14ac:dyDescent="0.25">
      <c r="B179" s="7"/>
      <c r="C179" s="2660"/>
      <c r="D179" s="2650"/>
      <c r="E179" s="2651"/>
      <c r="F179" s="2651"/>
      <c r="G179" s="2451" t="s">
        <v>1073</v>
      </c>
      <c r="H179" s="18">
        <f t="shared" si="6"/>
        <v>8849.1549150252213</v>
      </c>
      <c r="I179" s="18">
        <f t="shared" si="6"/>
        <v>14073.256895771916</v>
      </c>
      <c r="J179" s="18">
        <f t="shared" si="6"/>
        <v>12491.536991758385</v>
      </c>
      <c r="K179" s="2485">
        <f>'Trends and nat. data'!W122-'Trends and nat. data'!W87</f>
        <v>15563948</v>
      </c>
      <c r="L179" s="2471"/>
      <c r="M179" s="2487"/>
      <c r="N179" s="14"/>
      <c r="O179" s="2497" t="s">
        <v>1407</v>
      </c>
      <c r="V179" s="409">
        <v>7356850</v>
      </c>
      <c r="Y179" s="409"/>
    </row>
    <row r="180" spans="2:26" x14ac:dyDescent="0.25">
      <c r="B180" s="7"/>
      <c r="C180" s="2660"/>
      <c r="D180" s="2650"/>
      <c r="E180" s="2651"/>
      <c r="F180" s="2651"/>
      <c r="G180" s="2451" t="s">
        <v>876</v>
      </c>
      <c r="H180" s="2446">
        <v>8580.9726234411301</v>
      </c>
      <c r="I180" s="2446">
        <v>15174.733114298011</v>
      </c>
      <c r="J180" s="2446">
        <v>12896.448120188536</v>
      </c>
      <c r="K180" s="2485">
        <f>'Trends and nat. data'!X122-'Trends and nat. data'!X87</f>
        <v>15826177</v>
      </c>
      <c r="L180" s="2475"/>
      <c r="M180" s="2488">
        <v>2</v>
      </c>
      <c r="O180" s="2499" t="s">
        <v>1404</v>
      </c>
      <c r="P180" s="112"/>
      <c r="Q180" s="112"/>
      <c r="R180" s="112"/>
      <c r="S180" s="2498">
        <v>4</v>
      </c>
      <c r="W180" s="180" t="s">
        <v>16</v>
      </c>
      <c r="X180" s="180" t="s">
        <v>17</v>
      </c>
      <c r="Y180" s="180" t="s">
        <v>18</v>
      </c>
    </row>
    <row r="181" spans="2:26" x14ac:dyDescent="0.25">
      <c r="B181" s="7"/>
      <c r="C181" s="2660"/>
      <c r="D181" s="2652"/>
      <c r="E181" s="2653"/>
      <c r="F181" s="2653"/>
      <c r="G181" s="2451" t="s">
        <v>958</v>
      </c>
      <c r="H181" s="2466">
        <f>SUM(ACT.!D74,NT.!D74,Qld.!D74,SA.!D74,Tas.!D74,Vic.!D74,WA.!D74)</f>
        <v>8739.1972847273209</v>
      </c>
      <c r="I181" s="2466">
        <f>SUM(ACT.!F74,NT.!F74,Qld.!F74,SA.!F74,Tas.!F74,Vic.!F74,WA.!F74)</f>
        <v>14533.124237924045</v>
      </c>
      <c r="J181" s="2466">
        <f>SUM(ACT.!G74,NT.!G74,Qld.!G74,SA.!G74,Tas.!G74,Vic.!G74,WA.!G74)</f>
        <v>13524.515948697359</v>
      </c>
      <c r="K181" s="2486">
        <f>'Trends and nat. data'!Y122-'Trends and nat. data'!Y87</f>
        <v>16049579</v>
      </c>
      <c r="O181" s="2502" t="s">
        <v>1408</v>
      </c>
      <c r="P181" s="2503"/>
      <c r="Q181" s="2503"/>
      <c r="R181" s="2503"/>
      <c r="S181" s="2503"/>
      <c r="T181" s="2503"/>
      <c r="U181" s="2469"/>
      <c r="V181" s="2479"/>
      <c r="W181" s="1577">
        <f>2247500-500-1500-19500-9000-8000</f>
        <v>2209000</v>
      </c>
      <c r="X181" s="2501">
        <f>1859000-5000-2000-19500-9000-17500</f>
        <v>1806000</v>
      </c>
      <c r="Y181" s="1578">
        <f>2188000-553500-29000-504500</f>
        <v>1101000</v>
      </c>
      <c r="Z181" s="1511" t="s">
        <v>1409</v>
      </c>
    </row>
    <row r="182" spans="2:26" ht="15" customHeight="1" x14ac:dyDescent="0.25">
      <c r="B182" s="7"/>
      <c r="C182" s="2660"/>
      <c r="D182" s="2648" t="s">
        <v>1385</v>
      </c>
      <c r="E182" s="2649"/>
      <c r="F182" s="2649"/>
      <c r="G182" s="2450" t="s">
        <v>1073</v>
      </c>
      <c r="H182" s="2455">
        <f t="shared" ref="H182:J184" si="7">H179*1000/$K179</f>
        <v>0.56856749425179398</v>
      </c>
      <c r="I182" s="2455">
        <f t="shared" si="7"/>
        <v>0.90422153143739081</v>
      </c>
      <c r="J182" s="2455">
        <f t="shared" si="7"/>
        <v>0.80259436691502606</v>
      </c>
      <c r="K182" s="2452"/>
      <c r="O182" s="2644" t="s">
        <v>1419</v>
      </c>
      <c r="P182" s="2645"/>
      <c r="Q182" s="2645"/>
      <c r="R182" s="2645"/>
      <c r="S182" s="2645"/>
      <c r="T182" s="2645"/>
      <c r="U182" s="447"/>
      <c r="V182" s="2504" t="s">
        <v>1123</v>
      </c>
      <c r="W182" s="405">
        <v>378500</v>
      </c>
      <c r="X182" s="406">
        <v>491500</v>
      </c>
      <c r="Y182" s="407">
        <v>0</v>
      </c>
    </row>
    <row r="183" spans="2:26" x14ac:dyDescent="0.25">
      <c r="B183" s="7"/>
      <c r="C183" s="2660"/>
      <c r="D183" s="2650"/>
      <c r="E183" s="2651"/>
      <c r="F183" s="2651"/>
      <c r="G183" s="2451" t="s">
        <v>876</v>
      </c>
      <c r="H183" s="2456">
        <f t="shared" si="7"/>
        <v>0.54220122923186886</v>
      </c>
      <c r="I183" s="2456">
        <f t="shared" si="7"/>
        <v>0.95883757108858381</v>
      </c>
      <c r="J183" s="2456">
        <f t="shared" si="7"/>
        <v>0.81488082183009425</v>
      </c>
      <c r="K183" s="2453"/>
      <c r="O183" s="2646"/>
      <c r="P183" s="2647"/>
      <c r="Q183" s="2647"/>
      <c r="R183" s="2647"/>
      <c r="S183" s="2647"/>
      <c r="T183" s="2647"/>
      <c r="U183" s="5"/>
      <c r="V183" s="2505" t="s">
        <v>597</v>
      </c>
      <c r="W183" s="408">
        <v>44000</v>
      </c>
      <c r="X183" s="409">
        <v>39000</v>
      </c>
      <c r="Y183" s="410">
        <v>2000</v>
      </c>
      <c r="Z183" s="1511" t="s">
        <v>1134</v>
      </c>
    </row>
    <row r="184" spans="2:26" x14ac:dyDescent="0.25">
      <c r="B184" s="7"/>
      <c r="C184" s="2660"/>
      <c r="D184" s="2652"/>
      <c r="E184" s="2653"/>
      <c r="F184" s="2653"/>
      <c r="G184" s="2457" t="s">
        <v>958</v>
      </c>
      <c r="H184" s="2458">
        <f t="shared" si="7"/>
        <v>0.54451255604444948</v>
      </c>
      <c r="I184" s="2458">
        <f t="shared" si="7"/>
        <v>0.90551435884542797</v>
      </c>
      <c r="J184" s="2458">
        <f t="shared" si="7"/>
        <v>0.84267107247469597</v>
      </c>
      <c r="K184" s="2453"/>
      <c r="O184" s="2646"/>
      <c r="P184" s="2647"/>
      <c r="Q184" s="2647"/>
      <c r="R184" s="2647"/>
      <c r="S184" s="2647"/>
      <c r="T184" s="2647"/>
      <c r="U184" s="5"/>
      <c r="V184" s="2505" t="s">
        <v>30</v>
      </c>
      <c r="W184" s="408">
        <v>143500</v>
      </c>
      <c r="X184" s="409">
        <v>67500</v>
      </c>
      <c r="Y184" s="410">
        <v>6500</v>
      </c>
    </row>
    <row r="185" spans="2:26" ht="28.5" customHeight="1" x14ac:dyDescent="0.25">
      <c r="B185" s="7"/>
      <c r="C185" s="2661"/>
      <c r="D185" s="2654" t="s">
        <v>1396</v>
      </c>
      <c r="E185" s="2655"/>
      <c r="F185" s="2655"/>
      <c r="G185" s="2470" t="s">
        <v>1397</v>
      </c>
      <c r="H185" s="2459">
        <f>(H184-H182)/H182</f>
        <v>-4.2307973020862866E-2</v>
      </c>
      <c r="I185" s="2459">
        <f>(I184-I182)/I182</f>
        <v>1.4297684395792036E-3</v>
      </c>
      <c r="J185" s="2459">
        <f>(J184-J182)/J182</f>
        <v>4.9933948220587242E-2</v>
      </c>
      <c r="K185" s="446"/>
      <c r="L185" s="7"/>
      <c r="M185" s="7"/>
      <c r="O185" s="2646"/>
      <c r="P185" s="2647"/>
      <c r="Q185" s="2647"/>
      <c r="R185" s="2647"/>
      <c r="S185" s="2647"/>
      <c r="T185" s="2647"/>
      <c r="U185" s="99"/>
      <c r="V185" s="2505" t="s">
        <v>488</v>
      </c>
      <c r="W185" s="408">
        <v>374500</v>
      </c>
      <c r="X185" s="409">
        <v>762500</v>
      </c>
      <c r="Y185" s="410">
        <v>250000</v>
      </c>
    </row>
    <row r="186" spans="2:26" x14ac:dyDescent="0.25">
      <c r="B186" s="7"/>
      <c r="C186" s="2639" t="s">
        <v>1399</v>
      </c>
      <c r="D186" s="2471"/>
      <c r="E186" s="5"/>
      <c r="F186" s="2069" t="s">
        <v>1386</v>
      </c>
      <c r="G186" s="2450" t="s">
        <v>1073</v>
      </c>
      <c r="H186" s="2466">
        <f>SUM(W181,W209)/1000</f>
        <v>4619</v>
      </c>
      <c r="I186" s="2466">
        <f>SUM(X181,X209)/1000</f>
        <v>4572</v>
      </c>
      <c r="J186" s="2466">
        <f>SUM(Y181,Y209)/1000</f>
        <v>4916</v>
      </c>
      <c r="K186" s="2489" t="s">
        <v>1388</v>
      </c>
      <c r="L186" s="7"/>
      <c r="M186" s="7"/>
      <c r="O186" s="2646"/>
      <c r="P186" s="2647"/>
      <c r="Q186" s="2647"/>
      <c r="R186" s="2647"/>
      <c r="S186" s="2647"/>
      <c r="T186" s="2647"/>
      <c r="U186" s="5"/>
      <c r="V186" s="2505" t="s">
        <v>1124</v>
      </c>
      <c r="W186" s="408">
        <v>37000</v>
      </c>
      <c r="X186" s="409">
        <v>137500</v>
      </c>
      <c r="Y186" s="410">
        <v>11000</v>
      </c>
    </row>
    <row r="187" spans="2:26" ht="15" customHeight="1" x14ac:dyDescent="0.25">
      <c r="B187" s="7"/>
      <c r="C187" s="2640"/>
      <c r="D187" s="2656" t="s">
        <v>1387</v>
      </c>
      <c r="E187" s="2657"/>
      <c r="F187" s="2657"/>
      <c r="G187" s="2450" t="s">
        <v>1073</v>
      </c>
      <c r="H187" s="2455">
        <f>H186*1000/$K187</f>
        <v>0.62785023481517221</v>
      </c>
      <c r="I187" s="2455">
        <f>I186*1000/$K187</f>
        <v>0.62146163099696206</v>
      </c>
      <c r="J187" s="2460">
        <f>J186*1000/$K187</f>
        <v>0.66822077383662848</v>
      </c>
      <c r="K187" s="2485">
        <f>'Trends and nat. data'!W87</f>
        <v>7356850</v>
      </c>
      <c r="L187" s="7"/>
      <c r="M187" s="7"/>
      <c r="O187" s="208"/>
      <c r="P187" s="1051"/>
      <c r="Q187" s="1051"/>
      <c r="R187" s="1051"/>
      <c r="S187" s="1051"/>
      <c r="T187" s="1051"/>
      <c r="U187" s="5"/>
      <c r="V187" s="2505" t="s">
        <v>63</v>
      </c>
      <c r="W187" s="408">
        <v>606000</v>
      </c>
      <c r="X187" s="409">
        <v>290000</v>
      </c>
      <c r="Y187" s="410">
        <v>43500</v>
      </c>
    </row>
    <row r="188" spans="2:26" x14ac:dyDescent="0.25">
      <c r="B188" s="7"/>
      <c r="C188" s="2641"/>
      <c r="D188" s="2658"/>
      <c r="E188" s="2659"/>
      <c r="F188" s="2659"/>
      <c r="G188" s="2451" t="s">
        <v>958</v>
      </c>
      <c r="H188" s="2448">
        <f>H187*(1+H185)</f>
        <v>0.60128716401946947</v>
      </c>
      <c r="I188" s="2448">
        <f>I187*(1+I185)</f>
        <v>0.62235017722337094</v>
      </c>
      <c r="J188" s="2448">
        <f>J187*(1+J185)</f>
        <v>0.70158767535730737</v>
      </c>
      <c r="K188" s="2486">
        <f>'Trends and nat. data'!Y87</f>
        <v>7564626</v>
      </c>
      <c r="L188" s="7"/>
      <c r="M188" s="7"/>
      <c r="O188" s="208"/>
      <c r="P188" s="1051"/>
      <c r="Q188" s="1051"/>
      <c r="R188" s="1051"/>
      <c r="S188" s="1051"/>
      <c r="T188" s="1051"/>
      <c r="U188" s="5"/>
      <c r="V188" s="2505" t="s">
        <v>371</v>
      </c>
      <c r="W188" s="408">
        <v>93500</v>
      </c>
      <c r="X188" s="409">
        <v>62000</v>
      </c>
      <c r="Y188" s="410">
        <v>0</v>
      </c>
    </row>
    <row r="189" spans="2:26" x14ac:dyDescent="0.25">
      <c r="B189" s="7"/>
      <c r="C189" s="2637" t="s">
        <v>1400</v>
      </c>
      <c r="D189" s="2472" t="s">
        <v>1390</v>
      </c>
      <c r="E189" s="2461"/>
      <c r="F189" s="447"/>
      <c r="G189" s="2450" t="s">
        <v>1391</v>
      </c>
      <c r="H189" s="417">
        <f>H188*$K188/1000</f>
        <v>4548.5125144079429</v>
      </c>
      <c r="I189" s="418">
        <f>I188*$K188/1000</f>
        <v>4707.8463317285195</v>
      </c>
      <c r="J189" s="419">
        <f>J188*$K188/1000</f>
        <v>5307.2483702874461</v>
      </c>
      <c r="L189" s="7"/>
      <c r="M189" s="7"/>
      <c r="O189" s="208"/>
      <c r="P189" s="1051"/>
      <c r="Q189" s="1051"/>
      <c r="R189" s="1051"/>
      <c r="S189" s="1051"/>
      <c r="T189" s="1051"/>
      <c r="U189" s="5"/>
      <c r="V189" s="2505" t="s">
        <v>67</v>
      </c>
      <c r="W189" s="408">
        <v>30000</v>
      </c>
      <c r="X189" s="409">
        <v>37500</v>
      </c>
      <c r="Y189" s="410">
        <v>113000</v>
      </c>
    </row>
    <row r="190" spans="2:26" x14ac:dyDescent="0.25">
      <c r="B190" s="7"/>
      <c r="C190" s="2638"/>
      <c r="D190" s="2471"/>
      <c r="F190" s="2069"/>
      <c r="G190" s="568" t="s">
        <v>1392</v>
      </c>
      <c r="H190" s="123">
        <f>H189-G20/1000</f>
        <v>2340.9586844079427</v>
      </c>
      <c r="I190" s="420">
        <f>I189-H20/1000</f>
        <v>2520.506831728519</v>
      </c>
      <c r="J190" s="421">
        <f>J189-I20/1000</f>
        <v>4406.4239359593412</v>
      </c>
      <c r="L190" s="7"/>
      <c r="M190" s="2449"/>
      <c r="O190" s="208"/>
      <c r="P190" s="1051"/>
      <c r="Q190" s="1051"/>
      <c r="R190" s="1051"/>
      <c r="S190" s="1051"/>
      <c r="T190" s="1051"/>
      <c r="U190" s="5"/>
      <c r="V190" s="2505" t="s">
        <v>1125</v>
      </c>
      <c r="W190" s="408">
        <v>245000</v>
      </c>
      <c r="X190" s="409">
        <v>385000</v>
      </c>
      <c r="Y190" s="410">
        <v>0</v>
      </c>
      <c r="Z190" s="156"/>
    </row>
    <row r="191" spans="2:26" x14ac:dyDescent="0.25">
      <c r="B191" s="7"/>
      <c r="C191" s="2639" t="s">
        <v>1401</v>
      </c>
      <c r="D191" s="2471"/>
      <c r="F191" s="10"/>
      <c r="G191" s="2477" t="s">
        <v>25</v>
      </c>
      <c r="H191" s="123">
        <f t="shared" ref="H191:J196" si="8">W216*H$190</f>
        <v>447.87290233477142</v>
      </c>
      <c r="I191" s="420">
        <f t="shared" si="8"/>
        <v>356.98070261337432</v>
      </c>
      <c r="J191" s="421">
        <f t="shared" si="8"/>
        <v>3914.6407039135775</v>
      </c>
      <c r="L191" s="7"/>
      <c r="M191" s="7"/>
      <c r="O191" s="208"/>
      <c r="P191" s="1051"/>
      <c r="Q191" s="1051"/>
      <c r="R191" s="1051"/>
      <c r="S191" s="1051"/>
      <c r="T191" s="1051"/>
      <c r="U191" s="5"/>
      <c r="V191" s="2505" t="s">
        <v>1126</v>
      </c>
      <c r="W191" s="408">
        <v>155000</v>
      </c>
      <c r="X191" s="409">
        <v>178500</v>
      </c>
      <c r="Y191" s="410">
        <v>2039500</v>
      </c>
    </row>
    <row r="192" spans="2:26" x14ac:dyDescent="0.25">
      <c r="B192" s="7"/>
      <c r="C192" s="2640"/>
      <c r="D192" s="2471"/>
      <c r="E192" s="5"/>
      <c r="F192" s="10"/>
      <c r="G192" s="2477" t="s">
        <v>28</v>
      </c>
      <c r="H192" s="123">
        <f t="shared" si="8"/>
        <v>407.33062683055886</v>
      </c>
      <c r="I192" s="420">
        <f t="shared" si="8"/>
        <v>636.31107522915431</v>
      </c>
      <c r="J192" s="421">
        <f t="shared" si="8"/>
        <v>301.30381118296776</v>
      </c>
      <c r="L192" s="7"/>
      <c r="M192" s="7"/>
      <c r="O192" s="208"/>
      <c r="P192" s="1051"/>
      <c r="Q192" s="1051"/>
      <c r="R192" s="1051"/>
      <c r="S192" s="1051"/>
      <c r="T192" s="1051"/>
      <c r="U192" s="5"/>
      <c r="V192" s="2505" t="s">
        <v>42</v>
      </c>
      <c r="W192" s="408">
        <v>0</v>
      </c>
      <c r="X192" s="409">
        <v>0</v>
      </c>
      <c r="Y192" s="410">
        <v>594000</v>
      </c>
    </row>
    <row r="193" spans="2:30" x14ac:dyDescent="0.25">
      <c r="B193" s="7"/>
      <c r="C193" s="2640"/>
      <c r="D193" s="2471"/>
      <c r="E193" s="5"/>
      <c r="F193" s="10"/>
      <c r="G193" s="2477" t="s">
        <v>22</v>
      </c>
      <c r="H193" s="123">
        <f t="shared" si="8"/>
        <v>929.61052891423799</v>
      </c>
      <c r="I193" s="420">
        <f t="shared" si="8"/>
        <v>544.2550279016898</v>
      </c>
      <c r="J193" s="421">
        <f t="shared" si="8"/>
        <v>180.6668446365305</v>
      </c>
      <c r="K193" s="2081"/>
      <c r="L193" s="7"/>
      <c r="M193" s="7"/>
      <c r="O193" s="208"/>
      <c r="P193" s="1051"/>
      <c r="Q193" s="1051"/>
      <c r="R193" s="1051"/>
      <c r="S193" s="1051"/>
      <c r="T193" s="1051"/>
      <c r="U193" s="5"/>
      <c r="V193" s="2505" t="s">
        <v>1127</v>
      </c>
      <c r="W193" s="408">
        <v>128000</v>
      </c>
      <c r="X193" s="409">
        <v>306000</v>
      </c>
      <c r="Y193" s="410">
        <v>739000</v>
      </c>
    </row>
    <row r="194" spans="2:30" x14ac:dyDescent="0.25">
      <c r="B194" s="7"/>
      <c r="C194" s="2640"/>
      <c r="D194" s="2471"/>
      <c r="F194" s="10"/>
      <c r="G194" s="2477" t="s">
        <v>20</v>
      </c>
      <c r="H194" s="123">
        <f t="shared" si="8"/>
        <v>361.06473596104576</v>
      </c>
      <c r="I194" s="420">
        <f t="shared" si="8"/>
        <v>345.38585695762492</v>
      </c>
      <c r="J194" s="421">
        <f t="shared" si="8"/>
        <v>0</v>
      </c>
      <c r="L194" s="7"/>
      <c r="M194" s="7"/>
      <c r="N194" s="7"/>
      <c r="O194" s="208"/>
      <c r="P194" s="1051"/>
      <c r="Q194" s="1051"/>
      <c r="R194" s="1051"/>
      <c r="S194" s="1051"/>
      <c r="T194" s="1051"/>
      <c r="U194" s="5"/>
      <c r="V194" s="2505" t="s">
        <v>492</v>
      </c>
      <c r="W194" s="408">
        <v>0</v>
      </c>
      <c r="X194" s="409">
        <v>5000</v>
      </c>
      <c r="Y194" s="410">
        <v>18500</v>
      </c>
    </row>
    <row r="195" spans="2:30" x14ac:dyDescent="0.25">
      <c r="B195" s="7"/>
      <c r="C195" s="2640"/>
      <c r="D195" s="2471"/>
      <c r="F195" s="10"/>
      <c r="G195" s="2477" t="s">
        <v>30</v>
      </c>
      <c r="H195" s="123">
        <f t="shared" si="8"/>
        <v>136.88980082010585</v>
      </c>
      <c r="I195" s="420">
        <f t="shared" si="8"/>
        <v>47.433459500792843</v>
      </c>
      <c r="J195" s="421">
        <f t="shared" si="8"/>
        <v>7.5037347612616498</v>
      </c>
      <c r="K195" s="2081"/>
      <c r="L195" s="7"/>
      <c r="M195" s="7"/>
      <c r="N195" s="7"/>
      <c r="O195" s="208"/>
      <c r="P195" s="1051"/>
      <c r="Q195" s="1051"/>
      <c r="R195" s="1051"/>
      <c r="S195" s="1051"/>
      <c r="T195" s="1051"/>
      <c r="U195" s="5"/>
      <c r="V195" s="2505" t="s">
        <v>1128</v>
      </c>
      <c r="W195" s="408">
        <v>0</v>
      </c>
      <c r="X195" s="409">
        <v>0</v>
      </c>
      <c r="Y195" s="410">
        <v>0</v>
      </c>
    </row>
    <row r="196" spans="2:30" x14ac:dyDescent="0.25">
      <c r="B196" s="7"/>
      <c r="C196" s="2640"/>
      <c r="D196" s="2471"/>
      <c r="F196" s="10"/>
      <c r="G196" s="2477" t="s">
        <v>27</v>
      </c>
      <c r="H196" s="422">
        <f t="shared" si="8"/>
        <v>16.216910201685014</v>
      </c>
      <c r="I196" s="423">
        <f t="shared" si="8"/>
        <v>13.351640452075022</v>
      </c>
      <c r="J196" s="424">
        <f t="shared" si="8"/>
        <v>0</v>
      </c>
      <c r="L196" s="7"/>
      <c r="M196" s="7"/>
      <c r="N196" s="7"/>
      <c r="O196" s="208"/>
      <c r="P196" s="1051"/>
      <c r="Q196" s="1051"/>
      <c r="R196" s="1051"/>
      <c r="S196" s="1051"/>
      <c r="T196" s="1051"/>
      <c r="U196" s="5"/>
      <c r="V196" s="2505" t="s">
        <v>26</v>
      </c>
      <c r="W196" s="408">
        <v>17000</v>
      </c>
      <c r="X196" s="409">
        <v>19000</v>
      </c>
      <c r="Y196" s="410">
        <v>0</v>
      </c>
    </row>
    <row r="197" spans="2:30" x14ac:dyDescent="0.25">
      <c r="B197" s="7"/>
      <c r="C197" s="2641"/>
      <c r="D197" s="2475"/>
      <c r="E197" s="2454"/>
      <c r="F197" s="2454"/>
      <c r="G197" s="2478" t="s">
        <v>1422</v>
      </c>
      <c r="H197" s="2520">
        <f>SUM(H191:H196)</f>
        <v>2298.9855050624051</v>
      </c>
      <c r="I197" s="2521">
        <f>SUM(I191:I196)</f>
        <v>1943.7177626547116</v>
      </c>
      <c r="J197" s="2522">
        <f>SUM(J191:J196)</f>
        <v>4404.1150944943365</v>
      </c>
      <c r="K197" s="2081"/>
      <c r="L197" s="7"/>
      <c r="M197" s="7"/>
      <c r="N197" s="7"/>
      <c r="O197" s="208"/>
      <c r="P197" s="1051"/>
      <c r="Q197" s="1051"/>
      <c r="R197" s="1051"/>
      <c r="S197" s="1051"/>
      <c r="T197" s="1051"/>
      <c r="U197" s="5"/>
      <c r="V197" s="2505" t="s">
        <v>1129</v>
      </c>
      <c r="W197" s="408">
        <v>31000</v>
      </c>
      <c r="X197" s="409">
        <v>11000</v>
      </c>
      <c r="Y197" s="410">
        <v>0</v>
      </c>
      <c r="Z197" s="156" t="s">
        <v>1410</v>
      </c>
      <c r="AB197" s="2468">
        <v>0.5</v>
      </c>
      <c r="AC197" s="156" t="s">
        <v>1395</v>
      </c>
      <c r="AD197" s="2468">
        <v>0.5</v>
      </c>
    </row>
    <row r="198" spans="2:30" x14ac:dyDescent="0.25">
      <c r="B198" s="7"/>
      <c r="C198" s="2639" t="s">
        <v>1402</v>
      </c>
      <c r="D198" s="2476" t="s">
        <v>1393</v>
      </c>
      <c r="F198" s="5"/>
      <c r="G198" s="568" t="s">
        <v>1392</v>
      </c>
      <c r="H198" s="417">
        <f>AVERAGE(H190,W209/1000)</f>
        <v>2375.4793422039711</v>
      </c>
      <c r="I198" s="418">
        <f>AVERAGE(I190,X209/1000)</f>
        <v>2643.2534158642593</v>
      </c>
      <c r="J198" s="419">
        <f>AVERAGE(J190,Y209/1000)</f>
        <v>4110.7119679796706</v>
      </c>
      <c r="L198" s="7"/>
      <c r="M198" s="7"/>
      <c r="N198" s="7"/>
      <c r="O198" s="208"/>
      <c r="P198" s="1051"/>
      <c r="Q198" s="1051"/>
      <c r="R198" s="1051"/>
      <c r="S198" s="1051"/>
      <c r="T198" s="1051"/>
      <c r="U198" s="5"/>
      <c r="V198" s="2505" t="s">
        <v>1130</v>
      </c>
      <c r="W198" s="408">
        <v>0</v>
      </c>
      <c r="X198" s="409">
        <v>0</v>
      </c>
      <c r="Y198" s="410">
        <v>0</v>
      </c>
    </row>
    <row r="199" spans="2:30" s="2081" customFormat="1" x14ac:dyDescent="0.25">
      <c r="C199" s="2640"/>
      <c r="D199" s="2473"/>
      <c r="E199" s="2474"/>
      <c r="F199" s="2069"/>
      <c r="G199" s="2463" t="s">
        <v>25</v>
      </c>
      <c r="H199" s="123">
        <f>W216*H$198</f>
        <v>454.47740471261795</v>
      </c>
      <c r="I199" s="420">
        <f t="shared" ref="H199:J204" si="9">X216*I$198</f>
        <v>374.36536560915698</v>
      </c>
      <c r="J199" s="421">
        <f t="shared" si="9"/>
        <v>3651.9319579300663</v>
      </c>
      <c r="N199" s="7"/>
      <c r="O199" s="208"/>
      <c r="P199" s="1051"/>
      <c r="Q199" s="1051"/>
      <c r="R199" s="1051"/>
      <c r="S199" s="1051"/>
      <c r="T199" s="1051"/>
      <c r="U199" s="5"/>
      <c r="V199" s="2451" t="s">
        <v>1394</v>
      </c>
      <c r="W199" s="408">
        <v>186500</v>
      </c>
      <c r="X199" s="409">
        <v>18500</v>
      </c>
      <c r="Y199" s="410">
        <v>0</v>
      </c>
      <c r="Z199" s="156" t="s">
        <v>1411</v>
      </c>
    </row>
    <row r="200" spans="2:30" x14ac:dyDescent="0.25">
      <c r="B200" s="7"/>
      <c r="C200" s="2640"/>
      <c r="D200" s="2471"/>
      <c r="E200" s="5"/>
      <c r="F200" s="10"/>
      <c r="G200" s="2463" t="s">
        <v>28</v>
      </c>
      <c r="H200" s="123">
        <f t="shared" si="9"/>
        <v>413.33727755545868</v>
      </c>
      <c r="I200" s="420">
        <f t="shared" si="9"/>
        <v>667.29889480136148</v>
      </c>
      <c r="J200" s="421">
        <f t="shared" si="9"/>
        <v>281.08352728391247</v>
      </c>
      <c r="L200" s="7"/>
      <c r="M200" s="7"/>
      <c r="N200" s="7"/>
      <c r="O200" s="446"/>
      <c r="P200" s="2506"/>
      <c r="Q200" s="2506"/>
      <c r="R200" s="2506"/>
      <c r="S200" s="2506"/>
      <c r="T200" s="2506"/>
      <c r="U200" s="1497"/>
      <c r="V200" s="2507" t="s">
        <v>1131</v>
      </c>
      <c r="W200" s="411">
        <v>0</v>
      </c>
      <c r="X200" s="412">
        <v>0</v>
      </c>
      <c r="Y200" s="413">
        <v>0</v>
      </c>
      <c r="Z200" s="156" t="s">
        <v>1133</v>
      </c>
    </row>
    <row r="201" spans="2:30" x14ac:dyDescent="0.25">
      <c r="B201" s="7"/>
      <c r="C201" s="2640"/>
      <c r="D201" s="2471"/>
      <c r="E201" s="5"/>
      <c r="F201" s="10"/>
      <c r="G201" s="2463" t="s">
        <v>22</v>
      </c>
      <c r="H201" s="123">
        <f t="shared" si="9"/>
        <v>943.31891563886302</v>
      </c>
      <c r="I201" s="420">
        <f t="shared" si="9"/>
        <v>570.75979461474822</v>
      </c>
      <c r="J201" s="421">
        <f t="shared" si="9"/>
        <v>168.54242153230771</v>
      </c>
      <c r="L201" s="7"/>
      <c r="M201" s="7"/>
      <c r="N201" s="7"/>
      <c r="Y201" s="18"/>
    </row>
    <row r="202" spans="2:30" x14ac:dyDescent="0.25">
      <c r="B202" s="7"/>
      <c r="C202" s="2640"/>
      <c r="D202" s="2471"/>
      <c r="E202" s="5"/>
      <c r="F202" s="10"/>
      <c r="G202" s="2463" t="s">
        <v>20</v>
      </c>
      <c r="H202" s="123">
        <f>W219*H$198</f>
        <v>366.3891324467005</v>
      </c>
      <c r="I202" s="420">
        <f t="shared" si="9"/>
        <v>362.20586062382017</v>
      </c>
      <c r="J202" s="421">
        <f t="shared" si="9"/>
        <v>0</v>
      </c>
      <c r="L202" s="7"/>
      <c r="M202" s="7"/>
      <c r="N202" s="7"/>
      <c r="S202" s="15" t="s">
        <v>1132</v>
      </c>
      <c r="W202" s="180" t="s">
        <v>16</v>
      </c>
      <c r="X202" s="180" t="s">
        <v>17</v>
      </c>
      <c r="Y202" s="180" t="s">
        <v>18</v>
      </c>
    </row>
    <row r="203" spans="2:30" x14ac:dyDescent="0.25">
      <c r="B203" s="7"/>
      <c r="C203" s="2640"/>
      <c r="D203" s="2471"/>
      <c r="E203" s="5"/>
      <c r="F203" s="10"/>
      <c r="G203" s="2463" t="s">
        <v>30</v>
      </c>
      <c r="H203" s="123">
        <f t="shared" si="9"/>
        <v>138.90842934240825</v>
      </c>
      <c r="I203" s="420">
        <f t="shared" si="9"/>
        <v>49.743429485468688</v>
      </c>
      <c r="J203" s="421">
        <f t="shared" si="9"/>
        <v>7.0001644725878593</v>
      </c>
      <c r="L203" s="7"/>
      <c r="M203" s="7"/>
      <c r="N203" s="7"/>
      <c r="V203" s="2080" t="s">
        <v>25</v>
      </c>
      <c r="W203" s="417">
        <f>SUM(W191:W194,W199)</f>
        <v>469500</v>
      </c>
      <c r="X203" s="418">
        <f t="shared" ref="X203:Y203" si="10">SUM(X191:X194,X199)</f>
        <v>508000</v>
      </c>
      <c r="Y203" s="419">
        <f t="shared" si="10"/>
        <v>3391000</v>
      </c>
    </row>
    <row r="204" spans="2:30" x14ac:dyDescent="0.25">
      <c r="B204" s="7"/>
      <c r="C204" s="2641"/>
      <c r="D204" s="2475"/>
      <c r="E204" s="1497"/>
      <c r="F204" s="2454"/>
      <c r="G204" s="2464" t="s">
        <v>27</v>
      </c>
      <c r="H204" s="422">
        <f t="shared" si="9"/>
        <v>16.456050862863695</v>
      </c>
      <c r="I204" s="423">
        <f t="shared" si="9"/>
        <v>14.001854225539335</v>
      </c>
      <c r="J204" s="424">
        <f t="shared" si="9"/>
        <v>0</v>
      </c>
      <c r="L204" s="7"/>
      <c r="M204" s="7"/>
      <c r="N204" s="7"/>
      <c r="V204" s="2080" t="s">
        <v>28</v>
      </c>
      <c r="W204" s="123">
        <f>SUM(W185:W186)+W197*AB197</f>
        <v>427000</v>
      </c>
      <c r="X204" s="420">
        <f>SUM(X185:X186)+X197*AB197</f>
        <v>905500</v>
      </c>
      <c r="Y204" s="421">
        <f>SUM(Y185:Y186)+Y197*AD197</f>
        <v>261000</v>
      </c>
    </row>
    <row r="205" spans="2:30" x14ac:dyDescent="0.25">
      <c r="B205" s="7"/>
      <c r="C205" s="1559" t="s">
        <v>1433</v>
      </c>
      <c r="D205" s="7"/>
      <c r="F205" s="2082"/>
      <c r="G205" s="1559" t="s">
        <v>958</v>
      </c>
      <c r="H205" s="2554">
        <f>W$188/W$205*H193</f>
        <v>89.193006109267571</v>
      </c>
      <c r="I205" s="2554">
        <f t="shared" ref="I205:J205" si="11">X$188/X$205*I193</f>
        <v>43.568510948876394</v>
      </c>
      <c r="J205" s="2554">
        <f t="shared" si="11"/>
        <v>0</v>
      </c>
      <c r="L205" s="7"/>
      <c r="M205" s="7"/>
      <c r="N205" s="7"/>
      <c r="V205" s="2080" t="s">
        <v>22</v>
      </c>
      <c r="W205" s="123">
        <f>SUM(W187:W190)</f>
        <v>974500</v>
      </c>
      <c r="X205" s="420">
        <f>SUM(X187:X190)</f>
        <v>774500</v>
      </c>
      <c r="Y205" s="421">
        <f>SUM(Y187:Y190)</f>
        <v>156500</v>
      </c>
    </row>
    <row r="206" spans="2:30" x14ac:dyDescent="0.25">
      <c r="B206" s="7"/>
      <c r="C206" s="7"/>
      <c r="D206" s="7"/>
      <c r="G206" s="1559"/>
      <c r="H206" s="2554"/>
      <c r="I206" s="2554"/>
      <c r="J206" s="2554"/>
      <c r="L206" s="7"/>
      <c r="M206" s="7"/>
      <c r="N206" s="7"/>
      <c r="V206" s="2080" t="s">
        <v>20</v>
      </c>
      <c r="W206" s="123">
        <f>SUM(W182)</f>
        <v>378500</v>
      </c>
      <c r="X206" s="420">
        <f t="shared" ref="X206:Y206" si="12">SUM(X182)</f>
        <v>491500</v>
      </c>
      <c r="Y206" s="421">
        <f t="shared" si="12"/>
        <v>0</v>
      </c>
    </row>
    <row r="207" spans="2:30" x14ac:dyDescent="0.25">
      <c r="B207" s="7"/>
      <c r="C207" s="7"/>
      <c r="D207" s="7"/>
      <c r="E207" s="7"/>
      <c r="L207" s="2447">
        <f>'Trends and nat. data'!Z87</f>
        <v>0</v>
      </c>
      <c r="M207" s="2447"/>
      <c r="N207" s="7"/>
      <c r="V207" s="2080" t="s">
        <v>30</v>
      </c>
      <c r="W207" s="123">
        <f>W184</f>
        <v>143500</v>
      </c>
      <c r="X207" s="420">
        <f t="shared" ref="X207:Y207" si="13">X184</f>
        <v>67500</v>
      </c>
      <c r="Y207" s="421">
        <f t="shared" si="13"/>
        <v>6500</v>
      </c>
    </row>
    <row r="208" spans="2:30" x14ac:dyDescent="0.25">
      <c r="B208" s="7"/>
      <c r="C208" s="7"/>
      <c r="D208" s="7"/>
      <c r="E208" s="7"/>
      <c r="L208" s="7"/>
      <c r="M208" s="7"/>
      <c r="N208" s="2081"/>
      <c r="O208" s="2081"/>
      <c r="P208" s="2081"/>
      <c r="Q208" s="2081"/>
      <c r="R208" s="2081"/>
      <c r="S208" s="2081"/>
      <c r="T208" s="2081"/>
      <c r="V208" s="2080" t="s">
        <v>27</v>
      </c>
      <c r="W208" s="422">
        <f>SUM(W195:W196)</f>
        <v>17000</v>
      </c>
      <c r="X208" s="423">
        <f t="shared" ref="X208:Y208" si="14">SUM(X195:X196)</f>
        <v>19000</v>
      </c>
      <c r="Y208" s="424">
        <f t="shared" si="14"/>
        <v>0</v>
      </c>
    </row>
    <row r="209" spans="2:26" x14ac:dyDescent="0.25">
      <c r="B209" s="7"/>
      <c r="C209" s="7"/>
      <c r="D209" s="7"/>
      <c r="E209" s="7"/>
      <c r="L209" s="7"/>
      <c r="M209" s="7"/>
      <c r="N209" s="7"/>
      <c r="U209" s="2081"/>
      <c r="V209" s="2465" t="s">
        <v>88</v>
      </c>
      <c r="W209" s="2467">
        <f>SUM(W203:W208)</f>
        <v>2410000</v>
      </c>
      <c r="X209" s="2467">
        <f t="shared" ref="X209:Y209" si="15">SUM(X203:X208)</f>
        <v>2766000</v>
      </c>
      <c r="Y209" s="2467">
        <f t="shared" si="15"/>
        <v>3815000</v>
      </c>
      <c r="Z209" s="2081"/>
    </row>
    <row r="210" spans="2:26" x14ac:dyDescent="0.25">
      <c r="B210" s="7"/>
      <c r="C210" s="7"/>
      <c r="D210" s="7"/>
      <c r="E210" s="7"/>
      <c r="L210" s="7"/>
      <c r="M210" s="7"/>
      <c r="N210" s="7"/>
    </row>
    <row r="211" spans="2:26" x14ac:dyDescent="0.25">
      <c r="B211" s="7"/>
      <c r="C211" s="7"/>
      <c r="D211" s="7"/>
      <c r="E211" s="7"/>
      <c r="L211" s="7"/>
      <c r="M211" s="7"/>
      <c r="N211" s="7"/>
      <c r="V211" s="15" t="s">
        <v>1420</v>
      </c>
    </row>
    <row r="212" spans="2:26" x14ac:dyDescent="0.25">
      <c r="B212" s="7"/>
      <c r="C212" s="7"/>
      <c r="D212" s="7"/>
      <c r="E212" s="7"/>
      <c r="L212" s="7"/>
      <c r="M212" s="7"/>
      <c r="N212" s="7"/>
      <c r="V212" s="1559" t="s">
        <v>597</v>
      </c>
      <c r="W212" s="417">
        <f>W183</f>
        <v>44000</v>
      </c>
      <c r="X212" s="418">
        <f t="shared" ref="X212:Y212" si="16">X183</f>
        <v>39000</v>
      </c>
      <c r="Y212" s="419">
        <f t="shared" si="16"/>
        <v>2000</v>
      </c>
    </row>
    <row r="213" spans="2:26" x14ac:dyDescent="0.25">
      <c r="B213" s="7"/>
      <c r="C213" s="7"/>
      <c r="D213" s="7"/>
      <c r="E213" s="7"/>
      <c r="L213" s="7"/>
      <c r="M213" s="7"/>
      <c r="N213" s="7"/>
      <c r="V213" s="1559" t="s">
        <v>1421</v>
      </c>
      <c r="W213" s="422">
        <f>SUM(NSW.!I58:I59)</f>
        <v>0</v>
      </c>
      <c r="X213" s="423">
        <f>SUM(NSW.!J58:J59)</f>
        <v>781797.44071442343</v>
      </c>
      <c r="Y213" s="424">
        <f>SUM(NSW.!K58:K59)</f>
        <v>0</v>
      </c>
    </row>
    <row r="214" spans="2:26" x14ac:dyDescent="0.25">
      <c r="B214" s="7"/>
      <c r="C214" s="7"/>
      <c r="D214" s="7"/>
      <c r="E214" s="7"/>
      <c r="L214" s="7"/>
      <c r="M214" s="7"/>
      <c r="N214" s="7"/>
    </row>
    <row r="215" spans="2:26" x14ac:dyDescent="0.25">
      <c r="B215" s="7"/>
      <c r="C215" s="7"/>
      <c r="D215" s="7"/>
      <c r="E215" s="7"/>
      <c r="L215" s="7"/>
      <c r="M215" s="7"/>
      <c r="N215" s="7"/>
      <c r="V215" s="15" t="s">
        <v>1389</v>
      </c>
    </row>
    <row r="216" spans="2:26" x14ac:dyDescent="0.25">
      <c r="B216" s="7"/>
      <c r="C216" s="7"/>
      <c r="D216" s="7"/>
      <c r="E216" s="7"/>
      <c r="L216" s="7"/>
      <c r="M216" s="7"/>
      <c r="N216" s="7"/>
      <c r="V216" s="2080" t="s">
        <v>25</v>
      </c>
      <c r="W216" s="2508">
        <f>W203/SUM(W$203:W$208,W$212:W$213)</f>
        <v>0.19132029339853301</v>
      </c>
      <c r="X216" s="2509">
        <f t="shared" ref="X216:Y216" si="17">X203/SUM(X$203:X$208,X$212:X$213)</f>
        <v>0.14163052371834409</v>
      </c>
      <c r="Y216" s="2510">
        <f t="shared" si="17"/>
        <v>0.88839402672255696</v>
      </c>
    </row>
    <row r="217" spans="2:26" x14ac:dyDescent="0.25">
      <c r="B217" s="7"/>
      <c r="C217" s="7"/>
      <c r="D217" s="7"/>
      <c r="E217" s="7"/>
      <c r="L217" s="7"/>
      <c r="M217" s="7"/>
      <c r="N217" s="7"/>
      <c r="V217" s="2080" t="s">
        <v>28</v>
      </c>
      <c r="W217" s="2511">
        <f t="shared" ref="W217:Y221" si="18">W204/SUM(W$203:W$208,W$212:W$213)</f>
        <v>0.17400162999185004</v>
      </c>
      <c r="X217" s="2462">
        <f t="shared" si="18"/>
        <v>0.2524536205255129</v>
      </c>
      <c r="Y217" s="2512">
        <f t="shared" si="18"/>
        <v>6.8378307571391142E-2</v>
      </c>
    </row>
    <row r="218" spans="2:26" x14ac:dyDescent="0.25">
      <c r="B218" s="7"/>
      <c r="C218" s="7"/>
      <c r="D218" s="7"/>
      <c r="E218" s="7"/>
      <c r="L218" s="7"/>
      <c r="M218" s="7"/>
      <c r="N218" s="7"/>
      <c r="V218" s="2080" t="s">
        <v>22</v>
      </c>
      <c r="W218" s="2511">
        <f t="shared" si="18"/>
        <v>0.39710676446617765</v>
      </c>
      <c r="X218" s="2462">
        <f t="shared" si="18"/>
        <v>0.21593078862176671</v>
      </c>
      <c r="Y218" s="2512">
        <f t="shared" si="18"/>
        <v>4.1000785957558294E-2</v>
      </c>
    </row>
    <row r="219" spans="2:26" x14ac:dyDescent="0.25">
      <c r="B219" s="7"/>
      <c r="C219" s="7"/>
      <c r="D219" s="7"/>
      <c r="E219" s="7"/>
      <c r="L219" s="7"/>
      <c r="M219" s="7"/>
      <c r="N219" s="7"/>
      <c r="V219" s="2080" t="s">
        <v>20</v>
      </c>
      <c r="W219" s="2511">
        <f t="shared" si="18"/>
        <v>0.15423797881010595</v>
      </c>
      <c r="X219" s="2462">
        <f t="shared" si="18"/>
        <v>0.13703031969993329</v>
      </c>
      <c r="Y219" s="2512">
        <f t="shared" si="18"/>
        <v>0</v>
      </c>
    </row>
    <row r="220" spans="2:26" x14ac:dyDescent="0.25">
      <c r="B220" s="7"/>
      <c r="C220" s="7"/>
      <c r="D220" s="7"/>
      <c r="E220" s="7"/>
      <c r="L220" s="7"/>
      <c r="M220" s="7"/>
      <c r="N220" s="7"/>
      <c r="V220" s="2080" t="s">
        <v>30</v>
      </c>
      <c r="W220" s="2511">
        <f t="shared" si="18"/>
        <v>5.8475957620211898E-2</v>
      </c>
      <c r="X220" s="2462">
        <f t="shared" si="18"/>
        <v>1.8819016438953198E-2</v>
      </c>
      <c r="Y220" s="2512">
        <f t="shared" si="18"/>
        <v>1.7029080429656798E-3</v>
      </c>
    </row>
    <row r="221" spans="2:26" x14ac:dyDescent="0.25">
      <c r="B221" s="7"/>
      <c r="C221" s="7"/>
      <c r="D221" s="7"/>
      <c r="E221" s="7"/>
      <c r="L221" s="7"/>
      <c r="M221" s="7"/>
      <c r="N221" s="7"/>
      <c r="V221" s="2080" t="s">
        <v>27</v>
      </c>
      <c r="W221" s="2513">
        <f t="shared" si="18"/>
        <v>6.9274653626731865E-3</v>
      </c>
      <c r="X221" s="2514">
        <f t="shared" si="18"/>
        <v>5.2972046272609001E-3</v>
      </c>
      <c r="Y221" s="2515">
        <f t="shared" si="18"/>
        <v>0</v>
      </c>
    </row>
    <row r="222" spans="2:26" x14ac:dyDescent="0.25">
      <c r="B222" s="7"/>
      <c r="C222" s="7"/>
      <c r="D222" s="7"/>
      <c r="E222" s="7"/>
      <c r="L222" s="7"/>
      <c r="M222" s="7"/>
      <c r="N222" s="7"/>
      <c r="V222" s="2082" t="s">
        <v>88</v>
      </c>
      <c r="W222" s="2519">
        <f>SUM(W216:W221)</f>
        <v>0.98207008964955167</v>
      </c>
      <c r="X222" s="2519">
        <f>SUM(X216:X221)</f>
        <v>0.77116147363177112</v>
      </c>
      <c r="Y222" s="2519">
        <f>SUM(Y216:Y221)</f>
        <v>0.99947602829447213</v>
      </c>
    </row>
    <row r="223" spans="2:26" x14ac:dyDescent="0.25">
      <c r="B223" s="7"/>
      <c r="C223" s="7"/>
      <c r="D223" s="7"/>
      <c r="E223" s="7"/>
      <c r="L223" s="7"/>
      <c r="M223" s="7"/>
      <c r="N223" s="7"/>
    </row>
    <row r="224" spans="2:26" x14ac:dyDescent="0.25">
      <c r="B224" s="7"/>
      <c r="C224" s="7"/>
      <c r="D224" s="7"/>
      <c r="E224" s="7"/>
      <c r="L224" s="7"/>
      <c r="M224" s="7"/>
      <c r="N224" s="7"/>
    </row>
    <row r="225" spans="2:14" x14ac:dyDescent="0.25">
      <c r="B225" s="7"/>
      <c r="C225" s="7"/>
      <c r="D225" s="7"/>
      <c r="E225" s="7"/>
      <c r="L225" s="7"/>
      <c r="M225" s="7"/>
      <c r="N225" s="7"/>
    </row>
    <row r="226" spans="2:14" x14ac:dyDescent="0.25">
      <c r="B226" s="7"/>
      <c r="C226" s="7"/>
      <c r="D226" s="7"/>
      <c r="E226" s="7"/>
      <c r="L226" s="7"/>
      <c r="M226" s="7"/>
      <c r="N226" s="7"/>
    </row>
    <row r="227" spans="2:14" x14ac:dyDescent="0.25">
      <c r="B227" s="7"/>
      <c r="C227" s="7"/>
      <c r="D227" s="7"/>
      <c r="E227" s="7"/>
      <c r="L227" s="7"/>
      <c r="M227" s="7"/>
      <c r="N227" s="7"/>
    </row>
    <row r="228" spans="2:14" x14ac:dyDescent="0.25">
      <c r="B228" s="7"/>
      <c r="C228" s="7"/>
      <c r="D228" s="7"/>
      <c r="E228" s="7"/>
      <c r="L228" s="7"/>
      <c r="M228" s="7"/>
      <c r="N228" s="7"/>
    </row>
    <row r="229" spans="2:14" x14ac:dyDescent="0.25">
      <c r="B229" s="7"/>
      <c r="C229" s="7"/>
      <c r="D229" s="7"/>
      <c r="E229" s="7"/>
      <c r="L229" s="7"/>
      <c r="M229" s="7"/>
      <c r="N229" s="7"/>
    </row>
    <row r="230" spans="2:14" x14ac:dyDescent="0.25">
      <c r="B230" s="7"/>
      <c r="C230" s="7"/>
      <c r="D230" s="7"/>
      <c r="E230" s="7"/>
      <c r="L230" s="7"/>
      <c r="M230" s="7"/>
      <c r="N230" s="7"/>
    </row>
    <row r="231" spans="2:14" x14ac:dyDescent="0.25">
      <c r="B231" s="7"/>
      <c r="C231" s="7"/>
      <c r="D231" s="7"/>
      <c r="E231" s="7"/>
      <c r="L231" s="7"/>
      <c r="M231" s="7"/>
      <c r="N231" s="7"/>
    </row>
    <row r="232" spans="2:14" x14ac:dyDescent="0.25">
      <c r="B232" s="7"/>
      <c r="C232" s="7"/>
      <c r="D232" s="7"/>
      <c r="E232" s="7"/>
      <c r="L232" s="7"/>
      <c r="M232" s="7"/>
      <c r="N232" s="7"/>
    </row>
    <row r="233" spans="2:14" x14ac:dyDescent="0.25">
      <c r="B233" s="7"/>
      <c r="C233" s="7"/>
      <c r="D233" s="7"/>
      <c r="E233" s="7"/>
      <c r="L233" s="7"/>
      <c r="M233" s="7"/>
      <c r="N233" s="7"/>
    </row>
    <row r="234" spans="2:14" x14ac:dyDescent="0.25">
      <c r="B234" s="7"/>
      <c r="C234" s="7"/>
      <c r="D234" s="7"/>
      <c r="E234" s="7"/>
      <c r="L234" s="7"/>
      <c r="M234" s="7"/>
      <c r="N234" s="7"/>
    </row>
    <row r="235" spans="2:14" x14ac:dyDescent="0.25">
      <c r="B235" s="7"/>
      <c r="C235" s="7"/>
      <c r="D235" s="7"/>
      <c r="E235" s="7"/>
      <c r="L235" s="7"/>
      <c r="M235" s="7"/>
      <c r="N235" s="7"/>
    </row>
    <row r="236" spans="2:14" x14ac:dyDescent="0.25">
      <c r="B236" s="7"/>
      <c r="C236" s="7"/>
      <c r="D236" s="7"/>
      <c r="E236" s="7"/>
      <c r="L236" s="7"/>
      <c r="M236" s="7"/>
      <c r="N236" s="7"/>
    </row>
    <row r="237" spans="2:14" x14ac:dyDescent="0.25">
      <c r="B237" s="7"/>
      <c r="C237" s="7"/>
      <c r="D237" s="7"/>
      <c r="E237" s="7"/>
      <c r="L237" s="7"/>
      <c r="M237" s="7"/>
      <c r="N237" s="7"/>
    </row>
    <row r="238" spans="2:14" x14ac:dyDescent="0.25">
      <c r="B238" s="7"/>
      <c r="C238" s="7"/>
      <c r="D238" s="7"/>
      <c r="E238" s="7"/>
      <c r="L238" s="7"/>
      <c r="M238" s="7"/>
      <c r="N238" s="7"/>
    </row>
    <row r="239" spans="2:14" x14ac:dyDescent="0.25">
      <c r="B239" s="7"/>
      <c r="C239" s="7"/>
      <c r="D239" s="7"/>
      <c r="E239" s="7"/>
      <c r="L239" s="7"/>
      <c r="M239" s="7"/>
      <c r="N239" s="7"/>
    </row>
    <row r="240" spans="2:14" x14ac:dyDescent="0.25">
      <c r="B240" s="7"/>
      <c r="C240" s="7"/>
      <c r="D240" s="7"/>
      <c r="E240" s="7"/>
      <c r="L240" s="7"/>
      <c r="M240" s="7"/>
      <c r="N240" s="7"/>
    </row>
    <row r="241" spans="2:14" x14ac:dyDescent="0.25">
      <c r="B241" s="7"/>
      <c r="C241" s="7"/>
      <c r="D241" s="7"/>
      <c r="E241" s="7"/>
      <c r="L241" s="7"/>
      <c r="M241" s="7"/>
      <c r="N241" s="7"/>
    </row>
    <row r="242" spans="2:14" x14ac:dyDescent="0.25">
      <c r="B242" s="7"/>
      <c r="C242" s="7"/>
      <c r="D242" s="7"/>
      <c r="E242" s="7"/>
      <c r="L242" s="7"/>
      <c r="M242" s="7"/>
      <c r="N242" s="7"/>
    </row>
    <row r="243" spans="2:14" x14ac:dyDescent="0.25">
      <c r="B243" s="7"/>
      <c r="C243" s="7"/>
      <c r="D243" s="7"/>
      <c r="E243" s="7"/>
      <c r="L243" s="7"/>
      <c r="M243" s="7"/>
      <c r="N243" s="7"/>
    </row>
    <row r="244" spans="2:14" x14ac:dyDescent="0.25">
      <c r="B244" s="7"/>
      <c r="C244" s="7"/>
      <c r="D244" s="7"/>
      <c r="E244" s="7"/>
      <c r="L244" s="7"/>
      <c r="M244" s="7"/>
      <c r="N244" s="7"/>
    </row>
    <row r="245" spans="2:14" x14ac:dyDescent="0.25">
      <c r="B245" s="7"/>
      <c r="C245" s="7"/>
      <c r="D245" s="7"/>
      <c r="E245" s="7"/>
      <c r="L245" s="7"/>
      <c r="M245" s="7"/>
      <c r="N245" s="7"/>
    </row>
    <row r="246" spans="2:14" x14ac:dyDescent="0.25">
      <c r="B246" s="7"/>
      <c r="C246" s="7"/>
      <c r="D246" s="7"/>
      <c r="E246" s="7"/>
      <c r="L246" s="7"/>
      <c r="M246" s="7"/>
      <c r="N246" s="7"/>
    </row>
    <row r="247" spans="2:14" x14ac:dyDescent="0.25">
      <c r="B247" s="7"/>
      <c r="C247" s="7"/>
      <c r="D247" s="7"/>
      <c r="E247" s="7"/>
      <c r="L247" s="7"/>
      <c r="M247" s="7"/>
      <c r="N247" s="7"/>
    </row>
    <row r="248" spans="2:14" x14ac:dyDescent="0.25">
      <c r="B248" s="7"/>
      <c r="C248" s="7"/>
      <c r="D248" s="7"/>
      <c r="E248" s="7"/>
      <c r="L248" s="7"/>
      <c r="M248" s="7"/>
      <c r="N248" s="7"/>
    </row>
    <row r="249" spans="2:14" x14ac:dyDescent="0.25">
      <c r="B249" s="7"/>
      <c r="C249" s="7"/>
      <c r="D249" s="7"/>
      <c r="E249" s="7"/>
      <c r="L249" s="7"/>
      <c r="M249" s="7"/>
      <c r="N249" s="7"/>
    </row>
    <row r="250" spans="2:14" x14ac:dyDescent="0.25">
      <c r="B250" s="7"/>
      <c r="C250" s="7"/>
      <c r="D250" s="7"/>
      <c r="E250" s="7"/>
      <c r="L250" s="7"/>
      <c r="M250" s="7"/>
      <c r="N250" s="7"/>
    </row>
    <row r="251" spans="2:14" x14ac:dyDescent="0.25">
      <c r="B251" s="7"/>
      <c r="C251" s="7"/>
      <c r="D251" s="7"/>
      <c r="E251" s="7"/>
      <c r="L251" s="7"/>
      <c r="M251" s="7"/>
      <c r="N251" s="7"/>
    </row>
    <row r="252" spans="2:14" x14ac:dyDescent="0.25">
      <c r="B252" s="7"/>
      <c r="C252" s="7"/>
      <c r="D252" s="7"/>
      <c r="E252" s="7"/>
      <c r="L252" s="7"/>
      <c r="M252" s="7"/>
      <c r="N252" s="7"/>
    </row>
    <row r="253" spans="2:14" x14ac:dyDescent="0.25">
      <c r="B253" s="7"/>
      <c r="C253" s="7"/>
      <c r="D253" s="7"/>
      <c r="E253" s="7"/>
      <c r="L253" s="7"/>
      <c r="M253" s="7"/>
      <c r="N253" s="7"/>
    </row>
    <row r="254" spans="2:14" x14ac:dyDescent="0.25">
      <c r="B254" s="7"/>
      <c r="C254" s="7"/>
      <c r="D254" s="7"/>
      <c r="E254" s="7"/>
      <c r="L254" s="7"/>
      <c r="M254" s="7"/>
      <c r="N254" s="7"/>
    </row>
  </sheetData>
  <sheetProtection sheet="1" objects="1" scenarios="1"/>
  <mergeCells count="96">
    <mergeCell ref="B164:D164"/>
    <mergeCell ref="F164:N164"/>
    <mergeCell ref="B165:D165"/>
    <mergeCell ref="F165:N165"/>
    <mergeCell ref="F142:N142"/>
    <mergeCell ref="B142:D142"/>
    <mergeCell ref="B161:D161"/>
    <mergeCell ref="F161:N161"/>
    <mergeCell ref="B162:D162"/>
    <mergeCell ref="F162:N162"/>
    <mergeCell ref="B163:D163"/>
    <mergeCell ref="F163:N163"/>
    <mergeCell ref="B158:D158"/>
    <mergeCell ref="F158:N158"/>
    <mergeCell ref="B160:D160"/>
    <mergeCell ref="F160:N160"/>
    <mergeCell ref="B153:D153"/>
    <mergeCell ref="F153:N153"/>
    <mergeCell ref="B154:D154"/>
    <mergeCell ref="F154:N154"/>
    <mergeCell ref="B159:D159"/>
    <mergeCell ref="F159:N159"/>
    <mergeCell ref="B155:D155"/>
    <mergeCell ref="F155:N155"/>
    <mergeCell ref="B156:D156"/>
    <mergeCell ref="F156:N156"/>
    <mergeCell ref="B157:D157"/>
    <mergeCell ref="F157:N157"/>
    <mergeCell ref="B150:D150"/>
    <mergeCell ref="F150:N150"/>
    <mergeCell ref="B151:D151"/>
    <mergeCell ref="F151:N151"/>
    <mergeCell ref="B152:D152"/>
    <mergeCell ref="F152:N152"/>
    <mergeCell ref="B147:D147"/>
    <mergeCell ref="F147:N147"/>
    <mergeCell ref="B148:D148"/>
    <mergeCell ref="F148:N148"/>
    <mergeCell ref="B149:D149"/>
    <mergeCell ref="F149:N149"/>
    <mergeCell ref="B144:D144"/>
    <mergeCell ref="F144:N144"/>
    <mergeCell ref="B145:D145"/>
    <mergeCell ref="F145:N145"/>
    <mergeCell ref="B146:D146"/>
    <mergeCell ref="F146:N146"/>
    <mergeCell ref="B143:D143"/>
    <mergeCell ref="F143:N143"/>
    <mergeCell ref="N43:N44"/>
    <mergeCell ref="C89:C90"/>
    <mergeCell ref="C37:C40"/>
    <mergeCell ref="C78:C79"/>
    <mergeCell ref="C80:C81"/>
    <mergeCell ref="C76:C77"/>
    <mergeCell ref="N84:N85"/>
    <mergeCell ref="C92:C94"/>
    <mergeCell ref="C85:C88"/>
    <mergeCell ref="C95:C96"/>
    <mergeCell ref="C41:C42"/>
    <mergeCell ref="N112:N113"/>
    <mergeCell ref="C43:C45"/>
    <mergeCell ref="M61:M63"/>
    <mergeCell ref="N8:N10"/>
    <mergeCell ref="D10:I10"/>
    <mergeCell ref="D11:I11"/>
    <mergeCell ref="J11:M11"/>
    <mergeCell ref="D12:I12"/>
    <mergeCell ref="J12:M12"/>
    <mergeCell ref="N61:N63"/>
    <mergeCell ref="D13:I13"/>
    <mergeCell ref="J13:M13"/>
    <mergeCell ref="N37:N38"/>
    <mergeCell ref="N45:N46"/>
    <mergeCell ref="N41:N42"/>
    <mergeCell ref="N39:N40"/>
    <mergeCell ref="N20:N21"/>
    <mergeCell ref="C115:C116"/>
    <mergeCell ref="J4:K4"/>
    <mergeCell ref="C35:C36"/>
    <mergeCell ref="C19:C20"/>
    <mergeCell ref="D4:E4"/>
    <mergeCell ref="C29:C30"/>
    <mergeCell ref="C113:C114"/>
    <mergeCell ref="C21:C22"/>
    <mergeCell ref="G85:I107"/>
    <mergeCell ref="C189:C190"/>
    <mergeCell ref="C191:C197"/>
    <mergeCell ref="C198:C204"/>
    <mergeCell ref="L176:M176"/>
    <mergeCell ref="O182:T186"/>
    <mergeCell ref="D177:F181"/>
    <mergeCell ref="D182:F184"/>
    <mergeCell ref="D185:F185"/>
    <mergeCell ref="D187:F188"/>
    <mergeCell ref="C177:C185"/>
    <mergeCell ref="C186:C188"/>
  </mergeCells>
  <conditionalFormatting sqref="N8:N9">
    <cfRule type="expression" dxfId="318" priority="83">
      <formula>AND(ISNUMBER($D$9),$O$14&gt;0)</formula>
    </cfRule>
  </conditionalFormatting>
  <conditionalFormatting sqref="N11">
    <cfRule type="expression" dxfId="317" priority="82">
      <formula>AND(ISNUMBER($D$9),O11&gt;0)</formula>
    </cfRule>
  </conditionalFormatting>
  <conditionalFormatting sqref="J8:M10">
    <cfRule type="expression" dxfId="316" priority="81">
      <formula>$P$14&lt;0</formula>
    </cfRule>
  </conditionalFormatting>
  <conditionalFormatting sqref="J11:M13">
    <cfRule type="expression" dxfId="315" priority="80">
      <formula>P11&lt;0</formula>
    </cfRule>
  </conditionalFormatting>
  <conditionalFormatting sqref="B10:C10">
    <cfRule type="expression" dxfId="314" priority="79">
      <formula>$D$9&gt;0</formula>
    </cfRule>
  </conditionalFormatting>
  <conditionalFormatting sqref="B11:I13">
    <cfRule type="expression" dxfId="313" priority="78">
      <formula>$D$9=3</formula>
    </cfRule>
  </conditionalFormatting>
  <conditionalFormatting sqref="B11:I12">
    <cfRule type="expression" dxfId="312" priority="77">
      <formula>$D$9=2</formula>
    </cfRule>
  </conditionalFormatting>
  <conditionalFormatting sqref="B11:I11">
    <cfRule type="expression" dxfId="311" priority="76">
      <formula>$D$9=1</formula>
    </cfRule>
  </conditionalFormatting>
  <conditionalFormatting sqref="D11:I11">
    <cfRule type="expression" dxfId="310" priority="74">
      <formula>ISBLANK($D$9)</formula>
    </cfRule>
  </conditionalFormatting>
  <conditionalFormatting sqref="D12:I12">
    <cfRule type="expression" dxfId="309" priority="73">
      <formula>$D$9&lt;2</formula>
    </cfRule>
  </conditionalFormatting>
  <conditionalFormatting sqref="D13:I13">
    <cfRule type="expression" dxfId="308" priority="72">
      <formula>$D$9&lt;3</formula>
    </cfRule>
  </conditionalFormatting>
  <conditionalFormatting sqref="N12">
    <cfRule type="expression" dxfId="307" priority="71">
      <formula>AND($D$9&gt;1,O12&gt;0)</formula>
    </cfRule>
  </conditionalFormatting>
  <conditionalFormatting sqref="N13">
    <cfRule type="expression" dxfId="306" priority="70">
      <formula>AND($D$9&gt;2,O13&gt;0)</formula>
    </cfRule>
  </conditionalFormatting>
  <conditionalFormatting sqref="N87:N91 N29:N32 N37:N43 N45:N46 N20 N22:N24">
    <cfRule type="expression" dxfId="305" priority="69">
      <formula>$B$14=$R$15</formula>
    </cfRule>
  </conditionalFormatting>
  <conditionalFormatting sqref="I113 G85 G28:I29">
    <cfRule type="expression" dxfId="304" priority="113">
      <formula>AND($P$14=0,$Q$14&gt;0)</formula>
    </cfRule>
  </conditionalFormatting>
  <conditionalFormatting sqref="D10:I10">
    <cfRule type="expression" dxfId="303" priority="61">
      <formula>$D$9&gt;0</formula>
    </cfRule>
  </conditionalFormatting>
  <conditionalFormatting sqref="N91">
    <cfRule type="expression" dxfId="302" priority="53">
      <formula>$B$14=$R$15</formula>
    </cfRule>
  </conditionalFormatting>
  <conditionalFormatting sqref="G29:I29">
    <cfRule type="expression" dxfId="301" priority="42">
      <formula>AND($P$14=0,$Q$14&gt;0)</formula>
    </cfRule>
  </conditionalFormatting>
  <conditionalFormatting sqref="D4:E4">
    <cfRule type="expression" dxfId="300" priority="36">
      <formula>COUNTIF(P16:T404,1)&gt;0</formula>
    </cfRule>
  </conditionalFormatting>
  <conditionalFormatting sqref="J4:K4">
    <cfRule type="expression" dxfId="299" priority="35">
      <formula>COUNTIF(P16:T404,-1)&gt;0</formula>
    </cfRule>
  </conditionalFormatting>
  <conditionalFormatting sqref="I113">
    <cfRule type="expression" dxfId="298" priority="33">
      <formula>Q113=-1</formula>
    </cfRule>
    <cfRule type="expression" dxfId="297" priority="34">
      <formula>Q113=1</formula>
    </cfRule>
  </conditionalFormatting>
  <conditionalFormatting sqref="G85">
    <cfRule type="expression" dxfId="296" priority="66">
      <formula>P85=-1</formula>
    </cfRule>
    <cfRule type="expression" dxfId="295" priority="112">
      <formula>P85=1</formula>
    </cfRule>
  </conditionalFormatting>
  <conditionalFormatting sqref="G20:I20">
    <cfRule type="expression" dxfId="294" priority="17">
      <formula>AND($P$14=0,$Q$14&gt;0)</formula>
    </cfRule>
  </conditionalFormatting>
  <conditionalFormatting sqref="G20:I20">
    <cfRule type="expression" dxfId="293" priority="15">
      <formula>P19=-1</formula>
    </cfRule>
    <cfRule type="expression" dxfId="292" priority="16">
      <formula>P19=1</formula>
    </cfRule>
  </conditionalFormatting>
  <conditionalFormatting sqref="N47:N49">
    <cfRule type="expression" dxfId="291" priority="13">
      <formula>$B$14=$R$15</formula>
    </cfRule>
  </conditionalFormatting>
  <conditionalFormatting sqref="N49">
    <cfRule type="expression" dxfId="290" priority="12">
      <formula>$B$14=$R$15</formula>
    </cfRule>
  </conditionalFormatting>
  <conditionalFormatting sqref="G36:I45">
    <cfRule type="expression" dxfId="289" priority="7">
      <formula>AND($P$14=0,$Q$14&gt;0)</formula>
    </cfRule>
  </conditionalFormatting>
  <conditionalFormatting sqref="G38:I41">
    <cfRule type="expression" dxfId="288" priority="8">
      <formula>P46=-1</formula>
    </cfRule>
    <cfRule type="expression" dxfId="287" priority="9">
      <formula>P46=1</formula>
    </cfRule>
  </conditionalFormatting>
  <conditionalFormatting sqref="G19:I19">
    <cfRule type="expression" dxfId="286" priority="6">
      <formula>AND($P$14=0,$Q$14&gt;0)</formula>
    </cfRule>
  </conditionalFormatting>
  <conditionalFormatting sqref="G19:I19">
    <cfRule type="expression" dxfId="285" priority="4">
      <formula>P18=-1</formula>
    </cfRule>
    <cfRule type="expression" dxfId="284" priority="5">
      <formula>P18=1</formula>
    </cfRule>
  </conditionalFormatting>
  <conditionalFormatting sqref="M138">
    <cfRule type="cellIs" dxfId="283" priority="3" operator="equal">
      <formula>"Error"</formula>
    </cfRule>
  </conditionalFormatting>
  <conditionalFormatting sqref="O121:O137">
    <cfRule type="cellIs" dxfId="282" priority="2" operator="equal">
      <formula>"Error"</formula>
    </cfRule>
  </conditionalFormatting>
  <conditionalFormatting sqref="O138">
    <cfRule type="cellIs" dxfId="281" priority="1" operator="equal">
      <formula>"Error"</formula>
    </cfRule>
  </conditionalFormatting>
  <dataValidations disablePrompts="1" count="3">
    <dataValidation type="list" allowBlank="1" showInputMessage="1" showErrorMessage="1" error="Please select from the two possible options by clicking on the small triangle to the right of this cell" sqref="D11:I13">
      <formula1>$R$11:$R$12</formula1>
    </dataValidation>
    <dataValidation type="list" allowBlank="1" showInputMessage="1" showErrorMessage="1" sqref="D9">
      <formula1>"1,2,3"</formula1>
    </dataValidation>
    <dataValidation type="list" allowBlank="1" showInputMessage="1" showErrorMessage="1" error="Please either leave this cell blank or, if you have updated the relevant data, confirm this by clicking on the small arrow to the right of this cell and selecting the available text " sqref="N11:N13">
      <formula1>$R$13</formula1>
    </dataValidation>
  </dataValidations>
  <hyperlinks>
    <hyperlink ref="N43" r:id="rId1"/>
    <hyperlink ref="N45" r:id="rId2"/>
    <hyperlink ref="N87" r:id="rId3" display="(6) NSW Resource Recovery ndustries surveys"/>
    <hyperlink ref="N88" r:id="rId4"/>
    <hyperlink ref="B3" location="Comments_NSW" display="Link to the areas for providing general comments or footnotes"/>
    <hyperlink ref="F5" location="NSW!B248" display="NSW!B248"/>
    <hyperlink ref="M5" location="Data_validn_explan" display="Data_validn_explan"/>
    <hyperlink ref="N43:N44" r:id="rId5" display="(4) Disposal based survey of the commercial and industrial waste stream in Sydney. DECCW (NSW) 2010"/>
    <hyperlink ref="N45:N46" r:id="rId6" display="(5) Report into the Construction and Demolition Waste Stream Audit 2000-2005, DECC (NSW) 2007"/>
  </hyperlinks>
  <pageMargins left="0.7" right="0.7" top="0.75" bottom="0.75" header="0.3" footer="0.3"/>
  <pageSetup paperSize="9" orientation="portrait" r:id="rId7"/>
  <legacyDrawing r:id="rId8"/>
  <extLst>
    <ext xmlns:x14="http://schemas.microsoft.com/office/spreadsheetml/2009/9/main" uri="{78C0D931-6437-407d-A8EE-F0AAD7539E65}">
      <x14:conditionalFormattings>
        <x14:conditionalFormatting xmlns:xm="http://schemas.microsoft.com/office/excel/2006/main">
          <x14:cfRule type="cellIs" priority="126" operator="equal" id="{727184E8-2F92-4BFD-97F4-62D73F410ECC}">
            <xm:f>Intro!$B$37</xm:f>
            <x14:dxf>
              <font>
                <color rgb="FFFF0000"/>
              </font>
            </x14:dxf>
          </x14:cfRule>
          <xm:sqref>D11:I13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258"/>
  <sheetViews>
    <sheetView zoomScale="80" zoomScaleNormal="80" workbookViewId="0">
      <pane ySplit="6" topLeftCell="A7" activePane="bottomLeft" state="frozen"/>
      <selection activeCell="A7" sqref="A7"/>
      <selection pane="bottomLeft" activeCell="A7" sqref="A7"/>
    </sheetView>
  </sheetViews>
  <sheetFormatPr defaultColWidth="9.140625" defaultRowHeight="12.75" x14ac:dyDescent="0.25"/>
  <cols>
    <col min="1" max="1" width="1.7109375" style="7" customWidth="1"/>
    <col min="2" max="2" width="35" style="5" customWidth="1"/>
    <col min="3" max="3" width="64.42578125" style="10" customWidth="1"/>
    <col min="4" max="4" width="8.42578125" style="10" customWidth="1"/>
    <col min="5" max="5" width="2.85546875" style="10" customWidth="1"/>
    <col min="6" max="6" width="24.140625" style="7" customWidth="1"/>
    <col min="7" max="8" width="12.5703125" style="7" customWidth="1"/>
    <col min="9" max="9" width="13.140625" style="7" customWidth="1"/>
    <col min="10" max="11" width="12.5703125" style="7" customWidth="1"/>
    <col min="12" max="12" width="2.5703125" style="10" customWidth="1"/>
    <col min="13" max="13" width="21.7109375" style="5" customWidth="1"/>
    <col min="14" max="14" width="44.85546875" style="10" customWidth="1"/>
    <col min="15" max="15" width="2.42578125" style="7" customWidth="1"/>
    <col min="16" max="20" width="3.5703125" style="36" customWidth="1"/>
    <col min="21" max="21" width="9.140625" style="7"/>
    <col min="22" max="22" width="10.7109375" style="7" customWidth="1"/>
    <col min="23" max="24" width="9.140625" style="7"/>
    <col min="25" max="25" width="11" style="7" customWidth="1"/>
    <col min="26" max="16384" width="9.140625" style="7"/>
  </cols>
  <sheetData>
    <row r="1" spans="1:21" s="1696" customFormat="1" ht="18.75" x14ac:dyDescent="0.25">
      <c r="A1" s="1698"/>
      <c r="B1" s="1698" t="s">
        <v>337</v>
      </c>
      <c r="C1" s="1699" t="s">
        <v>958</v>
      </c>
      <c r="D1" s="1699"/>
      <c r="E1" s="1699"/>
      <c r="L1" s="1699"/>
      <c r="M1" s="1698"/>
      <c r="N1" s="1699"/>
    </row>
    <row r="2" spans="1:21" x14ac:dyDescent="0.25">
      <c r="C2" s="6" t="s">
        <v>12</v>
      </c>
      <c r="E2" s="124" t="s">
        <v>13</v>
      </c>
      <c r="F2" s="126" t="s">
        <v>362</v>
      </c>
      <c r="H2" s="624" t="s">
        <v>708</v>
      </c>
      <c r="I2" s="623" t="s">
        <v>709</v>
      </c>
      <c r="L2" s="7"/>
      <c r="M2" s="989" t="s">
        <v>855</v>
      </c>
      <c r="N2" s="126" t="s">
        <v>364</v>
      </c>
    </row>
    <row r="3" spans="1:21" ht="15" x14ac:dyDescent="0.25">
      <c r="B3" s="329" t="s">
        <v>584</v>
      </c>
      <c r="E3" s="125" t="s">
        <v>14</v>
      </c>
      <c r="F3" s="126" t="s">
        <v>363</v>
      </c>
      <c r="H3" s="9" t="s">
        <v>15</v>
      </c>
      <c r="I3" s="126" t="s">
        <v>365</v>
      </c>
      <c r="L3" s="7"/>
      <c r="M3" s="676" t="s">
        <v>366</v>
      </c>
      <c r="N3" s="140" t="s">
        <v>367</v>
      </c>
    </row>
    <row r="4" spans="1:21" s="1055" customFormat="1" ht="18.75" x14ac:dyDescent="0.3">
      <c r="B4" s="1056"/>
      <c r="C4" s="1057"/>
      <c r="D4" s="2605" t="str">
        <f>IF(COUNTIF(P16:T501,1)&gt;0,"Red outline","")</f>
        <v>Red outline</v>
      </c>
      <c r="E4" s="2605"/>
      <c r="F4" s="1058" t="str">
        <f>IF(COUNTIF(P16:T501,1)&gt;0,": The data input value is surprisingly high - please check","")</f>
        <v>: The data input value is surprisingly high - please check</v>
      </c>
      <c r="J4" s="2605" t="str">
        <f>IF(COUNTIF(P16:T501,-1)&gt;0,"Dotted red outline","")</f>
        <v>Dotted red outline</v>
      </c>
      <c r="K4" s="2605"/>
      <c r="L4" s="1058" t="str">
        <f>IF(COUNTIF(P16:T501,-1)&gt;0,": The data input value is surprisingly low - please check","")</f>
        <v>: The data input value is surprisingly low - please check</v>
      </c>
      <c r="O4" s="1059"/>
      <c r="P4" s="1060"/>
      <c r="Q4" s="1060"/>
      <c r="R4" s="1060"/>
      <c r="S4" s="1060"/>
      <c r="T4" s="1060"/>
      <c r="U4" s="1060"/>
    </row>
    <row r="5" spans="1:21" ht="15" x14ac:dyDescent="0.25">
      <c r="C5" s="14"/>
      <c r="D5" s="14"/>
      <c r="E5" s="14"/>
      <c r="F5" s="1220" t="str">
        <f>IF(COUNTIF(P16:T501,1)&gt;0,"Click here for an explanation","")</f>
        <v>Click here for an explanation</v>
      </c>
      <c r="L5" s="7"/>
      <c r="M5" s="83" t="str">
        <f>IF(COUNTIF(P16:T500,-1)&gt;0,"Click here for an explanation","")</f>
        <v>Click here for an explanation</v>
      </c>
      <c r="N5" s="14"/>
      <c r="U5" s="36"/>
    </row>
    <row r="6" spans="1:21" s="105" customFormat="1" ht="15.75" x14ac:dyDescent="0.2">
      <c r="A6" s="103"/>
      <c r="B6" s="3" t="s">
        <v>322</v>
      </c>
      <c r="C6" s="4"/>
      <c r="D6" s="4"/>
      <c r="E6" s="104"/>
      <c r="F6" s="136" t="s">
        <v>328</v>
      </c>
      <c r="G6" s="73"/>
      <c r="H6" s="73"/>
      <c r="I6" s="73"/>
      <c r="J6" s="73"/>
      <c r="K6" s="73"/>
      <c r="L6" s="73"/>
      <c r="M6" s="154" t="s">
        <v>321</v>
      </c>
      <c r="N6" s="73"/>
      <c r="P6" s="1060"/>
      <c r="Q6" s="1060"/>
      <c r="R6" s="1060"/>
      <c r="S6" s="1060"/>
      <c r="T6" s="1060"/>
    </row>
    <row r="7" spans="1:21" x14ac:dyDescent="0.25">
      <c r="C7" s="7"/>
      <c r="D7" s="7"/>
      <c r="E7" s="7"/>
      <c r="L7" s="7"/>
      <c r="N7" s="7"/>
    </row>
    <row r="8" spans="1:21" ht="15.75" x14ac:dyDescent="0.25">
      <c r="B8" s="146" t="s">
        <v>573</v>
      </c>
      <c r="C8" s="127"/>
      <c r="D8" s="127"/>
      <c r="E8" s="127"/>
      <c r="F8" s="127"/>
      <c r="G8" s="129"/>
      <c r="H8" s="129"/>
      <c r="I8" s="127"/>
      <c r="J8" s="147"/>
      <c r="K8" s="147"/>
      <c r="L8" s="147"/>
      <c r="M8" s="147"/>
      <c r="N8" s="2607" t="s">
        <v>360</v>
      </c>
      <c r="P8" s="1050"/>
      <c r="Q8" s="1050"/>
      <c r="R8" s="1050"/>
      <c r="S8" s="1050"/>
      <c r="T8" s="1050"/>
    </row>
    <row r="9" spans="1:21" s="126" customFormat="1" ht="18.75" x14ac:dyDescent="0.25">
      <c r="B9" s="149"/>
      <c r="C9" s="150" t="s">
        <v>357</v>
      </c>
      <c r="D9" s="1319">
        <v>1</v>
      </c>
      <c r="E9" s="128"/>
      <c r="F9" s="455" t="str">
        <f>IF(AND(D9&gt;0,P14=0,O14&lt;D9),"Please fill in the white boxes below","")</f>
        <v/>
      </c>
      <c r="G9" s="129"/>
      <c r="H9" s="129"/>
      <c r="I9" s="128"/>
      <c r="J9" s="147"/>
      <c r="K9" s="147"/>
      <c r="L9" s="147"/>
      <c r="M9" s="147"/>
      <c r="N9" s="2607"/>
      <c r="P9" s="36"/>
      <c r="Q9" s="36"/>
      <c r="R9" s="36"/>
      <c r="S9" s="36"/>
      <c r="T9" s="36"/>
    </row>
    <row r="10" spans="1:21" x14ac:dyDescent="0.25">
      <c r="B10" s="460" t="s">
        <v>99</v>
      </c>
      <c r="C10" s="460" t="s">
        <v>351</v>
      </c>
      <c r="D10" s="2608" t="s">
        <v>640</v>
      </c>
      <c r="E10" s="2608"/>
      <c r="F10" s="2608"/>
      <c r="G10" s="2608"/>
      <c r="H10" s="2608"/>
      <c r="I10" s="2608"/>
      <c r="J10" s="147" t="s">
        <v>320</v>
      </c>
      <c r="K10" s="147"/>
      <c r="L10" s="147"/>
      <c r="M10" s="147"/>
      <c r="N10" s="2607"/>
      <c r="O10" s="302" t="s">
        <v>458</v>
      </c>
    </row>
    <row r="11" spans="1:21" ht="36.75" customHeight="1" x14ac:dyDescent="0.25">
      <c r="B11" s="1545"/>
      <c r="C11" s="1546" t="s">
        <v>1051</v>
      </c>
      <c r="D11" s="2678" t="s">
        <v>358</v>
      </c>
      <c r="E11" s="2678"/>
      <c r="F11" s="2678"/>
      <c r="G11" s="2678"/>
      <c r="H11" s="2678"/>
      <c r="I11" s="2678"/>
      <c r="J11" s="2602"/>
      <c r="K11" s="2602"/>
      <c r="L11" s="2602"/>
      <c r="M11" s="2602"/>
      <c r="N11" s="1324" t="s">
        <v>562</v>
      </c>
      <c r="O11" s="36">
        <f>IF(AND(D11=Validated,OR(D9=1,D9=2,D9=3)),1,0)</f>
        <v>1</v>
      </c>
      <c r="P11" s="36">
        <f>IF(AND(D11=Not_validated,OR(D9=1,D9=2,D9=3)),-1,0)</f>
        <v>0</v>
      </c>
      <c r="Q11" s="36">
        <f>IF(AND(O11=1,ISBLANK(N11)),1,0)</f>
        <v>0</v>
      </c>
      <c r="R11" s="36" t="str">
        <f>Validated</f>
        <v>Yes, I believe the calculation steps, assumptions &amp; classifications below reasonably convert our waste data for this year to the form required for the national waste data set.</v>
      </c>
    </row>
    <row r="12" spans="1:21" ht="36.75" customHeight="1" x14ac:dyDescent="0.25">
      <c r="B12" s="1321"/>
      <c r="C12" s="1320"/>
      <c r="D12" s="2601"/>
      <c r="E12" s="2601"/>
      <c r="F12" s="2601"/>
      <c r="G12" s="2601"/>
      <c r="H12" s="2601"/>
      <c r="I12" s="2601"/>
      <c r="J12" s="2602"/>
      <c r="K12" s="2602"/>
      <c r="L12" s="2602"/>
      <c r="M12" s="2602"/>
      <c r="N12" s="457"/>
      <c r="O12" s="36">
        <f>IF(AND(D12=Validated,OR(D9=2,D9=3)),1,0)</f>
        <v>0</v>
      </c>
      <c r="P12" s="36">
        <f>IF(AND(D12=Not_validated,OR(D9=2,D9=3)),-1,0)</f>
        <v>0</v>
      </c>
      <c r="Q12" s="36">
        <f>IF(AND(O12=1,ISBLANK(N12)),1,0)</f>
        <v>0</v>
      </c>
      <c r="R12" s="36" t="str">
        <f>Not_validated</f>
        <v>No, I don't believe the calculation steps, assumptions &amp; classifications below reasonably convert our waste data for this year to the form required for the national waste data set.</v>
      </c>
    </row>
    <row r="13" spans="1:21" ht="36.75" customHeight="1" x14ac:dyDescent="0.25">
      <c r="B13" s="1322"/>
      <c r="C13" s="1323"/>
      <c r="D13" s="2601"/>
      <c r="E13" s="2601"/>
      <c r="F13" s="2601"/>
      <c r="G13" s="2601"/>
      <c r="H13" s="2601"/>
      <c r="I13" s="2601"/>
      <c r="J13" s="2602"/>
      <c r="K13" s="2602"/>
      <c r="L13" s="2602"/>
      <c r="M13" s="2602"/>
      <c r="N13" s="457"/>
      <c r="O13" s="36">
        <f>IF(AND(D13=Validated,D9=3),1,0)</f>
        <v>0</v>
      </c>
      <c r="P13" s="148">
        <f>IF(AND(D13=Not_validated,D9=3),-1,0)</f>
        <v>0</v>
      </c>
      <c r="Q13" s="148">
        <f>IF(AND(O13=1,ISBLANK(N13)),1,0)</f>
        <v>0</v>
      </c>
      <c r="R13" s="36" t="str">
        <f>Intro!B38</f>
        <v>Yes, I have updated all relevant data in the white cells below</v>
      </c>
    </row>
    <row r="14" spans="1:21" ht="26.25" x14ac:dyDescent="0.25">
      <c r="B14" s="152" t="str">
        <f>IF(P14&lt;0,R14,IF(Q14&gt;0,R15,""))</f>
        <v/>
      </c>
      <c r="C14" s="151"/>
      <c r="D14" s="151"/>
      <c r="E14" s="151"/>
      <c r="F14" s="151"/>
      <c r="G14" s="151"/>
      <c r="H14" s="151"/>
      <c r="I14" s="151"/>
      <c r="J14" s="151"/>
      <c r="K14" s="151"/>
      <c r="L14" s="151"/>
      <c r="M14" s="151"/>
      <c r="N14" s="151"/>
      <c r="O14" s="36">
        <f>SUM(O11:O13)</f>
        <v>1</v>
      </c>
      <c r="P14" s="148">
        <f>SUM(P11:P13)</f>
        <v>0</v>
      </c>
      <c r="Q14" s="148">
        <f>SUM(Q11:Q13)</f>
        <v>0</v>
      </c>
      <c r="R14" s="36" t="s">
        <v>807</v>
      </c>
    </row>
    <row r="15" spans="1:21" x14ac:dyDescent="0.25">
      <c r="C15" s="7"/>
      <c r="D15" s="7"/>
      <c r="E15" s="7"/>
      <c r="L15" s="7"/>
      <c r="N15" s="7"/>
      <c r="P15" s="148"/>
      <c r="Q15" s="148"/>
      <c r="R15" s="36" t="s">
        <v>561</v>
      </c>
    </row>
    <row r="16" spans="1:21" ht="15.75" x14ac:dyDescent="0.25">
      <c r="A16" s="130"/>
      <c r="B16" s="130" t="s">
        <v>438</v>
      </c>
      <c r="C16" s="362" t="s">
        <v>575</v>
      </c>
      <c r="D16" s="130"/>
      <c r="E16" s="130"/>
      <c r="F16" s="130"/>
      <c r="G16" s="130"/>
      <c r="H16" s="130"/>
      <c r="I16" s="130"/>
      <c r="J16" s="130"/>
      <c r="K16" s="130"/>
      <c r="L16" s="130"/>
      <c r="M16" s="130"/>
      <c r="N16" s="130"/>
      <c r="O16" s="130"/>
      <c r="P16" s="148"/>
      <c r="Q16" s="148"/>
    </row>
    <row r="17" spans="1:20" s="188" customFormat="1" x14ac:dyDescent="0.25">
      <c r="A17" s="185"/>
      <c r="O17" s="185"/>
      <c r="P17" s="36"/>
      <c r="Q17" s="36"/>
      <c r="R17" s="36"/>
      <c r="S17" s="36"/>
      <c r="T17" s="36"/>
    </row>
    <row r="18" spans="1:20" s="191" customFormat="1" ht="12.75" customHeight="1" x14ac:dyDescent="0.25">
      <c r="A18" s="185"/>
      <c r="B18" s="1622" t="s">
        <v>125</v>
      </c>
      <c r="C18" s="2586" t="s">
        <v>973</v>
      </c>
      <c r="D18" s="11"/>
      <c r="E18" s="11"/>
      <c r="F18" s="11"/>
      <c r="G18" s="1355">
        <v>264143.24</v>
      </c>
      <c r="H18" s="12"/>
      <c r="I18" s="12"/>
      <c r="J18" s="11"/>
      <c r="K18" s="11"/>
      <c r="L18" s="11"/>
      <c r="M18" s="113" t="s">
        <v>104</v>
      </c>
      <c r="N18" s="37" t="s">
        <v>974</v>
      </c>
      <c r="O18" s="185"/>
      <c r="P18" s="1051">
        <f>IF(AND(ISNUMBER(G18),'Validn data - hide'!C178&gt;0),IF(G18/'Validn data - hide'!C178-1&gt;'Validn data - hide'!$L178,1,IF(G18/'Validn data - hide'!C178-1&lt;-'Validn data - hide'!$L178,-1,0)),0)</f>
        <v>0</v>
      </c>
      <c r="Q18" s="36"/>
      <c r="R18" s="36"/>
      <c r="S18" s="36"/>
      <c r="T18" s="36"/>
    </row>
    <row r="19" spans="1:20" s="191" customFormat="1" x14ac:dyDescent="0.25">
      <c r="A19" s="185"/>
      <c r="B19" s="236"/>
      <c r="C19" s="2587"/>
      <c r="D19" s="11"/>
      <c r="E19" s="11"/>
      <c r="F19" s="11"/>
      <c r="H19" s="12"/>
      <c r="I19" s="12"/>
      <c r="J19" s="11"/>
      <c r="K19" s="11"/>
      <c r="L19" s="11"/>
      <c r="M19" s="873" t="s">
        <v>100</v>
      </c>
      <c r="N19" s="37" t="s">
        <v>102</v>
      </c>
      <c r="O19" s="185"/>
      <c r="P19" s="36"/>
      <c r="Q19" s="36"/>
      <c r="R19" s="36"/>
      <c r="S19" s="36"/>
      <c r="T19" s="36"/>
    </row>
    <row r="20" spans="1:20" s="191" customFormat="1" ht="25.5" x14ac:dyDescent="0.25">
      <c r="A20" s="185"/>
      <c r="B20" s="236"/>
      <c r="C20" s="2587"/>
      <c r="D20" s="11"/>
      <c r="E20" s="11"/>
      <c r="F20" s="11"/>
      <c r="G20" s="11"/>
      <c r="H20" s="12"/>
      <c r="I20" s="12"/>
      <c r="J20" s="11"/>
      <c r="K20" s="11"/>
      <c r="L20" s="11"/>
      <c r="M20" s="113" t="s">
        <v>10</v>
      </c>
      <c r="N20" s="1329" t="s">
        <v>1050</v>
      </c>
      <c r="O20" s="185"/>
      <c r="P20" s="1051"/>
      <c r="Q20" s="1051"/>
      <c r="R20" s="1051"/>
      <c r="S20" s="1051"/>
      <c r="T20" s="1051"/>
    </row>
    <row r="21" spans="1:20" s="191" customFormat="1" x14ac:dyDescent="0.25">
      <c r="A21" s="185"/>
      <c r="B21" s="221"/>
      <c r="C21" s="2588"/>
      <c r="D21" s="12"/>
      <c r="E21" s="12"/>
      <c r="F21" s="12"/>
      <c r="G21" s="12"/>
      <c r="H21" s="12"/>
      <c r="I21" s="12"/>
      <c r="J21" s="12"/>
      <c r="K21" s="12"/>
      <c r="L21" s="12"/>
      <c r="M21" s="113" t="s">
        <v>352</v>
      </c>
      <c r="N21" s="1329" t="s">
        <v>1017</v>
      </c>
      <c r="O21" s="185"/>
      <c r="P21" s="1051"/>
      <c r="Q21" s="1051"/>
      <c r="R21" s="1051"/>
      <c r="S21" s="1051"/>
      <c r="T21" s="1051"/>
    </row>
    <row r="22" spans="1:20" s="191" customFormat="1" x14ac:dyDescent="0.25">
      <c r="A22" s="185"/>
      <c r="B22" s="113" t="s">
        <v>714</v>
      </c>
      <c r="C22" s="816" t="s">
        <v>938</v>
      </c>
      <c r="D22" s="12"/>
      <c r="E22" s="12"/>
      <c r="F22" s="12"/>
      <c r="G22" s="12"/>
      <c r="H22" s="12"/>
      <c r="I22" s="12"/>
      <c r="J22" s="12"/>
      <c r="K22" s="12"/>
      <c r="L22" s="12"/>
      <c r="M22" s="113" t="s">
        <v>99</v>
      </c>
      <c r="N22" s="1624">
        <v>42597</v>
      </c>
      <c r="O22" s="185"/>
      <c r="P22" s="1051"/>
      <c r="Q22" s="1051"/>
      <c r="R22" s="1051"/>
      <c r="S22" s="1051"/>
      <c r="T22" s="1051"/>
    </row>
    <row r="23" spans="1:20" s="191" customFormat="1" x14ac:dyDescent="0.25">
      <c r="A23" s="185"/>
      <c r="D23" s="12"/>
      <c r="E23" s="12"/>
      <c r="F23" s="12"/>
      <c r="G23" s="12"/>
      <c r="H23" s="12"/>
      <c r="I23" s="12"/>
      <c r="J23" s="12"/>
      <c r="K23" s="12"/>
      <c r="L23" s="12"/>
      <c r="M23" s="113" t="s">
        <v>658</v>
      </c>
      <c r="N23" s="1328" t="s">
        <v>681</v>
      </c>
      <c r="O23" s="185"/>
      <c r="P23" s="1051"/>
      <c r="Q23" s="1051"/>
      <c r="R23" s="1051"/>
      <c r="S23" s="1051"/>
      <c r="T23" s="1051"/>
    </row>
    <row r="24" spans="1:20" s="191" customFormat="1" x14ac:dyDescent="0.25">
      <c r="A24" s="185"/>
      <c r="B24" s="193"/>
      <c r="C24" s="188"/>
      <c r="D24" s="12"/>
      <c r="E24" s="12"/>
      <c r="F24" s="12"/>
      <c r="G24" s="12"/>
      <c r="H24" s="12"/>
      <c r="I24" s="12"/>
      <c r="J24" s="12"/>
      <c r="K24" s="12"/>
      <c r="L24" s="12"/>
      <c r="M24" s="99"/>
      <c r="N24" s="12"/>
      <c r="O24" s="185"/>
      <c r="P24" s="1051"/>
      <c r="Q24" s="1051"/>
      <c r="R24" s="1051"/>
      <c r="S24" s="1051"/>
      <c r="T24" s="1051"/>
    </row>
    <row r="25" spans="1:20" s="188" customFormat="1" x14ac:dyDescent="0.25">
      <c r="A25" s="185"/>
      <c r="B25" s="98"/>
      <c r="C25" s="196"/>
      <c r="D25" s="196"/>
      <c r="E25" s="196"/>
      <c r="F25" s="196"/>
      <c r="G25" s="196"/>
      <c r="H25" s="196"/>
      <c r="I25" s="196"/>
      <c r="J25" s="196"/>
      <c r="K25" s="196"/>
      <c r="L25" s="196"/>
      <c r="M25" s="196"/>
      <c r="N25" s="196"/>
      <c r="O25" s="185"/>
      <c r="P25" s="1051"/>
      <c r="Q25" s="1051"/>
      <c r="R25" s="1051"/>
      <c r="S25" s="1051"/>
      <c r="T25" s="1051"/>
    </row>
    <row r="26" spans="1:20" s="188" customFormat="1" x14ac:dyDescent="0.25">
      <c r="A26" s="185"/>
      <c r="B26" s="100" t="s">
        <v>126</v>
      </c>
      <c r="C26" s="764" t="s">
        <v>748</v>
      </c>
      <c r="D26" s="196"/>
      <c r="E26" s="196"/>
      <c r="F26" s="196"/>
      <c r="G26" s="482">
        <f>(G18+SUM(G88:I98))*'Other national data'!I485/'Other national data'!I484-SUM(G88:I98)</f>
        <v>365013.77680684684</v>
      </c>
      <c r="H26" s="196"/>
      <c r="I26" s="196"/>
      <c r="J26" s="196"/>
      <c r="K26" s="196"/>
      <c r="L26" s="196"/>
      <c r="M26" s="114" t="s">
        <v>100</v>
      </c>
      <c r="N26" s="94" t="s">
        <v>102</v>
      </c>
      <c r="O26" s="185"/>
      <c r="P26" s="1051"/>
      <c r="Q26" s="1051"/>
      <c r="R26" s="1051"/>
      <c r="S26" s="1051"/>
      <c r="T26" s="1051"/>
    </row>
    <row r="27" spans="1:20" s="188" customFormat="1" ht="25.5" x14ac:dyDescent="0.25">
      <c r="A27" s="185"/>
      <c r="B27" s="461" t="s">
        <v>323</v>
      </c>
      <c r="C27" s="855" t="s">
        <v>813</v>
      </c>
      <c r="D27" s="190"/>
      <c r="E27" s="190"/>
      <c r="F27" s="190"/>
      <c r="G27" s="190"/>
      <c r="H27" s="190"/>
      <c r="I27" s="190"/>
      <c r="J27" s="190"/>
      <c r="K27" s="190"/>
      <c r="L27" s="190"/>
      <c r="M27" s="196"/>
      <c r="N27" s="196"/>
      <c r="O27" s="185"/>
      <c r="P27" s="36"/>
      <c r="Q27" s="36"/>
      <c r="R27" s="36"/>
      <c r="S27" s="36"/>
      <c r="T27" s="36"/>
    </row>
    <row r="28" spans="1:20" s="188" customFormat="1" x14ac:dyDescent="0.25">
      <c r="A28" s="185"/>
      <c r="B28" s="653"/>
      <c r="C28" s="463" t="s">
        <v>819</v>
      </c>
      <c r="D28" s="190"/>
      <c r="E28" s="190"/>
      <c r="F28" s="190"/>
      <c r="G28" s="190"/>
      <c r="H28" s="190"/>
      <c r="I28" s="190"/>
      <c r="J28" s="190"/>
      <c r="K28" s="190"/>
      <c r="L28" s="190"/>
      <c r="M28" s="196"/>
      <c r="N28" s="196"/>
      <c r="O28" s="185"/>
      <c r="P28" s="36"/>
      <c r="Q28" s="36"/>
      <c r="R28" s="36"/>
      <c r="S28" s="36"/>
      <c r="T28" s="36"/>
    </row>
    <row r="29" spans="1:20" s="188" customFormat="1" ht="25.5" x14ac:dyDescent="0.25">
      <c r="A29" s="185"/>
      <c r="B29" s="481"/>
      <c r="C29" s="855" t="s">
        <v>820</v>
      </c>
      <c r="D29" s="190"/>
      <c r="E29" s="190"/>
      <c r="F29" s="190"/>
      <c r="G29" s="190"/>
      <c r="H29" s="190"/>
      <c r="I29" s="190"/>
      <c r="J29" s="190"/>
      <c r="K29" s="190"/>
      <c r="L29" s="190"/>
      <c r="M29" s="196"/>
      <c r="N29" s="196"/>
      <c r="O29" s="185"/>
      <c r="P29" s="1051"/>
      <c r="Q29" s="1051"/>
      <c r="R29" s="36"/>
      <c r="S29" s="36"/>
      <c r="T29" s="36"/>
    </row>
    <row r="30" spans="1:20" s="188" customFormat="1" x14ac:dyDescent="0.25">
      <c r="A30" s="185"/>
      <c r="B30" s="189"/>
      <c r="C30" s="187"/>
      <c r="D30" s="190"/>
      <c r="E30" s="190"/>
      <c r="F30" s="190"/>
      <c r="G30" s="190"/>
      <c r="H30" s="190"/>
      <c r="I30" s="190"/>
      <c r="J30" s="190"/>
      <c r="K30" s="190"/>
      <c r="L30" s="190"/>
      <c r="M30" s="196"/>
      <c r="N30" s="196"/>
      <c r="O30" s="185"/>
      <c r="P30" s="1051"/>
      <c r="Q30" s="1051"/>
      <c r="R30" s="36"/>
      <c r="S30" s="36"/>
      <c r="T30" s="36"/>
    </row>
    <row r="31" spans="1:20" s="188" customFormat="1" x14ac:dyDescent="0.25">
      <c r="A31" s="185"/>
      <c r="B31" s="193"/>
      <c r="D31" s="199"/>
      <c r="E31" s="199"/>
      <c r="F31" s="199"/>
      <c r="G31" s="199"/>
      <c r="H31" s="199"/>
      <c r="I31" s="199"/>
      <c r="J31" s="199"/>
      <c r="K31" s="199"/>
      <c r="L31" s="199"/>
      <c r="M31" s="194"/>
      <c r="N31" s="199"/>
      <c r="O31" s="185"/>
      <c r="P31" s="36"/>
      <c r="Q31" s="36"/>
      <c r="R31" s="36"/>
      <c r="S31" s="36"/>
      <c r="T31" s="36"/>
    </row>
    <row r="32" spans="1:20" s="188" customFormat="1" x14ac:dyDescent="0.25">
      <c r="A32" s="185"/>
      <c r="B32" s="97" t="s">
        <v>127</v>
      </c>
      <c r="C32" s="37" t="s">
        <v>750</v>
      </c>
      <c r="D32" s="199"/>
      <c r="E32" s="199"/>
      <c r="F32" s="199"/>
      <c r="G32" s="122" t="s">
        <v>16</v>
      </c>
      <c r="H32" s="122" t="s">
        <v>17</v>
      </c>
      <c r="I32" s="122" t="s">
        <v>18</v>
      </c>
      <c r="J32" s="199"/>
      <c r="K32" s="199"/>
      <c r="L32" s="199"/>
      <c r="M32" s="194"/>
      <c r="N32" s="199"/>
      <c r="O32" s="185"/>
      <c r="P32" s="36"/>
      <c r="Q32" s="36"/>
      <c r="R32" s="36"/>
      <c r="S32" s="36"/>
      <c r="T32" s="36"/>
    </row>
    <row r="33" spans="1:20" s="188" customFormat="1" x14ac:dyDescent="0.25">
      <c r="A33" s="185"/>
      <c r="B33" s="193"/>
      <c r="D33" s="199"/>
      <c r="E33" s="199"/>
      <c r="F33" s="199"/>
      <c r="G33" s="484">
        <f>$G$26*'Other national data'!G202</f>
        <v>156955.92402694415</v>
      </c>
      <c r="H33" s="485">
        <f>$G$26*'Other national data'!H202</f>
        <v>51101.928752958564</v>
      </c>
      <c r="I33" s="486">
        <f>$G$26*'Other national data'!I202</f>
        <v>156955.92402694415</v>
      </c>
      <c r="J33" s="199"/>
      <c r="K33" s="199"/>
      <c r="L33" s="199"/>
      <c r="M33" s="113" t="s">
        <v>100</v>
      </c>
      <c r="N33" s="37" t="s">
        <v>102</v>
      </c>
      <c r="O33" s="185"/>
      <c r="P33" s="1051"/>
      <c r="Q33" s="1051"/>
      <c r="R33" s="1051"/>
      <c r="S33" s="1051"/>
      <c r="T33" s="1051"/>
    </row>
    <row r="34" spans="1:20" s="188" customFormat="1" x14ac:dyDescent="0.25">
      <c r="A34" s="185"/>
      <c r="B34" s="193"/>
      <c r="D34" s="199"/>
      <c r="E34" s="199"/>
      <c r="F34" s="199"/>
      <c r="G34" s="199"/>
      <c r="H34" s="199"/>
      <c r="I34" s="199"/>
      <c r="J34" s="199"/>
      <c r="K34" s="199"/>
      <c r="L34" s="199"/>
      <c r="O34" s="185"/>
      <c r="P34" s="1051"/>
      <c r="Q34" s="1051"/>
      <c r="R34" s="1051"/>
      <c r="S34" s="1051"/>
      <c r="T34" s="1051"/>
    </row>
    <row r="35" spans="1:20" s="188" customFormat="1" x14ac:dyDescent="0.25">
      <c r="A35" s="185"/>
      <c r="B35" s="98"/>
      <c r="C35" s="196"/>
      <c r="D35" s="196"/>
      <c r="E35" s="196"/>
      <c r="F35" s="196"/>
      <c r="G35" s="196"/>
      <c r="H35" s="196"/>
      <c r="I35" s="196"/>
      <c r="J35" s="196"/>
      <c r="K35" s="196"/>
      <c r="L35" s="196"/>
      <c r="M35" s="196"/>
      <c r="N35" s="196"/>
      <c r="O35" s="185"/>
      <c r="P35" s="36"/>
      <c r="Q35" s="36"/>
      <c r="R35" s="36"/>
      <c r="S35" s="36"/>
      <c r="T35" s="36"/>
    </row>
    <row r="36" spans="1:20" s="188" customFormat="1" x14ac:dyDescent="0.25">
      <c r="A36" s="185"/>
      <c r="B36" s="100" t="s">
        <v>128</v>
      </c>
      <c r="C36" s="764" t="s">
        <v>751</v>
      </c>
      <c r="D36" s="196"/>
      <c r="E36" s="196"/>
      <c r="F36" s="196"/>
      <c r="G36" s="693" t="s">
        <v>16</v>
      </c>
      <c r="H36" s="693" t="s">
        <v>17</v>
      </c>
      <c r="I36" s="693" t="s">
        <v>18</v>
      </c>
      <c r="J36" s="196"/>
      <c r="K36" s="196"/>
      <c r="L36" s="196"/>
      <c r="M36" s="2609" t="s">
        <v>393</v>
      </c>
      <c r="N36" s="2612" t="s">
        <v>427</v>
      </c>
      <c r="O36" s="185"/>
      <c r="P36" s="36"/>
      <c r="Q36" s="36"/>
      <c r="R36" s="36"/>
      <c r="S36" s="36"/>
      <c r="T36" s="36"/>
    </row>
    <row r="37" spans="1:20" s="188" customFormat="1" x14ac:dyDescent="0.25">
      <c r="A37" s="185"/>
      <c r="B37" s="1273" t="s">
        <v>714</v>
      </c>
      <c r="C37" s="640" t="s">
        <v>907</v>
      </c>
      <c r="D37" s="190"/>
      <c r="E37" s="190"/>
      <c r="F37" s="694" t="s">
        <v>25</v>
      </c>
      <c r="G37" s="699">
        <f>G$33*'Other national data'!G33</f>
        <v>3336.7680716227856</v>
      </c>
      <c r="H37" s="700">
        <f>H$33*'Other national data'!H33</f>
        <v>7715.3657102907118</v>
      </c>
      <c r="I37" s="701">
        <f>I$33*'Other national data'!I33</f>
        <v>127455.72318786093</v>
      </c>
      <c r="J37" s="190"/>
      <c r="K37" s="190"/>
      <c r="L37" s="190"/>
      <c r="M37" s="2610"/>
      <c r="N37" s="2613"/>
      <c r="O37" s="185"/>
      <c r="P37" s="36"/>
      <c r="Q37" s="1051"/>
      <c r="R37" s="1051"/>
      <c r="S37" s="36"/>
      <c r="T37" s="36"/>
    </row>
    <row r="38" spans="1:20" s="188" customFormat="1" x14ac:dyDescent="0.25">
      <c r="A38" s="185"/>
      <c r="B38" s="189"/>
      <c r="C38" s="187"/>
      <c r="D38" s="190"/>
      <c r="E38" s="190"/>
      <c r="F38" s="694" t="s">
        <v>28</v>
      </c>
      <c r="G38" s="702">
        <f>G$33*'Other national data'!G34</f>
        <v>5605.746672921523</v>
      </c>
      <c r="H38" s="703">
        <f>H$33*'Other national data'!H34</f>
        <v>1495.8252694440666</v>
      </c>
      <c r="I38" s="704">
        <f>I$33*'Other national data'!I34</f>
        <v>7142.0831783051963</v>
      </c>
      <c r="J38" s="190"/>
      <c r="K38" s="190"/>
      <c r="L38" s="190"/>
      <c r="M38" s="2611"/>
      <c r="N38" s="2614"/>
      <c r="O38" s="185"/>
      <c r="P38" s="36"/>
      <c r="Q38" s="36"/>
      <c r="R38" s="36"/>
      <c r="S38" s="36"/>
      <c r="T38" s="36"/>
    </row>
    <row r="39" spans="1:20" s="188" customFormat="1" x14ac:dyDescent="0.25">
      <c r="A39" s="185"/>
      <c r="B39" s="189"/>
      <c r="C39" s="187"/>
      <c r="D39" s="190"/>
      <c r="E39" s="190"/>
      <c r="F39" s="695" t="s">
        <v>61</v>
      </c>
      <c r="G39" s="702">
        <f>G$33*'Other national data'!G35</f>
        <v>54934.57340943045</v>
      </c>
      <c r="H39" s="703">
        <f>H$33*'Other national data'!H35</f>
        <v>11154.228103437656</v>
      </c>
      <c r="I39" s="704">
        <f>I$33*'Other national data'!I35</f>
        <v>0</v>
      </c>
      <c r="J39" s="190"/>
      <c r="K39" s="190"/>
      <c r="L39" s="190"/>
      <c r="M39" s="114" t="s">
        <v>100</v>
      </c>
      <c r="N39" s="94" t="s">
        <v>102</v>
      </c>
      <c r="O39" s="185"/>
      <c r="P39" s="36"/>
      <c r="Q39" s="36"/>
      <c r="R39" s="36"/>
      <c r="S39" s="36"/>
      <c r="T39" s="36"/>
    </row>
    <row r="40" spans="1:20" s="188" customFormat="1" x14ac:dyDescent="0.25">
      <c r="A40" s="185"/>
      <c r="B40" s="189"/>
      <c r="C40" s="187"/>
      <c r="D40" s="190"/>
      <c r="E40" s="190"/>
      <c r="F40" s="695" t="s">
        <v>63</v>
      </c>
      <c r="G40" s="702">
        <f>G$33*'Other national data'!G36</f>
        <v>25897.727464445787</v>
      </c>
      <c r="H40" s="703">
        <f>H$33*'Other national data'!H36</f>
        <v>2075.2052285465406</v>
      </c>
      <c r="I40" s="704">
        <f>I$33*'Other national data'!I36</f>
        <v>3139.118480538883</v>
      </c>
      <c r="J40" s="190"/>
      <c r="K40" s="190"/>
      <c r="L40" s="190"/>
      <c r="M40" s="186"/>
      <c r="N40" s="190"/>
      <c r="O40" s="185"/>
      <c r="P40" s="36"/>
      <c r="Q40" s="36"/>
      <c r="R40" s="36"/>
      <c r="S40" s="36"/>
      <c r="T40" s="36"/>
    </row>
    <row r="41" spans="1:20" s="188" customFormat="1" x14ac:dyDescent="0.25">
      <c r="A41" s="185"/>
      <c r="B41" s="189"/>
      <c r="C41" s="187"/>
      <c r="D41" s="190"/>
      <c r="E41" s="190"/>
      <c r="F41" s="695" t="s">
        <v>67</v>
      </c>
      <c r="G41" s="702">
        <f>G$33*'Other national data'!G37</f>
        <v>1569.5592402694415</v>
      </c>
      <c r="H41" s="703">
        <f>H$33*'Other national data'!H37</f>
        <v>6485.0163392079394</v>
      </c>
      <c r="I41" s="704">
        <f>I$33*'Other national data'!I37</f>
        <v>9417.355441616648</v>
      </c>
      <c r="J41" s="190"/>
      <c r="K41" s="190"/>
      <c r="L41" s="190"/>
      <c r="M41" s="186"/>
      <c r="N41" s="190"/>
      <c r="O41" s="185"/>
      <c r="P41" s="36"/>
      <c r="Q41" s="36"/>
      <c r="R41" s="36"/>
      <c r="S41" s="36"/>
      <c r="T41" s="36"/>
    </row>
    <row r="42" spans="1:20" s="188" customFormat="1" x14ac:dyDescent="0.25">
      <c r="A42" s="185"/>
      <c r="B42" s="189"/>
      <c r="C42" s="187"/>
      <c r="D42" s="190"/>
      <c r="E42" s="190"/>
      <c r="F42" s="695" t="s">
        <v>65</v>
      </c>
      <c r="G42" s="702">
        <f>G$33*'Other national data'!G38</f>
        <v>6278.236961077766</v>
      </c>
      <c r="H42" s="703">
        <f>H$33*'Other national data'!H38</f>
        <v>0</v>
      </c>
      <c r="I42" s="704">
        <f>I$33*'Other national data'!I38</f>
        <v>0</v>
      </c>
      <c r="J42" s="190"/>
      <c r="K42" s="190"/>
      <c r="L42" s="190"/>
      <c r="M42" s="186"/>
      <c r="N42" s="190"/>
      <c r="O42" s="185"/>
      <c r="P42" s="36"/>
      <c r="Q42" s="36"/>
      <c r="R42" s="36"/>
      <c r="S42" s="36"/>
      <c r="T42" s="36"/>
    </row>
    <row r="43" spans="1:20" s="188" customFormat="1" x14ac:dyDescent="0.25">
      <c r="A43" s="185"/>
      <c r="B43" s="189"/>
      <c r="C43" s="187"/>
      <c r="D43" s="190"/>
      <c r="E43" s="190"/>
      <c r="F43" s="694" t="s">
        <v>20</v>
      </c>
      <c r="G43" s="702">
        <f>G$33*'Other national data'!G39</f>
        <v>20404.270123502742</v>
      </c>
      <c r="H43" s="703">
        <f>H$33*'Other national data'!H39</f>
        <v>8041.4202606178451</v>
      </c>
      <c r="I43" s="704">
        <f>I$33*'Other national data'!I39</f>
        <v>4708.677720808324</v>
      </c>
      <c r="J43" s="190"/>
      <c r="K43" s="190"/>
      <c r="L43" s="190"/>
      <c r="M43" s="186"/>
      <c r="N43" s="190"/>
      <c r="O43" s="185"/>
      <c r="P43" s="36"/>
      <c r="Q43" s="36"/>
      <c r="R43" s="36"/>
      <c r="S43" s="36"/>
      <c r="T43" s="36"/>
    </row>
    <row r="44" spans="1:20" s="188" customFormat="1" x14ac:dyDescent="0.25">
      <c r="A44" s="185"/>
      <c r="B44" s="189"/>
      <c r="C44" s="187"/>
      <c r="D44" s="190"/>
      <c r="E44" s="190"/>
      <c r="F44" s="696" t="s">
        <v>32</v>
      </c>
      <c r="G44" s="702">
        <f>G$33*'Other national data'!G40</f>
        <v>26167.021302809728</v>
      </c>
      <c r="H44" s="703">
        <f>H$33*'Other national data'!H40</f>
        <v>9103.6082793770711</v>
      </c>
      <c r="I44" s="704">
        <f>I$33*'Other national data'!I40</f>
        <v>5088.4509467793496</v>
      </c>
      <c r="J44" s="190"/>
      <c r="K44" s="190"/>
      <c r="L44" s="190"/>
      <c r="M44" s="186"/>
      <c r="N44" s="190"/>
      <c r="O44" s="185"/>
      <c r="P44" s="36"/>
      <c r="Q44" s="36"/>
      <c r="R44" s="36"/>
      <c r="S44" s="36"/>
      <c r="T44" s="36"/>
    </row>
    <row r="45" spans="1:20" s="188" customFormat="1" x14ac:dyDescent="0.25">
      <c r="A45" s="185"/>
      <c r="B45" s="189"/>
      <c r="C45" s="187"/>
      <c r="D45" s="190"/>
      <c r="E45" s="190"/>
      <c r="F45" s="694" t="s">
        <v>30</v>
      </c>
      <c r="G45" s="702">
        <f>G$33*'Other national data'!G41</f>
        <v>8838.1226801903267</v>
      </c>
      <c r="H45" s="703">
        <f>H$33*'Other national data'!H41</f>
        <v>1140.2497585119729</v>
      </c>
      <c r="I45" s="704">
        <f>I$33*'Other national data'!I41</f>
        <v>4.5150710348081713</v>
      </c>
      <c r="J45" s="190"/>
      <c r="K45" s="190"/>
      <c r="L45" s="190"/>
      <c r="M45" s="186"/>
      <c r="N45" s="190"/>
      <c r="O45" s="185"/>
      <c r="P45" s="1051"/>
      <c r="Q45" s="1051"/>
      <c r="R45" s="1051"/>
      <c r="S45" s="36"/>
      <c r="T45" s="36"/>
    </row>
    <row r="46" spans="1:20" s="188" customFormat="1" x14ac:dyDescent="0.25">
      <c r="A46" s="185"/>
      <c r="B46" s="189"/>
      <c r="C46" s="187"/>
      <c r="D46" s="190"/>
      <c r="E46" s="190"/>
      <c r="F46" s="694" t="s">
        <v>27</v>
      </c>
      <c r="G46" s="705">
        <f>G$33*'Other national data'!G42</f>
        <v>3923.8981006736039</v>
      </c>
      <c r="H46" s="706">
        <f>H$33*'Other national data'!H42</f>
        <v>3891.0098035247643</v>
      </c>
      <c r="I46" s="707">
        <f>I$33*'Other national data'!I42</f>
        <v>0</v>
      </c>
      <c r="J46" s="190"/>
      <c r="K46" s="190"/>
      <c r="L46" s="190"/>
      <c r="M46" s="186"/>
      <c r="N46" s="190"/>
      <c r="O46" s="185"/>
      <c r="P46" s="1051"/>
      <c r="Q46" s="1051"/>
      <c r="R46" s="1051"/>
      <c r="S46" s="36"/>
      <c r="T46" s="36"/>
    </row>
    <row r="47" spans="1:20" s="188" customFormat="1" x14ac:dyDescent="0.25">
      <c r="A47" s="185"/>
      <c r="B47" s="189"/>
      <c r="C47" s="187"/>
      <c r="D47" s="190"/>
      <c r="E47" s="190"/>
      <c r="F47" s="190"/>
      <c r="G47" s="190"/>
      <c r="H47" s="190"/>
      <c r="I47" s="190"/>
      <c r="J47" s="190"/>
      <c r="K47" s="190"/>
      <c r="L47" s="190"/>
      <c r="M47" s="186"/>
      <c r="N47" s="190"/>
      <c r="O47" s="185"/>
      <c r="P47" s="1051"/>
      <c r="Q47" s="1051"/>
      <c r="R47" s="1051"/>
      <c r="S47" s="36"/>
      <c r="T47" s="36"/>
    </row>
    <row r="48" spans="1:20" s="188" customFormat="1" x14ac:dyDescent="0.25">
      <c r="A48" s="185"/>
      <c r="B48" s="99"/>
      <c r="C48" s="197"/>
      <c r="D48" s="197"/>
      <c r="E48" s="197"/>
      <c r="F48" s="197"/>
      <c r="G48" s="197"/>
      <c r="H48" s="197"/>
      <c r="I48" s="197"/>
      <c r="J48" s="197"/>
      <c r="K48" s="197"/>
      <c r="L48" s="197"/>
      <c r="M48" s="197"/>
      <c r="N48" s="197"/>
      <c r="O48" s="185"/>
      <c r="P48" s="1051"/>
      <c r="Q48" s="1051"/>
      <c r="R48" s="1051"/>
      <c r="S48" s="36"/>
      <c r="T48" s="36"/>
    </row>
    <row r="49" spans="1:20" s="188" customFormat="1" x14ac:dyDescent="0.25">
      <c r="A49" s="185"/>
      <c r="B49" s="97" t="s">
        <v>130</v>
      </c>
      <c r="C49" s="37" t="s">
        <v>707</v>
      </c>
      <c r="D49" s="197"/>
      <c r="E49" s="197"/>
      <c r="F49" s="197"/>
      <c r="G49" s="122" t="s">
        <v>16</v>
      </c>
      <c r="H49" s="122" t="s">
        <v>17</v>
      </c>
      <c r="I49" s="122" t="s">
        <v>18</v>
      </c>
      <c r="J49" s="197"/>
      <c r="K49" s="197"/>
      <c r="L49" s="197"/>
      <c r="M49" s="2679" t="s">
        <v>393</v>
      </c>
      <c r="N49" s="2586" t="s">
        <v>713</v>
      </c>
      <c r="O49" s="185"/>
      <c r="P49" s="1051"/>
      <c r="Q49" s="1051"/>
      <c r="R49" s="1051"/>
      <c r="S49" s="36"/>
      <c r="T49" s="36"/>
    </row>
    <row r="50" spans="1:20" s="188" customFormat="1" x14ac:dyDescent="0.25">
      <c r="A50" s="185"/>
      <c r="B50" s="1453" t="s">
        <v>714</v>
      </c>
      <c r="C50" s="2631" t="s">
        <v>916</v>
      </c>
      <c r="D50" s="199"/>
      <c r="E50" s="199"/>
      <c r="F50" s="194" t="s">
        <v>25</v>
      </c>
      <c r="G50" s="1006">
        <f t="shared" ref="G50:I51" si="0">G37</f>
        <v>3336.7680716227856</v>
      </c>
      <c r="H50" s="1007">
        <f t="shared" si="0"/>
        <v>7715.3657102907118</v>
      </c>
      <c r="I50" s="1008">
        <f t="shared" si="0"/>
        <v>127455.72318786093</v>
      </c>
      <c r="J50" s="199"/>
      <c r="K50" s="199"/>
      <c r="L50" s="199"/>
      <c r="M50" s="2680"/>
      <c r="N50" s="2587"/>
      <c r="O50" s="185"/>
      <c r="P50" s="1051"/>
      <c r="Q50" s="1051"/>
      <c r="R50" s="1051"/>
      <c r="S50" s="36"/>
      <c r="T50" s="36"/>
    </row>
    <row r="51" spans="1:20" s="188" customFormat="1" x14ac:dyDescent="0.25">
      <c r="A51" s="185"/>
      <c r="B51" s="236"/>
      <c r="C51" s="2632"/>
      <c r="D51" s="199"/>
      <c r="E51" s="199"/>
      <c r="F51" s="194" t="s">
        <v>28</v>
      </c>
      <c r="G51" s="1009">
        <f t="shared" si="0"/>
        <v>5605.746672921523</v>
      </c>
      <c r="H51" s="869">
        <f t="shared" si="0"/>
        <v>1495.8252694440666</v>
      </c>
      <c r="I51" s="1010">
        <f t="shared" si="0"/>
        <v>7142.0831783051963</v>
      </c>
      <c r="J51" s="199"/>
      <c r="K51" s="199"/>
      <c r="L51" s="199"/>
      <c r="M51" s="2681"/>
      <c r="N51" s="2588"/>
      <c r="O51" s="185"/>
      <c r="P51" s="1051"/>
      <c r="Q51" s="1051"/>
      <c r="R51" s="1051"/>
      <c r="S51" s="36"/>
      <c r="T51" s="36"/>
    </row>
    <row r="52" spans="1:20" s="188" customFormat="1" x14ac:dyDescent="0.25">
      <c r="A52" s="185"/>
      <c r="B52" s="221"/>
      <c r="C52" s="2633"/>
      <c r="D52" s="199"/>
      <c r="E52" s="199"/>
      <c r="F52" s="697" t="s">
        <v>61</v>
      </c>
      <c r="G52" s="1009">
        <f>G39-'Other national data'!G329</f>
        <v>48475.019542131966</v>
      </c>
      <c r="H52" s="869">
        <f>H39-'Other national data'!H329</f>
        <v>9842.6435618542073</v>
      </c>
      <c r="I52" s="1010">
        <f>I39-'Other national data'!I329</f>
        <v>0</v>
      </c>
      <c r="J52" s="199"/>
      <c r="K52" s="199"/>
      <c r="L52" s="199"/>
      <c r="M52" s="113" t="s">
        <v>100</v>
      </c>
      <c r="N52" s="37" t="s">
        <v>102</v>
      </c>
      <c r="O52" s="185"/>
      <c r="P52" s="1051"/>
      <c r="Q52" s="1051"/>
      <c r="R52" s="1051"/>
      <c r="S52" s="36"/>
      <c r="T52" s="36"/>
    </row>
    <row r="53" spans="1:20" s="188" customFormat="1" x14ac:dyDescent="0.25">
      <c r="A53" s="185"/>
      <c r="B53" s="193"/>
      <c r="D53" s="199"/>
      <c r="E53" s="199"/>
      <c r="F53" s="697" t="s">
        <v>63</v>
      </c>
      <c r="G53" s="1009">
        <f>G40-'Other national data'!G330</f>
        <v>25044.483669985166</v>
      </c>
      <c r="H53" s="869">
        <f>H40-'Other national data'!H330</f>
        <v>2006.8341335954315</v>
      </c>
      <c r="I53" s="1010">
        <f>I40-'Other national data'!I330</f>
        <v>3035.6949903012319</v>
      </c>
      <c r="J53" s="199"/>
      <c r="K53" s="199"/>
      <c r="L53" s="199"/>
      <c r="M53" s="194"/>
      <c r="N53" s="199"/>
      <c r="O53" s="185"/>
      <c r="P53" s="1051"/>
      <c r="Q53" s="1051"/>
      <c r="R53" s="1051"/>
      <c r="S53" s="36"/>
      <c r="T53" s="36"/>
    </row>
    <row r="54" spans="1:20" s="188" customFormat="1" x14ac:dyDescent="0.25">
      <c r="A54" s="185"/>
      <c r="B54" s="193"/>
      <c r="D54" s="199"/>
      <c r="E54" s="199"/>
      <c r="F54" s="697" t="s">
        <v>67</v>
      </c>
      <c r="G54" s="1009">
        <f>G41-'Other national data'!G331</f>
        <v>1522.4647793182246</v>
      </c>
      <c r="H54" s="869">
        <f>H41-'Other national data'!H331</f>
        <v>6290.4341017752167</v>
      </c>
      <c r="I54" s="1010">
        <f>I41-'Other national data'!I331</f>
        <v>9134.7886759093471</v>
      </c>
      <c r="J54" s="199"/>
      <c r="K54" s="199"/>
      <c r="L54" s="199"/>
      <c r="M54" s="194"/>
      <c r="N54" s="199"/>
      <c r="O54" s="185"/>
      <c r="P54" s="1051"/>
      <c r="Q54" s="1051"/>
      <c r="R54" s="1051"/>
      <c r="S54" s="36"/>
      <c r="T54" s="36"/>
    </row>
    <row r="55" spans="1:20" s="188" customFormat="1" x14ac:dyDescent="0.25">
      <c r="A55" s="185"/>
      <c r="B55" s="193"/>
      <c r="D55" s="199"/>
      <c r="E55" s="199"/>
      <c r="F55" s="697" t="s">
        <v>65</v>
      </c>
      <c r="G55" s="1009">
        <f>G42-'Other national data'!G332</f>
        <v>6032.3537650998533</v>
      </c>
      <c r="H55" s="869">
        <f>H42-'Other national data'!H332</f>
        <v>0</v>
      </c>
      <c r="I55" s="1010">
        <f>I42-'Other national data'!I332</f>
        <v>0</v>
      </c>
      <c r="J55" s="199"/>
      <c r="K55" s="199"/>
      <c r="L55" s="199"/>
      <c r="M55" s="194"/>
      <c r="N55" s="199"/>
      <c r="O55" s="185"/>
      <c r="P55" s="1051"/>
      <c r="Q55" s="1051"/>
      <c r="R55" s="1051"/>
      <c r="S55" s="36"/>
      <c r="T55" s="36"/>
    </row>
    <row r="56" spans="1:20" s="188" customFormat="1" x14ac:dyDescent="0.25">
      <c r="A56" s="185"/>
      <c r="B56" s="193"/>
      <c r="D56" s="199"/>
      <c r="E56" s="199"/>
      <c r="F56" s="194" t="s">
        <v>20</v>
      </c>
      <c r="G56" s="1009">
        <f>G43-'Other national data'!G333</f>
        <v>18074.241102941789</v>
      </c>
      <c r="H56" s="869">
        <f>H43-'Other national data'!H333</f>
        <v>7123.1447006317803</v>
      </c>
      <c r="I56" s="1010">
        <f>I43-'Other national data'!I333</f>
        <v>4170.9787160634887</v>
      </c>
      <c r="J56" s="199"/>
      <c r="K56" s="199"/>
      <c r="L56" s="199"/>
      <c r="M56" s="194"/>
      <c r="N56" s="199"/>
      <c r="O56" s="185"/>
      <c r="P56" s="1051"/>
      <c r="Q56" s="1051"/>
      <c r="R56" s="1051"/>
      <c r="S56" s="36"/>
      <c r="T56" s="36"/>
    </row>
    <row r="57" spans="1:20" s="188" customFormat="1" x14ac:dyDescent="0.25">
      <c r="A57" s="185"/>
      <c r="B57" s="193"/>
      <c r="D57" s="199"/>
      <c r="E57" s="199"/>
      <c r="F57" s="698" t="s">
        <v>32</v>
      </c>
      <c r="G57" s="1009">
        <f t="shared" ref="G57:I58" si="1">G44</f>
        <v>26167.021302809728</v>
      </c>
      <c r="H57" s="869">
        <f t="shared" si="1"/>
        <v>9103.6082793770711</v>
      </c>
      <c r="I57" s="1010">
        <f t="shared" si="1"/>
        <v>5088.4509467793496</v>
      </c>
      <c r="J57" s="199"/>
      <c r="K57" s="199"/>
      <c r="L57" s="199"/>
      <c r="M57" s="194"/>
      <c r="N57" s="199"/>
      <c r="O57" s="185"/>
      <c r="P57" s="1051"/>
      <c r="Q57" s="1051"/>
      <c r="R57" s="1051"/>
      <c r="S57" s="36"/>
      <c r="T57" s="36"/>
    </row>
    <row r="58" spans="1:20" s="188" customFormat="1" x14ac:dyDescent="0.25">
      <c r="A58" s="185"/>
      <c r="B58" s="193"/>
      <c r="D58" s="199"/>
      <c r="E58" s="199"/>
      <c r="F58" s="194" t="s">
        <v>30</v>
      </c>
      <c r="G58" s="1009">
        <f t="shared" si="1"/>
        <v>8838.1226801903267</v>
      </c>
      <c r="H58" s="869">
        <f t="shared" si="1"/>
        <v>1140.2497585119729</v>
      </c>
      <c r="I58" s="1010">
        <f t="shared" si="1"/>
        <v>4.5150710348081713</v>
      </c>
      <c r="J58" s="199"/>
      <c r="K58" s="199"/>
      <c r="L58" s="199"/>
      <c r="M58" s="194"/>
      <c r="N58" s="199"/>
      <c r="O58" s="185"/>
      <c r="P58" s="1051"/>
      <c r="Q58" s="1051"/>
      <c r="R58" s="1051"/>
      <c r="S58" s="36"/>
      <c r="T58" s="36"/>
    </row>
    <row r="59" spans="1:20" s="188" customFormat="1" x14ac:dyDescent="0.25">
      <c r="A59" s="185"/>
      <c r="B59" s="193"/>
      <c r="D59" s="199"/>
      <c r="E59" s="199"/>
      <c r="F59" s="194" t="s">
        <v>27</v>
      </c>
      <c r="G59" s="1011">
        <f>G46-'Other national data'!G334</f>
        <v>3576.6697024947748</v>
      </c>
      <c r="H59" s="1012">
        <f>H46-'Other national data'!H334</f>
        <v>3546.691713015714</v>
      </c>
      <c r="I59" s="1013">
        <f>I46-'Other national data'!I334</f>
        <v>0</v>
      </c>
      <c r="J59" s="199"/>
      <c r="K59" s="199"/>
      <c r="L59" s="199"/>
      <c r="M59" s="194"/>
      <c r="N59" s="199"/>
      <c r="O59" s="185"/>
      <c r="P59" s="36"/>
      <c r="Q59" s="36"/>
      <c r="R59" s="36"/>
      <c r="S59" s="36"/>
      <c r="T59" s="36"/>
    </row>
    <row r="60" spans="1:20" s="188" customFormat="1" x14ac:dyDescent="0.25">
      <c r="A60" s="185"/>
      <c r="B60" s="193"/>
      <c r="D60" s="199"/>
      <c r="E60" s="199"/>
      <c r="F60" s="199"/>
      <c r="G60" s="199"/>
      <c r="H60" s="199"/>
      <c r="I60" s="199"/>
      <c r="J60" s="199"/>
      <c r="K60" s="199"/>
      <c r="L60" s="199"/>
      <c r="M60" s="194"/>
      <c r="N60" s="199"/>
      <c r="O60" s="185"/>
      <c r="P60" s="36"/>
      <c r="Q60" s="36"/>
      <c r="R60" s="36"/>
      <c r="S60" s="36"/>
      <c r="T60" s="36"/>
    </row>
    <row r="61" spans="1:20" ht="15.75" x14ac:dyDescent="0.25">
      <c r="A61" s="130"/>
      <c r="B61" s="130"/>
      <c r="C61" s="130"/>
      <c r="D61" s="130"/>
      <c r="E61" s="130"/>
      <c r="F61" s="130"/>
      <c r="G61" s="130"/>
      <c r="H61" s="130"/>
      <c r="I61" s="130"/>
      <c r="J61" s="130"/>
      <c r="K61" s="130"/>
      <c r="L61" s="130"/>
      <c r="M61" s="130"/>
      <c r="N61" s="130"/>
      <c r="O61" s="130"/>
    </row>
    <row r="62" spans="1:20" ht="15.75" x14ac:dyDescent="0.25">
      <c r="A62" s="131"/>
      <c r="B62" s="131" t="s">
        <v>461</v>
      </c>
      <c r="C62" s="363" t="s">
        <v>575</v>
      </c>
      <c r="D62" s="131"/>
      <c r="E62" s="131"/>
      <c r="F62" s="131"/>
      <c r="G62" s="131"/>
      <c r="H62" s="131"/>
      <c r="I62" s="131"/>
      <c r="J62" s="131"/>
      <c r="K62" s="131"/>
      <c r="L62" s="131"/>
      <c r="M62" s="132"/>
      <c r="N62" s="131"/>
      <c r="O62" s="131"/>
    </row>
    <row r="63" spans="1:20" s="188" customFormat="1" x14ac:dyDescent="0.25">
      <c r="A63" s="201"/>
      <c r="B63" s="191"/>
      <c r="O63" s="201"/>
      <c r="P63" s="36"/>
      <c r="Q63" s="36"/>
      <c r="R63" s="36"/>
      <c r="S63" s="36"/>
      <c r="T63" s="36"/>
    </row>
    <row r="64" spans="1:20" s="188" customFormat="1" ht="12.75" customHeight="1" x14ac:dyDescent="0.25">
      <c r="A64" s="201"/>
      <c r="B64" s="1523" t="s">
        <v>125</v>
      </c>
      <c r="C64" s="2586" t="s">
        <v>973</v>
      </c>
      <c r="D64" s="11"/>
      <c r="E64" s="11"/>
      <c r="F64" s="11"/>
      <c r="G64" s="180" t="s">
        <v>16</v>
      </c>
      <c r="H64" s="180" t="s">
        <v>17</v>
      </c>
      <c r="I64" s="180" t="s">
        <v>18</v>
      </c>
      <c r="J64" s="11"/>
      <c r="K64" s="11"/>
      <c r="L64" s="11"/>
      <c r="M64" s="113" t="s">
        <v>104</v>
      </c>
      <c r="N64" s="37" t="s">
        <v>975</v>
      </c>
      <c r="O64" s="201"/>
      <c r="P64" s="36"/>
      <c r="Q64" s="36"/>
      <c r="R64" s="36"/>
      <c r="S64" s="36"/>
      <c r="T64" s="36"/>
    </row>
    <row r="65" spans="1:20" s="188" customFormat="1" x14ac:dyDescent="0.25">
      <c r="A65" s="201"/>
      <c r="B65" s="236"/>
      <c r="C65" s="2587"/>
      <c r="F65" s="478" t="s">
        <v>25</v>
      </c>
      <c r="G65" s="1356">
        <v>3282</v>
      </c>
      <c r="H65" s="1357">
        <v>0</v>
      </c>
      <c r="I65" s="1358">
        <v>0</v>
      </c>
      <c r="M65" s="113" t="s">
        <v>100</v>
      </c>
      <c r="N65" s="37" t="s">
        <v>102</v>
      </c>
      <c r="O65" s="201"/>
      <c r="P65" s="1051">
        <f>IF(AND(ISNUMBER(G65),'Validn data - hide'!C183&gt;0),IF(G65/'Validn data - hide'!C183-1&gt;'Validn data - hide'!$L183,1,IF(G65/'Validn data - hide'!C183-1&lt;-'Validn data - hide'!$L183,-1,0)),0)</f>
        <v>0</v>
      </c>
      <c r="Q65" s="1051">
        <f>IF(AND(ISNUMBER(H65),'Validn data - hide'!D183&gt;0),IF(H65/'Validn data - hide'!D183-1&gt;'Validn data - hide'!$L183,1,IF(H65/'Validn data - hide'!D183-1&lt;-'Validn data - hide'!$L183,-1,0)),0)</f>
        <v>0</v>
      </c>
      <c r="R65" s="1051">
        <f>IF(AND(ISNUMBER(I65),'Validn data - hide'!E183&gt;0),IF(I65/'Validn data - hide'!E183-1&gt;'Validn data - hide'!$L183,1,IF(I65/'Validn data - hide'!E183-1&lt;-'Validn data - hide'!$L183,-1,0)),0)</f>
        <v>-1</v>
      </c>
      <c r="S65" s="36"/>
      <c r="T65" s="36"/>
    </row>
    <row r="66" spans="1:20" s="188" customFormat="1" x14ac:dyDescent="0.25">
      <c r="A66" s="201"/>
      <c r="B66" s="202"/>
      <c r="C66" s="2587"/>
      <c r="F66" s="478" t="s">
        <v>56</v>
      </c>
      <c r="G66" s="1359">
        <v>1015.83</v>
      </c>
      <c r="H66" s="1360">
        <v>0</v>
      </c>
      <c r="I66" s="1361">
        <v>0</v>
      </c>
      <c r="M66" s="113" t="s">
        <v>10</v>
      </c>
      <c r="N66" s="1328" t="s">
        <v>1018</v>
      </c>
      <c r="O66" s="201"/>
      <c r="P66" s="1051">
        <f>IF(AND(ISNUMBER(G66),'Validn data - hide'!C184&gt;0),IF(G66/'Validn data - hide'!C184-1&gt;'Validn data - hide'!$L184,1,IF(G66/'Validn data - hide'!C184-1&lt;-'Validn data - hide'!$L184,-1,0)),0)</f>
        <v>1</v>
      </c>
      <c r="Q66" s="1051">
        <f>IF(AND(ISNUMBER(H66),'Validn data - hide'!D184&gt;0),IF(H66/'Validn data - hide'!D184-1&gt;'Validn data - hide'!$L184,1,IF(H66/'Validn data - hide'!D184-1&lt;-'Validn data - hide'!$L184,-1,0)),0)</f>
        <v>0</v>
      </c>
      <c r="R66" s="1051">
        <f>IF(AND(ISNUMBER(I66),'Validn data - hide'!E184&gt;0),IF(I66/'Validn data - hide'!E184-1&gt;'Validn data - hide'!$L184,1,IF(I66/'Validn data - hide'!E184-1&lt;-'Validn data - hide'!$L184,-1,0)),0)</f>
        <v>-1</v>
      </c>
      <c r="S66" s="36"/>
      <c r="T66" s="36"/>
    </row>
    <row r="67" spans="1:20" s="188" customFormat="1" x14ac:dyDescent="0.25">
      <c r="A67" s="201"/>
      <c r="B67" s="221"/>
      <c r="C67" s="2588"/>
      <c r="F67" s="478" t="s">
        <v>52</v>
      </c>
      <c r="G67" s="1359">
        <v>24</v>
      </c>
      <c r="H67" s="1360">
        <v>0</v>
      </c>
      <c r="I67" s="1361">
        <v>0</v>
      </c>
      <c r="M67" s="113" t="s">
        <v>352</v>
      </c>
      <c r="N67" s="1329" t="s">
        <v>1017</v>
      </c>
      <c r="O67" s="201"/>
      <c r="P67" s="1051">
        <f>IF(AND(ISNUMBER(G67),'Validn data - hide'!C185&gt;0),IF(G67/'Validn data - hide'!C185-1&gt;'Validn data - hide'!$L185,1,IF(G67/'Validn data - hide'!C185-1&lt;-'Validn data - hide'!$L185,-1,0)),0)</f>
        <v>0</v>
      </c>
      <c r="Q67" s="1051">
        <f>IF(AND(ISNUMBER(H67),'Validn data - hide'!D185&gt;0),IF(H67/'Validn data - hide'!D185-1&gt;'Validn data - hide'!$L185,1,IF(H67/'Validn data - hide'!D185-1&lt;-'Validn data - hide'!$L185,-1,0)),0)</f>
        <v>0</v>
      </c>
      <c r="R67" s="1051">
        <f>IF(AND(ISNUMBER(I67),'Validn data - hide'!E185&gt;0),IF(I67/'Validn data - hide'!E185-1&gt;'Validn data - hide'!$L185,1,IF(I67/'Validn data - hide'!E185-1&lt;-'Validn data - hide'!$L185,-1,0)),0)</f>
        <v>-1</v>
      </c>
      <c r="S67" s="36"/>
      <c r="T67" s="36"/>
    </row>
    <row r="68" spans="1:20" s="188" customFormat="1" x14ac:dyDescent="0.25">
      <c r="A68" s="201"/>
      <c r="F68" s="478" t="s">
        <v>22</v>
      </c>
      <c r="G68" s="1359">
        <v>35542</v>
      </c>
      <c r="H68" s="1360">
        <v>0</v>
      </c>
      <c r="I68" s="1361">
        <v>0</v>
      </c>
      <c r="M68" s="113" t="s">
        <v>99</v>
      </c>
      <c r="N68" s="1329">
        <v>42345</v>
      </c>
      <c r="O68" s="201"/>
      <c r="P68" s="1051">
        <f>IF(AND(ISNUMBER(G68),'Validn data - hide'!C186&gt;0),IF(G68/'Validn data - hide'!C186-1&gt;'Validn data - hide'!$L186,1,IF(G68/'Validn data - hide'!C186-1&lt;-'Validn data - hide'!$L186,-1,0)),0)</f>
        <v>1</v>
      </c>
      <c r="Q68" s="1051">
        <f>IF(AND(ISNUMBER(H68),'Validn data - hide'!D186&gt;0),IF(H68/'Validn data - hide'!D186-1&gt;'Validn data - hide'!$L186,1,IF(H68/'Validn data - hide'!D186-1&lt;-'Validn data - hide'!$L186,-1,0)),0)</f>
        <v>-1</v>
      </c>
      <c r="R68" s="1051">
        <f>IF(AND(ISNUMBER(I68),'Validn data - hide'!E186&gt;0),IF(I68/'Validn data - hide'!E186-1&gt;'Validn data - hide'!$L186,1,IF(I68/'Validn data - hide'!E186-1&lt;-'Validn data - hide'!$L186,-1,0)),0)</f>
        <v>0</v>
      </c>
      <c r="S68" s="36"/>
      <c r="T68" s="36"/>
    </row>
    <row r="69" spans="1:20" s="188" customFormat="1" x14ac:dyDescent="0.25">
      <c r="A69" s="201"/>
      <c r="F69" s="478" t="s">
        <v>74</v>
      </c>
      <c r="G69" s="1359">
        <v>2103.25</v>
      </c>
      <c r="H69" s="1360">
        <v>0</v>
      </c>
      <c r="I69" s="1361">
        <v>0</v>
      </c>
      <c r="M69" s="113" t="s">
        <v>658</v>
      </c>
      <c r="N69" s="1328" t="s">
        <v>681</v>
      </c>
      <c r="O69" s="201"/>
      <c r="P69" s="1051">
        <f>IF(AND(ISNUMBER(G69),'Validn data - hide'!C187&gt;0),IF(G69/'Validn data - hide'!C187-1&gt;'Validn data - hide'!$L187,1,IF(G69/'Validn data - hide'!C187-1&lt;-'Validn data - hide'!$L187,-1,0)),0)</f>
        <v>1</v>
      </c>
      <c r="Q69" s="1051">
        <f>IF(AND(ISNUMBER(H69),'Validn data - hide'!D187&gt;0),IF(H69/'Validn data - hide'!D187-1&gt;'Validn data - hide'!$L187,1,IF(H69/'Validn data - hide'!D187-1&lt;-'Validn data - hide'!$L187,-1,0)),0)</f>
        <v>0</v>
      </c>
      <c r="R69" s="1051">
        <f>IF(AND(ISNUMBER(I69),'Validn data - hide'!E187&gt;0),IF(I69/'Validn data - hide'!E187-1&gt;'Validn data - hide'!$L187,1,IF(I69/'Validn data - hide'!E187-1&lt;-'Validn data - hide'!$L187,-1,0)),0)</f>
        <v>-1</v>
      </c>
      <c r="S69" s="36"/>
      <c r="T69" s="36"/>
    </row>
    <row r="70" spans="1:20" s="188" customFormat="1" x14ac:dyDescent="0.25">
      <c r="A70" s="201"/>
      <c r="F70" s="875" t="s">
        <v>538</v>
      </c>
      <c r="G70" s="1359">
        <v>82</v>
      </c>
      <c r="H70" s="1360">
        <v>0</v>
      </c>
      <c r="I70" s="1361">
        <v>0</v>
      </c>
      <c r="M70" s="11"/>
      <c r="N70" s="11"/>
      <c r="O70" s="201"/>
      <c r="P70" s="1051">
        <f>IF(AND(ISNUMBER(G70),'Validn data - hide'!C188&gt;0),IF(G70/'Validn data - hide'!C188-1&gt;'Validn data - hide'!$L188,1,IF(G70/'Validn data - hide'!C188-1&lt;-'Validn data - hide'!$L188,-1,0)),0)</f>
        <v>0</v>
      </c>
      <c r="Q70" s="1051">
        <f>IF(AND(ISNUMBER(H70),'Validn data - hide'!D188&gt;0),IF(H70/'Validn data - hide'!D188-1&gt;'Validn data - hide'!$L188,1,IF(H70/'Validn data - hide'!D188-1&lt;-'Validn data - hide'!$L188,-1,0)),0)</f>
        <v>0</v>
      </c>
      <c r="R70" s="1051">
        <f>IF(AND(ISNUMBER(I70),'Validn data - hide'!E188&gt;0),IF(I70/'Validn data - hide'!E188-1&gt;'Validn data - hide'!$L188,1,IF(I70/'Validn data - hide'!E188-1&lt;-'Validn data - hide'!$L188,-1,0)),0)</f>
        <v>0</v>
      </c>
      <c r="S70" s="36"/>
      <c r="T70" s="36"/>
    </row>
    <row r="71" spans="1:20" s="188" customFormat="1" x14ac:dyDescent="0.25">
      <c r="A71" s="201"/>
      <c r="F71" s="875" t="s">
        <v>507</v>
      </c>
      <c r="G71" s="1359">
        <v>45</v>
      </c>
      <c r="H71" s="1360">
        <v>0</v>
      </c>
      <c r="I71" s="1361">
        <v>0</v>
      </c>
      <c r="M71" s="11"/>
      <c r="N71" s="11"/>
      <c r="O71" s="201"/>
      <c r="P71" s="1051">
        <f>IF(AND(ISNUMBER(G71),'Validn data - hide'!C189&gt;0),IF(G71/'Validn data - hide'!C189-1&gt;'Validn data - hide'!$L189,1,IF(G71/'Validn data - hide'!C189-1&lt;-'Validn data - hide'!$L189,-1,0)),0)</f>
        <v>-1</v>
      </c>
      <c r="Q71" s="1051">
        <f>IF(AND(ISNUMBER(H71),'Validn data - hide'!D189&gt;0),IF(H71/'Validn data - hide'!D189-1&gt;'Validn data - hide'!$L189,1,IF(H71/'Validn data - hide'!D189-1&lt;-'Validn data - hide'!$L189,-1,0)),0)</f>
        <v>0</v>
      </c>
      <c r="R71" s="1051">
        <f>IF(AND(ISNUMBER(I71),'Validn data - hide'!E189&gt;0),IF(I71/'Validn data - hide'!E189-1&gt;'Validn data - hide'!$L189,1,IF(I71/'Validn data - hide'!E189-1&lt;-'Validn data - hide'!$L189,-1,0)),0)</f>
        <v>0</v>
      </c>
      <c r="S71" s="36"/>
      <c r="T71" s="36"/>
    </row>
    <row r="72" spans="1:20" s="188" customFormat="1" x14ac:dyDescent="0.25">
      <c r="A72" s="201"/>
      <c r="F72" s="875" t="s">
        <v>96</v>
      </c>
      <c r="G72" s="1359">
        <v>74</v>
      </c>
      <c r="H72" s="1360">
        <v>0</v>
      </c>
      <c r="I72" s="1361">
        <v>0</v>
      </c>
      <c r="M72" s="11"/>
      <c r="N72" s="11"/>
      <c r="O72" s="201"/>
      <c r="P72" s="1051">
        <f>IF(AND(ISNUMBER(G72),'Validn data - hide'!C190&gt;0),IF(G72/'Validn data - hide'!C190-1&gt;'Validn data - hide'!$L190,1,IF(G72/'Validn data - hide'!C190-1&lt;-'Validn data - hide'!$L190,-1,0)),0)</f>
        <v>1</v>
      </c>
      <c r="Q72" s="1051">
        <f>IF(AND(ISNUMBER(H72),'Validn data - hide'!D190&gt;0),IF(H72/'Validn data - hide'!D190-1&gt;'Validn data - hide'!$L190,1,IF(H72/'Validn data - hide'!D190-1&lt;-'Validn data - hide'!$L190,-1,0)),0)</f>
        <v>0</v>
      </c>
      <c r="R72" s="1051">
        <f>IF(AND(ISNUMBER(I72),'Validn data - hide'!E190&gt;0),IF(I72/'Validn data - hide'!E190-1&gt;'Validn data - hide'!$L190,1,IF(I72/'Validn data - hide'!E190-1&lt;-'Validn data - hide'!$L190,-1,0)),0)</f>
        <v>0</v>
      </c>
      <c r="S72" s="36"/>
      <c r="T72" s="36"/>
    </row>
    <row r="73" spans="1:20" s="188" customFormat="1" x14ac:dyDescent="0.25">
      <c r="A73" s="201"/>
      <c r="F73" s="478" t="s">
        <v>30</v>
      </c>
      <c r="G73" s="1359">
        <v>350.44</v>
      </c>
      <c r="H73" s="1360">
        <v>0</v>
      </c>
      <c r="I73" s="1361">
        <v>0</v>
      </c>
      <c r="M73" s="11"/>
      <c r="N73" s="11"/>
      <c r="O73" s="201"/>
      <c r="P73" s="1051">
        <f>IF(AND(ISNUMBER(G73),'Validn data - hide'!C191&gt;0),IF(G73/'Validn data - hide'!C191-1&gt;'Validn data - hide'!$L191,1,IF(G73/'Validn data - hide'!C191-1&lt;-'Validn data - hide'!$L191,-1,0)),0)</f>
        <v>-1</v>
      </c>
      <c r="Q73" s="1051">
        <f>IF(AND(ISNUMBER(H73),'Validn data - hide'!D191&gt;0),IF(H73/'Validn data - hide'!D191-1&gt;'Validn data - hide'!$L191,1,IF(H73/'Validn data - hide'!D191-1&lt;-'Validn data - hide'!$L191,-1,0)),0)</f>
        <v>0</v>
      </c>
      <c r="R73" s="1051">
        <f>IF(AND(ISNUMBER(I73),'Validn data - hide'!E191&gt;0),IF(I73/'Validn data - hide'!E191-1&gt;'Validn data - hide'!$L191,1,IF(I73/'Validn data - hide'!E191-1&lt;-'Validn data - hide'!$L191,-1,0)),0)</f>
        <v>0</v>
      </c>
      <c r="S73" s="36"/>
      <c r="T73" s="36"/>
    </row>
    <row r="74" spans="1:20" s="188" customFormat="1" x14ac:dyDescent="0.25">
      <c r="A74" s="201"/>
      <c r="F74" s="478" t="s">
        <v>27</v>
      </c>
      <c r="G74" s="1362">
        <v>5460.42</v>
      </c>
      <c r="H74" s="1363">
        <v>330.13</v>
      </c>
      <c r="I74" s="1364">
        <v>0</v>
      </c>
      <c r="M74" s="11"/>
      <c r="N74" s="11"/>
      <c r="O74" s="201"/>
      <c r="P74" s="1051">
        <f>IF(AND(ISNUMBER(G74),'Validn data - hide'!C192&gt;0),IF(G74/'Validn data - hide'!C192-1&gt;'Validn data - hide'!$L192,1,IF(G74/'Validn data - hide'!C192-1&lt;-'Validn data - hide'!$L192,-1,0)),0)</f>
        <v>1</v>
      </c>
      <c r="Q74" s="1051">
        <f>IF(AND(ISNUMBER(H74),'Validn data - hide'!D192&gt;0),IF(H74/'Validn data - hide'!D192-1&gt;'Validn data - hide'!$L192,1,IF(H74/'Validn data - hide'!D192-1&lt;-'Validn data - hide'!$L192,-1,0)),0)</f>
        <v>0</v>
      </c>
      <c r="R74" s="1051">
        <f>IF(AND(ISNUMBER(I74),'Validn data - hide'!E192&gt;0),IF(I74/'Validn data - hide'!E192-1&gt;'Validn data - hide'!$L192,1,IF(I74/'Validn data - hide'!E192-1&lt;-'Validn data - hide'!$L192,-1,0)),0)</f>
        <v>0</v>
      </c>
      <c r="S74" s="36"/>
      <c r="T74" s="36"/>
    </row>
    <row r="75" spans="1:20" s="188" customFormat="1" x14ac:dyDescent="0.25">
      <c r="A75" s="201"/>
      <c r="M75" s="11"/>
      <c r="N75" s="11"/>
      <c r="O75" s="201"/>
      <c r="P75" s="36"/>
      <c r="Q75" s="36"/>
      <c r="R75" s="36"/>
      <c r="S75" s="36"/>
      <c r="T75" s="36"/>
    </row>
    <row r="76" spans="1:20" s="471" customFormat="1" x14ac:dyDescent="0.25">
      <c r="A76" s="201"/>
      <c r="B76" s="475"/>
      <c r="C76" s="475"/>
      <c r="D76" s="475"/>
      <c r="E76" s="475"/>
      <c r="F76" s="475"/>
      <c r="G76" s="475"/>
      <c r="H76" s="475"/>
      <c r="I76" s="475"/>
      <c r="J76" s="475"/>
      <c r="K76" s="475"/>
      <c r="L76" s="475"/>
      <c r="M76" s="475"/>
      <c r="N76" s="475"/>
      <c r="O76" s="201"/>
      <c r="P76" s="36"/>
      <c r="Q76" s="36"/>
      <c r="R76" s="36"/>
      <c r="S76" s="36"/>
      <c r="T76" s="36"/>
    </row>
    <row r="77" spans="1:20" s="471" customFormat="1" ht="12.75" customHeight="1" x14ac:dyDescent="0.25">
      <c r="A77" s="201"/>
      <c r="B77" s="100" t="s">
        <v>126</v>
      </c>
      <c r="C77" s="94" t="s">
        <v>814</v>
      </c>
      <c r="D77" s="475"/>
      <c r="E77" s="475"/>
      <c r="F77" s="475"/>
      <c r="G77" s="479" t="s">
        <v>16</v>
      </c>
      <c r="H77" s="108"/>
      <c r="I77" s="108"/>
      <c r="J77" s="475"/>
      <c r="K77" s="475"/>
      <c r="L77" s="475"/>
      <c r="M77" s="856" t="s">
        <v>104</v>
      </c>
      <c r="N77" s="773" t="s">
        <v>817</v>
      </c>
      <c r="O77" s="201"/>
      <c r="P77" s="36"/>
      <c r="Q77" s="36"/>
      <c r="R77" s="36"/>
      <c r="S77" s="36"/>
      <c r="T77" s="36"/>
    </row>
    <row r="78" spans="1:20" s="471" customFormat="1" x14ac:dyDescent="0.2">
      <c r="A78" s="201"/>
      <c r="B78" s="856" t="s">
        <v>323</v>
      </c>
      <c r="C78" s="2603" t="s">
        <v>815</v>
      </c>
      <c r="D78" s="475"/>
      <c r="E78" s="475"/>
      <c r="F78" s="476" t="s">
        <v>56</v>
      </c>
      <c r="G78" s="1365">
        <v>0</v>
      </c>
      <c r="H78" s="480"/>
      <c r="I78" s="480"/>
      <c r="J78" s="475"/>
      <c r="K78" s="475"/>
      <c r="L78" s="475"/>
      <c r="M78" s="114" t="s">
        <v>100</v>
      </c>
      <c r="N78" s="94" t="s">
        <v>102</v>
      </c>
      <c r="O78" s="201"/>
      <c r="P78" s="1051">
        <f>IF(AND(ISNUMBER(G78),'Validn data - hide'!C196&gt;0),IF(G78/'Validn data - hide'!C196-1&gt;'Validn data - hide'!$L196,1,IF(G78/'Validn data - hide'!C196-1&lt;-'Validn data - hide'!$L196,-1,0)),0)</f>
        <v>0</v>
      </c>
      <c r="Q78" s="36"/>
      <c r="R78" s="36"/>
      <c r="S78" s="36"/>
      <c r="T78" s="36"/>
    </row>
    <row r="79" spans="1:20" s="471" customFormat="1" x14ac:dyDescent="0.2">
      <c r="A79" s="201"/>
      <c r="B79" s="587"/>
      <c r="C79" s="2677"/>
      <c r="D79" s="475"/>
      <c r="E79" s="475"/>
      <c r="F79" s="476" t="s">
        <v>52</v>
      </c>
      <c r="G79" s="1366">
        <v>1834</v>
      </c>
      <c r="H79" s="480"/>
      <c r="I79" s="480"/>
      <c r="J79" s="475"/>
      <c r="K79" s="475"/>
      <c r="L79" s="475"/>
      <c r="M79" s="856" t="s">
        <v>10</v>
      </c>
      <c r="N79" s="1368" t="s">
        <v>1019</v>
      </c>
      <c r="O79" s="201"/>
      <c r="P79" s="1051">
        <f>IF(AND(ISNUMBER(G79),'Validn data - hide'!C197&gt;0),IF(G79/'Validn data - hide'!C197-1&gt;'Validn data - hide'!$L197,1,IF(G79/'Validn data - hide'!C197-1&lt;-'Validn data - hide'!$L197,-1,0)),0)</f>
        <v>1</v>
      </c>
      <c r="Q79" s="36"/>
      <c r="R79" s="36"/>
      <c r="S79" s="36"/>
      <c r="T79" s="36"/>
    </row>
    <row r="80" spans="1:20" s="471" customFormat="1" x14ac:dyDescent="0.2">
      <c r="A80" s="201"/>
      <c r="B80" s="876"/>
      <c r="C80" s="877"/>
      <c r="D80" s="475"/>
      <c r="E80" s="475"/>
      <c r="F80" s="874" t="s">
        <v>818</v>
      </c>
      <c r="G80" s="1366">
        <v>113</v>
      </c>
      <c r="H80" s="480"/>
      <c r="I80" s="480"/>
      <c r="J80" s="475"/>
      <c r="K80" s="475"/>
      <c r="L80" s="475"/>
      <c r="M80" s="114" t="s">
        <v>352</v>
      </c>
      <c r="N80" s="1330" t="s">
        <v>1017</v>
      </c>
      <c r="O80" s="201"/>
      <c r="P80" s="1051">
        <f>IF(AND(ISNUMBER(G80),'Validn data - hide'!C198&gt;0),IF(G80/'Validn data - hide'!C198-1&gt;'Validn data - hide'!$L198,1,IF(G80/'Validn data - hide'!C198-1&lt;-'Validn data - hide'!$L198,-1,0)),0)</f>
        <v>1</v>
      </c>
      <c r="Q80" s="36"/>
      <c r="R80" s="36"/>
      <c r="S80" s="36"/>
      <c r="T80" s="36"/>
    </row>
    <row r="81" spans="1:20" s="471" customFormat="1" x14ac:dyDescent="0.2">
      <c r="A81" s="201"/>
      <c r="B81" s="475"/>
      <c r="C81" s="475"/>
      <c r="D81" s="475"/>
      <c r="E81" s="475"/>
      <c r="F81" s="874" t="s">
        <v>538</v>
      </c>
      <c r="G81" s="1366">
        <v>12031</v>
      </c>
      <c r="H81" s="480"/>
      <c r="I81" s="480"/>
      <c r="J81" s="475"/>
      <c r="K81" s="475"/>
      <c r="L81" s="475"/>
      <c r="M81" s="114" t="s">
        <v>99</v>
      </c>
      <c r="N81" s="1330">
        <v>42338</v>
      </c>
      <c r="O81" s="201"/>
      <c r="P81" s="1051">
        <f>IF(AND(ISNUMBER(G81),'Validn data - hide'!C199&gt;0),IF(G81/'Validn data - hide'!C199-1&gt;'Validn data - hide'!$L199,1,IF(G81/'Validn data - hide'!C199-1&lt;-'Validn data - hide'!$L199,-1,0)),0)</f>
        <v>0</v>
      </c>
      <c r="Q81" s="36"/>
      <c r="R81" s="36"/>
      <c r="S81" s="36"/>
      <c r="T81" s="36"/>
    </row>
    <row r="82" spans="1:20" s="471" customFormat="1" x14ac:dyDescent="0.2">
      <c r="A82" s="201"/>
      <c r="B82" s="475"/>
      <c r="C82" s="475"/>
      <c r="D82" s="475"/>
      <c r="E82" s="475"/>
      <c r="F82" s="874" t="s">
        <v>507</v>
      </c>
      <c r="G82" s="1366">
        <v>216</v>
      </c>
      <c r="H82" s="480"/>
      <c r="I82" s="480"/>
      <c r="J82" s="475"/>
      <c r="K82" s="475"/>
      <c r="L82" s="475"/>
      <c r="M82" s="114" t="s">
        <v>658</v>
      </c>
      <c r="N82" s="1331" t="s">
        <v>681</v>
      </c>
      <c r="O82" s="201"/>
      <c r="P82" s="1051">
        <f>IF(AND(ISNUMBER(G82),'Validn data - hide'!C200&gt;0),IF(G82/'Validn data - hide'!C200-1&gt;'Validn data - hide'!$L200,1,IF(G82/'Validn data - hide'!C200-1&lt;-'Validn data - hide'!$L200,-1,0)),0)</f>
        <v>1</v>
      </c>
      <c r="Q82" s="36"/>
      <c r="R82" s="36"/>
      <c r="S82" s="36"/>
      <c r="T82" s="36"/>
    </row>
    <row r="83" spans="1:20" s="471" customFormat="1" x14ac:dyDescent="0.2">
      <c r="A83" s="201"/>
      <c r="B83" s="475"/>
      <c r="C83" s="475"/>
      <c r="D83" s="475"/>
      <c r="E83" s="475"/>
      <c r="F83" s="874" t="s">
        <v>96</v>
      </c>
      <c r="G83" s="1366">
        <v>0</v>
      </c>
      <c r="H83" s="475"/>
      <c r="I83" s="475"/>
      <c r="J83" s="475"/>
      <c r="K83" s="475"/>
      <c r="L83" s="475"/>
      <c r="M83" s="475"/>
      <c r="N83" s="475"/>
      <c r="O83" s="201"/>
      <c r="P83" s="1051">
        <f>IF(AND(ISNUMBER(G83),'Validn data - hide'!C201&gt;0),IF(G83/'Validn data - hide'!C201-1&gt;'Validn data - hide'!$L201,1,IF(G83/'Validn data - hide'!C201-1&lt;-'Validn data - hide'!$L201,-1,0)),0)</f>
        <v>0</v>
      </c>
      <c r="Q83" s="36"/>
      <c r="R83" s="36"/>
      <c r="S83" s="36"/>
      <c r="T83" s="36"/>
    </row>
    <row r="84" spans="1:20" s="471" customFormat="1" x14ac:dyDescent="0.2">
      <c r="A84" s="201"/>
      <c r="B84" s="475"/>
      <c r="C84" s="475"/>
      <c r="D84" s="475"/>
      <c r="E84" s="475"/>
      <c r="F84" s="476" t="s">
        <v>30</v>
      </c>
      <c r="G84" s="1367">
        <v>2750.5309999999999</v>
      </c>
      <c r="H84" s="475"/>
      <c r="I84" s="475"/>
      <c r="J84" s="475"/>
      <c r="K84" s="475"/>
      <c r="L84" s="475"/>
      <c r="M84" s="475"/>
      <c r="N84" s="475"/>
      <c r="O84" s="201"/>
      <c r="P84" s="1051">
        <f>IF(AND(ISNUMBER(G84),'Validn data - hide'!C202&gt;0),IF(G84/'Validn data - hide'!C202-1&gt;'Validn data - hide'!$L202,1,IF(G84/'Validn data - hide'!C202-1&lt;-'Validn data - hide'!$L202,-1,0)),0)</f>
        <v>0</v>
      </c>
      <c r="Q84" s="36"/>
      <c r="R84" s="36"/>
      <c r="S84" s="36"/>
      <c r="T84" s="36"/>
    </row>
    <row r="85" spans="1:20" s="471" customFormat="1" x14ac:dyDescent="0.25">
      <c r="A85" s="201"/>
      <c r="B85" s="475"/>
      <c r="C85" s="475"/>
      <c r="D85" s="475"/>
      <c r="E85" s="475"/>
      <c r="F85" s="475"/>
      <c r="G85" s="475"/>
      <c r="H85" s="475"/>
      <c r="I85" s="475"/>
      <c r="J85" s="475"/>
      <c r="K85" s="475"/>
      <c r="L85" s="475"/>
      <c r="M85" s="98"/>
      <c r="N85" s="857"/>
      <c r="O85" s="201"/>
      <c r="P85" s="36"/>
      <c r="Q85" s="36"/>
      <c r="R85" s="36"/>
      <c r="S85" s="36"/>
      <c r="T85" s="36"/>
    </row>
    <row r="86" spans="1:20" s="188" customFormat="1" x14ac:dyDescent="0.25">
      <c r="A86" s="201"/>
      <c r="O86" s="201"/>
      <c r="P86" s="36"/>
      <c r="Q86" s="36"/>
      <c r="R86" s="36"/>
      <c r="S86" s="36"/>
      <c r="T86" s="36"/>
    </row>
    <row r="87" spans="1:20" s="188" customFormat="1" x14ac:dyDescent="0.25">
      <c r="A87" s="201"/>
      <c r="B87" s="97" t="s">
        <v>127</v>
      </c>
      <c r="C87" s="37" t="s">
        <v>908</v>
      </c>
      <c r="G87" s="180" t="s">
        <v>16</v>
      </c>
      <c r="H87" s="180" t="s">
        <v>17</v>
      </c>
      <c r="I87" s="180" t="s">
        <v>18</v>
      </c>
      <c r="M87" s="365" t="s">
        <v>393</v>
      </c>
      <c r="N87" s="366" t="s">
        <v>588</v>
      </c>
      <c r="O87" s="201"/>
      <c r="P87" s="36"/>
      <c r="Q87" s="36"/>
      <c r="R87" s="36"/>
      <c r="S87" s="36"/>
      <c r="T87" s="36"/>
    </row>
    <row r="88" spans="1:20" s="188" customFormat="1" x14ac:dyDescent="0.25">
      <c r="A88" s="201"/>
      <c r="B88" s="113" t="s">
        <v>323</v>
      </c>
      <c r="C88" s="462" t="s">
        <v>468</v>
      </c>
      <c r="F88" s="478" t="s">
        <v>25</v>
      </c>
      <c r="G88" s="1014">
        <f>G65</f>
        <v>3282</v>
      </c>
      <c r="H88" s="1015">
        <f>H65</f>
        <v>0</v>
      </c>
      <c r="I88" s="1016">
        <f>I65</f>
        <v>0</v>
      </c>
      <c r="M88" s="113" t="s">
        <v>100</v>
      </c>
      <c r="N88" s="37" t="s">
        <v>102</v>
      </c>
      <c r="O88" s="201"/>
      <c r="P88" s="36"/>
      <c r="Q88" s="36"/>
      <c r="R88" s="36"/>
      <c r="S88" s="36"/>
      <c r="T88" s="36"/>
    </row>
    <row r="89" spans="1:20" s="188" customFormat="1" x14ac:dyDescent="0.25">
      <c r="A89" s="201"/>
      <c r="B89" s="1453" t="s">
        <v>714</v>
      </c>
      <c r="C89" s="2631" t="s">
        <v>916</v>
      </c>
      <c r="F89" s="478" t="s">
        <v>56</v>
      </c>
      <c r="G89" s="1017">
        <f>SUM(G66,G78)</f>
        <v>1015.83</v>
      </c>
      <c r="H89" s="483">
        <f t="shared" ref="H89:I91" si="2">H66</f>
        <v>0</v>
      </c>
      <c r="I89" s="1018">
        <f t="shared" si="2"/>
        <v>0</v>
      </c>
      <c r="M89" s="11"/>
      <c r="N89" s="11"/>
      <c r="O89" s="201"/>
      <c r="P89" s="36"/>
      <c r="Q89" s="36"/>
      <c r="R89" s="36"/>
      <c r="S89" s="36"/>
      <c r="T89" s="36"/>
    </row>
    <row r="90" spans="1:20" s="188" customFormat="1" x14ac:dyDescent="0.25">
      <c r="A90" s="201"/>
      <c r="B90" s="236"/>
      <c r="C90" s="2632"/>
      <c r="F90" s="478" t="s">
        <v>52</v>
      </c>
      <c r="G90" s="1017">
        <f>SUM(G67,G79)</f>
        <v>1858</v>
      </c>
      <c r="H90" s="483">
        <f t="shared" si="2"/>
        <v>0</v>
      </c>
      <c r="I90" s="1018">
        <f t="shared" si="2"/>
        <v>0</v>
      </c>
      <c r="M90" s="11"/>
      <c r="N90" s="11"/>
      <c r="O90" s="201"/>
      <c r="P90" s="36"/>
      <c r="Q90" s="36"/>
      <c r="R90" s="36"/>
      <c r="S90" s="36"/>
      <c r="T90" s="36"/>
    </row>
    <row r="91" spans="1:20" s="188" customFormat="1" x14ac:dyDescent="0.25">
      <c r="A91" s="201"/>
      <c r="B91" s="221"/>
      <c r="C91" s="2633"/>
      <c r="F91" s="478" t="s">
        <v>22</v>
      </c>
      <c r="G91" s="1017">
        <f>G68</f>
        <v>35542</v>
      </c>
      <c r="H91" s="483">
        <f t="shared" si="2"/>
        <v>0</v>
      </c>
      <c r="I91" s="1018">
        <f t="shared" si="2"/>
        <v>0</v>
      </c>
      <c r="M91" s="11"/>
      <c r="N91" s="11"/>
      <c r="O91" s="201"/>
      <c r="P91" s="36"/>
      <c r="Q91" s="36"/>
      <c r="R91" s="36"/>
      <c r="S91" s="36"/>
      <c r="T91" s="36"/>
    </row>
    <row r="92" spans="1:20" s="188" customFormat="1" x14ac:dyDescent="0.25">
      <c r="A92" s="201"/>
      <c r="F92" s="875" t="s">
        <v>74</v>
      </c>
      <c r="G92" s="1017">
        <f>G69</f>
        <v>2103.25</v>
      </c>
      <c r="H92" s="483">
        <f>H69</f>
        <v>0</v>
      </c>
      <c r="I92" s="1018">
        <f t="shared" ref="I92:I98" si="3">I69</f>
        <v>0</v>
      </c>
      <c r="M92" s="11"/>
      <c r="N92" s="11"/>
      <c r="O92" s="201"/>
      <c r="P92" s="36"/>
      <c r="Q92" s="36"/>
      <c r="R92" s="36"/>
      <c r="S92" s="36"/>
      <c r="T92" s="36"/>
    </row>
    <row r="93" spans="1:20" s="188" customFormat="1" x14ac:dyDescent="0.25">
      <c r="A93" s="201"/>
      <c r="F93" s="875" t="s">
        <v>818</v>
      </c>
      <c r="G93" s="1017">
        <f>G80</f>
        <v>113</v>
      </c>
      <c r="H93" s="483">
        <v>0</v>
      </c>
      <c r="I93" s="1018">
        <f t="shared" si="3"/>
        <v>0</v>
      </c>
      <c r="M93" s="11"/>
      <c r="N93" s="11"/>
      <c r="O93" s="201"/>
      <c r="P93" s="36"/>
      <c r="Q93" s="36"/>
      <c r="R93" s="36"/>
      <c r="S93" s="36"/>
      <c r="T93" s="36"/>
    </row>
    <row r="94" spans="1:20" s="188" customFormat="1" x14ac:dyDescent="0.25">
      <c r="A94" s="201"/>
      <c r="F94" s="875" t="s">
        <v>538</v>
      </c>
      <c r="G94" s="1017">
        <f>SUM(G70,G81)</f>
        <v>12113</v>
      </c>
      <c r="H94" s="483">
        <f>H70</f>
        <v>0</v>
      </c>
      <c r="I94" s="1018">
        <f t="shared" si="3"/>
        <v>0</v>
      </c>
      <c r="M94" s="11"/>
      <c r="N94" s="11"/>
      <c r="O94" s="201"/>
      <c r="P94" s="36"/>
      <c r="Q94" s="36"/>
      <c r="R94" s="36"/>
      <c r="S94" s="36"/>
      <c r="T94" s="36"/>
    </row>
    <row r="95" spans="1:20" s="188" customFormat="1" x14ac:dyDescent="0.25">
      <c r="A95" s="201"/>
      <c r="F95" s="875" t="s">
        <v>507</v>
      </c>
      <c r="G95" s="1017">
        <f>SUM(G71,G82)</f>
        <v>261</v>
      </c>
      <c r="H95" s="483">
        <f>H71</f>
        <v>0</v>
      </c>
      <c r="I95" s="1018">
        <f t="shared" si="3"/>
        <v>0</v>
      </c>
      <c r="M95" s="11"/>
      <c r="N95" s="11"/>
      <c r="O95" s="201"/>
      <c r="P95" s="36"/>
      <c r="Q95" s="36"/>
      <c r="R95" s="36"/>
      <c r="S95" s="36"/>
      <c r="T95" s="36"/>
    </row>
    <row r="96" spans="1:20" s="188" customFormat="1" x14ac:dyDescent="0.25">
      <c r="A96" s="201"/>
      <c r="F96" s="875" t="s">
        <v>96</v>
      </c>
      <c r="G96" s="1017">
        <f>SUM(G72,G83)</f>
        <v>74</v>
      </c>
      <c r="H96" s="483">
        <f>H72</f>
        <v>0</v>
      </c>
      <c r="I96" s="1018">
        <f t="shared" si="3"/>
        <v>0</v>
      </c>
      <c r="M96" s="11"/>
      <c r="N96" s="11"/>
      <c r="O96" s="201"/>
      <c r="P96" s="36"/>
      <c r="Q96" s="36"/>
      <c r="R96" s="36"/>
      <c r="S96" s="36"/>
      <c r="T96" s="36"/>
    </row>
    <row r="97" spans="1:20" s="188" customFormat="1" x14ac:dyDescent="0.25">
      <c r="A97" s="201"/>
      <c r="F97" s="478" t="s">
        <v>30</v>
      </c>
      <c r="G97" s="1017">
        <f>SUM(G73,G84)</f>
        <v>3100.971</v>
      </c>
      <c r="H97" s="483">
        <f>H73</f>
        <v>0</v>
      </c>
      <c r="I97" s="1018">
        <f t="shared" si="3"/>
        <v>0</v>
      </c>
      <c r="M97" s="11"/>
      <c r="N97" s="11"/>
      <c r="O97" s="201"/>
      <c r="P97" s="36"/>
      <c r="Q97" s="36"/>
      <c r="R97" s="36"/>
      <c r="S97" s="36"/>
      <c r="T97" s="36"/>
    </row>
    <row r="98" spans="1:20" s="188" customFormat="1" x14ac:dyDescent="0.25">
      <c r="A98" s="201"/>
      <c r="F98" s="478" t="s">
        <v>27</v>
      </c>
      <c r="G98" s="1019">
        <f>G74</f>
        <v>5460.42</v>
      </c>
      <c r="H98" s="1020">
        <f>H74</f>
        <v>330.13</v>
      </c>
      <c r="I98" s="1021">
        <f t="shared" si="3"/>
        <v>0</v>
      </c>
      <c r="M98" s="11"/>
      <c r="N98" s="11"/>
      <c r="O98" s="201"/>
      <c r="P98" s="36"/>
      <c r="Q98" s="36"/>
      <c r="R98" s="36"/>
      <c r="S98" s="36"/>
      <c r="T98" s="36"/>
    </row>
    <row r="99" spans="1:20" s="188" customFormat="1" x14ac:dyDescent="0.25">
      <c r="A99" s="201"/>
      <c r="M99" s="11"/>
      <c r="N99" s="11"/>
      <c r="O99" s="201"/>
      <c r="P99" s="36"/>
      <c r="Q99" s="36"/>
      <c r="R99" s="36"/>
      <c r="S99" s="36"/>
      <c r="T99" s="36"/>
    </row>
    <row r="100" spans="1:20" ht="15.75" x14ac:dyDescent="0.25">
      <c r="A100" s="131"/>
      <c r="B100" s="131"/>
      <c r="C100" s="131"/>
      <c r="D100" s="131"/>
      <c r="E100" s="131"/>
      <c r="F100" s="131"/>
      <c r="G100" s="131"/>
      <c r="H100" s="131"/>
      <c r="I100" s="131"/>
      <c r="J100" s="131"/>
      <c r="K100" s="131"/>
      <c r="L100" s="131"/>
      <c r="M100" s="131"/>
      <c r="N100" s="131"/>
      <c r="O100" s="131"/>
    </row>
    <row r="101" spans="1:20" ht="15.75" x14ac:dyDescent="0.25">
      <c r="A101" s="133"/>
      <c r="B101" s="134" t="s">
        <v>462</v>
      </c>
      <c r="C101" s="364" t="s">
        <v>574</v>
      </c>
      <c r="D101" s="133"/>
      <c r="E101" s="133"/>
      <c r="F101" s="133"/>
      <c r="G101" s="133"/>
      <c r="H101" s="133"/>
      <c r="I101" s="133"/>
      <c r="J101" s="133"/>
      <c r="K101" s="133"/>
      <c r="L101" s="133"/>
      <c r="M101" s="135"/>
      <c r="N101" s="133"/>
      <c r="O101" s="133"/>
    </row>
    <row r="102" spans="1:20" s="188" customFormat="1" x14ac:dyDescent="0.25">
      <c r="A102" s="204"/>
      <c r="B102" s="192"/>
      <c r="C102" s="11"/>
      <c r="D102" s="11"/>
      <c r="E102" s="11"/>
      <c r="F102" s="11"/>
      <c r="G102" s="11"/>
      <c r="H102" s="11"/>
      <c r="I102" s="11"/>
      <c r="J102" s="11"/>
      <c r="K102" s="11"/>
      <c r="L102" s="11"/>
      <c r="M102" s="11"/>
      <c r="N102" s="11"/>
      <c r="O102" s="205"/>
      <c r="P102" s="36"/>
      <c r="Q102" s="36"/>
      <c r="R102" s="36"/>
      <c r="S102" s="36"/>
      <c r="T102" s="36"/>
    </row>
    <row r="103" spans="1:20" s="188" customFormat="1" x14ac:dyDescent="0.25">
      <c r="A103" s="204"/>
      <c r="B103" s="97"/>
      <c r="C103" s="37" t="s">
        <v>576</v>
      </c>
      <c r="D103" s="11"/>
      <c r="E103" s="11"/>
      <c r="F103" s="11"/>
      <c r="G103" s="11"/>
      <c r="H103" s="11"/>
      <c r="I103" s="11"/>
      <c r="J103" s="11"/>
      <c r="K103" s="11"/>
      <c r="L103" s="11"/>
      <c r="M103" s="11"/>
      <c r="N103" s="11"/>
      <c r="O103" s="205"/>
      <c r="P103" s="36"/>
      <c r="Q103" s="36"/>
      <c r="R103" s="36"/>
      <c r="S103" s="36"/>
      <c r="T103" s="36"/>
    </row>
    <row r="104" spans="1:20" s="188" customFormat="1" x14ac:dyDescent="0.25">
      <c r="A104" s="204"/>
      <c r="B104" s="191"/>
      <c r="C104" s="199"/>
      <c r="D104" s="197"/>
      <c r="E104" s="197"/>
      <c r="F104" s="197"/>
      <c r="G104" s="197"/>
      <c r="H104" s="197"/>
      <c r="I104" s="197"/>
      <c r="J104" s="197"/>
      <c r="K104" s="197"/>
      <c r="L104" s="197"/>
      <c r="M104" s="197"/>
      <c r="N104" s="197"/>
      <c r="O104" s="205"/>
      <c r="P104" s="1051"/>
      <c r="Q104" s="1051"/>
      <c r="R104" s="1051"/>
      <c r="S104" s="36"/>
      <c r="T104" s="36"/>
    </row>
    <row r="105" spans="1:20" s="15" customFormat="1" ht="15.75" x14ac:dyDescent="0.25">
      <c r="A105" s="133"/>
      <c r="B105" s="133"/>
      <c r="C105" s="133"/>
      <c r="D105" s="133"/>
      <c r="E105" s="133"/>
      <c r="F105" s="133"/>
      <c r="G105" s="133"/>
      <c r="H105" s="133"/>
      <c r="I105" s="133"/>
      <c r="J105" s="133"/>
      <c r="K105" s="133"/>
      <c r="L105" s="133"/>
      <c r="M105" s="133"/>
      <c r="N105" s="133"/>
      <c r="O105" s="133"/>
      <c r="P105" s="1051"/>
      <c r="Q105" s="1051"/>
      <c r="R105" s="1051"/>
      <c r="S105" s="36"/>
      <c r="T105" s="36"/>
    </row>
    <row r="106" spans="1:20" ht="15.75" x14ac:dyDescent="0.25">
      <c r="B106" s="143" t="s">
        <v>577</v>
      </c>
      <c r="M106" s="19"/>
      <c r="P106" s="1051"/>
      <c r="Q106" s="1051"/>
      <c r="R106" s="1051"/>
    </row>
    <row r="107" spans="1:20" x14ac:dyDescent="0.25">
      <c r="B107" s="141" t="s">
        <v>361</v>
      </c>
      <c r="E107" s="16"/>
      <c r="F107" s="122"/>
      <c r="G107" s="434" t="s">
        <v>113</v>
      </c>
      <c r="H107" s="435" t="s">
        <v>114</v>
      </c>
      <c r="I107" s="436" t="s">
        <v>38</v>
      </c>
      <c r="J107" s="6" t="s">
        <v>88</v>
      </c>
      <c r="L107" s="6" t="s">
        <v>368</v>
      </c>
      <c r="P107" s="1051"/>
      <c r="Q107" s="1051"/>
      <c r="R107" s="1051"/>
    </row>
    <row r="108" spans="1:20" x14ac:dyDescent="0.2">
      <c r="B108" s="7"/>
      <c r="C108" s="7"/>
      <c r="D108" s="7"/>
      <c r="E108" s="7"/>
      <c r="F108" s="138" t="s">
        <v>143</v>
      </c>
      <c r="G108" s="417">
        <f>$J108*'Other national data'!L423</f>
        <v>0</v>
      </c>
      <c r="H108" s="418">
        <f>$J108*'Other national data'!M423</f>
        <v>0</v>
      </c>
      <c r="I108" s="419">
        <f>$J108*'Other national data'!N423</f>
        <v>0</v>
      </c>
      <c r="J108" s="1495">
        <f>SUMIFS('Basel data'!E:E,'Basel data'!A:A,L108,'Basel data'!G:G,$B$1)+SUMIFS('Basel data'!F:F,'Basel data'!A:A,L108,'Basel data'!G:G,$B$1)+SUMIFS('Basel data'!E:E,'Basel data'!C:C,L108,'Basel data'!G:G,$B$1)+SUMIFS('Basel data'!F:F,'Basel data'!C:C,L108,'Basel data'!G:G,$B$1)</f>
        <v>0</v>
      </c>
      <c r="L108" s="121" t="s">
        <v>142</v>
      </c>
      <c r="O108" s="36" t="str">
        <f>IF(ROUND(SUM(G108:I108),0)=ROUND(J108,0),"OK","Error")</f>
        <v>OK</v>
      </c>
      <c r="P108" s="1051"/>
      <c r="Q108" s="1051"/>
      <c r="R108" s="1051"/>
    </row>
    <row r="109" spans="1:20" x14ac:dyDescent="0.2">
      <c r="B109" s="7"/>
      <c r="C109" s="7"/>
      <c r="D109" s="7"/>
      <c r="E109" s="7"/>
      <c r="F109" s="138" t="s">
        <v>152</v>
      </c>
      <c r="G109" s="123">
        <f>$J109*'Other national data'!L424</f>
        <v>3.3560641790130991E-2</v>
      </c>
      <c r="H109" s="420">
        <f>$J109*'Other national data'!M424</f>
        <v>0.1274393582098674</v>
      </c>
      <c r="I109" s="421">
        <f>$J109*'Other national data'!N424</f>
        <v>1.6100000000000001E-15</v>
      </c>
      <c r="J109" s="1495">
        <f>SUMIFS('Basel data'!E:E,'Basel data'!A:A,L109,'Basel data'!G:G,$B$1)+SUMIFS('Basel data'!F:F,'Basel data'!A:A,L109,'Basel data'!G:G,$B$1)+SUMIFS('Basel data'!E:E,'Basel data'!C:C,L109,'Basel data'!G:G,$B$1)+SUMIFS('Basel data'!F:F,'Basel data'!C:C,L109,'Basel data'!G:G,$B$1)</f>
        <v>0.161</v>
      </c>
      <c r="L109" s="121" t="s">
        <v>151</v>
      </c>
      <c r="O109" s="36" t="str">
        <f t="shared" ref="O109:O124" si="4">IF(ROUND(SUM(G109:I109),0)=ROUND(J109,0),"OK","Error")</f>
        <v>OK</v>
      </c>
      <c r="P109" s="1051"/>
      <c r="Q109" s="1051"/>
      <c r="R109" s="1051"/>
    </row>
    <row r="110" spans="1:20" x14ac:dyDescent="0.2">
      <c r="B110" s="7"/>
      <c r="C110" s="7"/>
      <c r="D110" s="7"/>
      <c r="E110" s="7"/>
      <c r="F110" s="138" t="s">
        <v>156</v>
      </c>
      <c r="G110" s="123">
        <f>$J110*'Other national data'!L425</f>
        <v>28.840638272824158</v>
      </c>
      <c r="H110" s="420">
        <f>$J110*'Other national data'!M425</f>
        <v>91.359361727174644</v>
      </c>
      <c r="I110" s="421">
        <f>$J110*'Other national data'!N425</f>
        <v>1.2019999999999999E-12</v>
      </c>
      <c r="J110" s="1495">
        <f>SUMIFS('Basel data'!E:E,'Basel data'!A:A,L110,'Basel data'!G:G,$B$1)+SUMIFS('Basel data'!F:F,'Basel data'!A:A,L110,'Basel data'!G:G,$B$1)+SUMIFS('Basel data'!E:E,'Basel data'!C:C,L110,'Basel data'!G:G,$B$1)+SUMIFS('Basel data'!F:F,'Basel data'!C:C,L110,'Basel data'!G:G,$B$1)</f>
        <v>120.2</v>
      </c>
      <c r="L110" s="121" t="s">
        <v>155</v>
      </c>
      <c r="O110" s="36" t="str">
        <f t="shared" si="4"/>
        <v>OK</v>
      </c>
      <c r="P110" s="1051"/>
      <c r="Q110" s="1051"/>
      <c r="R110" s="1051"/>
    </row>
    <row r="111" spans="1:20" x14ac:dyDescent="0.2">
      <c r="B111" s="7"/>
      <c r="C111" s="7"/>
      <c r="D111" s="7"/>
      <c r="E111" s="7"/>
      <c r="F111" s="138" t="s">
        <v>160</v>
      </c>
      <c r="G111" s="123">
        <f>$J111*'Other national data'!L426</f>
        <v>78.946039488951754</v>
      </c>
      <c r="H111" s="420">
        <f>$J111*'Other national data'!M426</f>
        <v>204.1602305110454</v>
      </c>
      <c r="I111" s="421">
        <f>$J111*'Other national data'!N426</f>
        <v>2.8310626999999998E-12</v>
      </c>
      <c r="J111" s="1495">
        <f>SUMIFS('Basel data'!E:E,'Basel data'!A:A,L111,'Basel data'!G:G,$B$1)+SUMIFS('Basel data'!F:F,'Basel data'!A:A,L111,'Basel data'!G:G,$B$1)+SUMIFS('Basel data'!E:E,'Basel data'!C:C,L111,'Basel data'!G:G,$B$1)+SUMIFS('Basel data'!F:F,'Basel data'!C:C,L111,'Basel data'!G:G,$B$1)</f>
        <v>283.10626999999999</v>
      </c>
      <c r="L111" s="121" t="s">
        <v>159</v>
      </c>
      <c r="O111" s="36" t="str">
        <f t="shared" si="4"/>
        <v>OK</v>
      </c>
      <c r="P111" s="1051"/>
      <c r="Q111" s="1051"/>
      <c r="R111" s="1051"/>
    </row>
    <row r="112" spans="1:20" x14ac:dyDescent="0.2">
      <c r="B112" s="7"/>
      <c r="C112" s="7"/>
      <c r="D112" s="7"/>
      <c r="E112" s="7"/>
      <c r="F112" s="138" t="s">
        <v>210</v>
      </c>
      <c r="G112" s="123">
        <f>$J112*'Other national data'!L427</f>
        <v>0</v>
      </c>
      <c r="H112" s="420">
        <f>$J112*'Other national data'!M427</f>
        <v>0</v>
      </c>
      <c r="I112" s="421">
        <f>$J112*'Other national data'!N427</f>
        <v>0</v>
      </c>
      <c r="J112" s="1495">
        <f>SUMIFS('Basel data'!E:E,'Basel data'!A:A,L112,'Basel data'!G:G,$B$1)+SUMIFS('Basel data'!F:F,'Basel data'!A:A,L112,'Basel data'!G:G,$B$1)+SUMIFS('Basel data'!E:E,'Basel data'!C:C,L112,'Basel data'!G:G,$B$1)+SUMIFS('Basel data'!F:F,'Basel data'!C:C,L112,'Basel data'!G:G,$B$1)</f>
        <v>0</v>
      </c>
      <c r="L112" s="121" t="s">
        <v>209</v>
      </c>
      <c r="O112" s="36" t="str">
        <f t="shared" si="4"/>
        <v>OK</v>
      </c>
      <c r="P112" s="1051"/>
      <c r="Q112" s="1051"/>
      <c r="R112" s="1051"/>
    </row>
    <row r="113" spans="2:20" x14ac:dyDescent="0.2">
      <c r="B113" s="7"/>
      <c r="C113" s="7"/>
      <c r="D113" s="7"/>
      <c r="E113" s="7"/>
      <c r="F113" s="138" t="s">
        <v>214</v>
      </c>
      <c r="G113" s="123">
        <f>$J113*'Other national data'!L428</f>
        <v>14.385695265122148</v>
      </c>
      <c r="H113" s="420">
        <f>$J113*'Other national data'!M428</f>
        <v>30.505304734877399</v>
      </c>
      <c r="I113" s="421">
        <f>$J113*'Other national data'!N428</f>
        <v>4.4891E-13</v>
      </c>
      <c r="J113" s="1495">
        <f>SUMIFS('Basel data'!E:E,'Basel data'!A:A,L113,'Basel data'!G:G,$B$1)+SUMIFS('Basel data'!F:F,'Basel data'!A:A,L113,'Basel data'!G:G,$B$1)+SUMIFS('Basel data'!E:E,'Basel data'!C:C,L113,'Basel data'!G:G,$B$1)+SUMIFS('Basel data'!F:F,'Basel data'!C:C,L113,'Basel data'!G:G,$B$1)</f>
        <v>44.890999999999998</v>
      </c>
      <c r="L113" s="121" t="s">
        <v>213</v>
      </c>
      <c r="O113" s="36" t="str">
        <f t="shared" si="4"/>
        <v>OK</v>
      </c>
      <c r="P113" s="1051"/>
      <c r="Q113" s="1051"/>
      <c r="R113" s="1051"/>
    </row>
    <row r="114" spans="2:20" x14ac:dyDescent="0.2">
      <c r="B114" s="7"/>
      <c r="C114" s="7"/>
      <c r="D114" s="7"/>
      <c r="E114" s="7"/>
      <c r="F114" s="138" t="s">
        <v>220</v>
      </c>
      <c r="G114" s="123">
        <f>$J114*'Other national data'!L429</f>
        <v>0</v>
      </c>
      <c r="H114" s="420">
        <f>$J114*'Other national data'!M429</f>
        <v>0</v>
      </c>
      <c r="I114" s="421">
        <f>$J114*'Other national data'!N429</f>
        <v>0</v>
      </c>
      <c r="J114" s="1495">
        <f>SUMIFS('Basel data'!E:E,'Basel data'!A:A,L114,'Basel data'!G:G,$B$1)+SUMIFS('Basel data'!F:F,'Basel data'!A:A,L114,'Basel data'!G:G,$B$1)+SUMIFS('Basel data'!E:E,'Basel data'!C:C,L114,'Basel data'!G:G,$B$1)+SUMIFS('Basel data'!F:F,'Basel data'!C:C,L114,'Basel data'!G:G,$B$1)</f>
        <v>0</v>
      </c>
      <c r="L114" s="121" t="s">
        <v>219</v>
      </c>
      <c r="O114" s="36" t="str">
        <f t="shared" si="4"/>
        <v>OK</v>
      </c>
      <c r="P114" s="1051"/>
      <c r="Q114" s="1051"/>
      <c r="R114" s="1051"/>
    </row>
    <row r="115" spans="2:20" x14ac:dyDescent="0.2">
      <c r="B115" s="7"/>
      <c r="C115" s="7"/>
      <c r="D115" s="7"/>
      <c r="E115" s="7"/>
      <c r="F115" s="138" t="s">
        <v>230</v>
      </c>
      <c r="G115" s="123">
        <f>$J115*'Other national data'!L430</f>
        <v>2.044814058420882E-2</v>
      </c>
      <c r="H115" s="420">
        <f>$J115*'Other national data'!M430</f>
        <v>0.28455185941578814</v>
      </c>
      <c r="I115" s="421">
        <f>$J115*'Other national data'!N430</f>
        <v>3.0499999999999999E-15</v>
      </c>
      <c r="J115" s="1495">
        <f>SUMIFS('Basel data'!E:E,'Basel data'!A:A,L115,'Basel data'!G:G,$B$1)+SUMIFS('Basel data'!F:F,'Basel data'!A:A,L115,'Basel data'!G:G,$B$1)+SUMIFS('Basel data'!E:E,'Basel data'!C:C,L115,'Basel data'!G:G,$B$1)+SUMIFS('Basel data'!F:F,'Basel data'!C:C,L115,'Basel data'!G:G,$B$1)</f>
        <v>0.30499999999999999</v>
      </c>
      <c r="L115" s="121" t="s">
        <v>229</v>
      </c>
      <c r="O115" s="36" t="str">
        <f t="shared" si="4"/>
        <v>OK</v>
      </c>
      <c r="P115" s="1051"/>
      <c r="Q115" s="1051"/>
      <c r="R115" s="1051"/>
    </row>
    <row r="116" spans="2:20" x14ac:dyDescent="0.2">
      <c r="B116" s="7"/>
      <c r="C116" s="7"/>
      <c r="D116" s="7"/>
      <c r="E116" s="7"/>
      <c r="F116" s="138" t="s">
        <v>238</v>
      </c>
      <c r="G116" s="123">
        <f>$J116*'Other national data'!L431</f>
        <v>480.80583742398022</v>
      </c>
      <c r="H116" s="420">
        <f>$J116*'Other national data'!M431</f>
        <v>3997.7813625759745</v>
      </c>
      <c r="I116" s="421">
        <f>$J116*'Other national data'!N431</f>
        <v>4.4785871999999996E-11</v>
      </c>
      <c r="J116" s="1495">
        <f>SUMIFS('Basel data'!E:E,'Basel data'!A:A,L116,'Basel data'!G:G,$B$1)+SUMIFS('Basel data'!F:F,'Basel data'!A:A,L116,'Basel data'!G:G,$B$1)+SUMIFS('Basel data'!E:E,'Basel data'!C:C,L116,'Basel data'!G:G,$B$1)+SUMIFS('Basel data'!F:F,'Basel data'!C:C,L116,'Basel data'!G:G,$B$1)</f>
        <v>4478.5871999999999</v>
      </c>
      <c r="L116" s="121" t="s">
        <v>237</v>
      </c>
      <c r="O116" s="36" t="str">
        <f t="shared" si="4"/>
        <v>OK</v>
      </c>
      <c r="P116" s="1051"/>
      <c r="Q116" s="1051"/>
      <c r="R116" s="1051"/>
    </row>
    <row r="117" spans="2:20" x14ac:dyDescent="0.2">
      <c r="B117" s="7"/>
      <c r="C117" s="7"/>
      <c r="D117" s="7"/>
      <c r="E117" s="7"/>
      <c r="F117" s="138" t="s">
        <v>246</v>
      </c>
      <c r="G117" s="123">
        <f>$J117*'Other national data'!L432</f>
        <v>434.84687375850439</v>
      </c>
      <c r="H117" s="420">
        <f>$J117*'Other national data'!M432</f>
        <v>8173.2898129713712</v>
      </c>
      <c r="I117" s="421">
        <f>$J117*'Other national data'!N432</f>
        <v>8.6081366867299624E-11</v>
      </c>
      <c r="J117" s="1495">
        <f>SUMIFS('Basel data'!E:E,'Basel data'!A:A,L117,'Basel data'!G:G,$B$1)+SUMIFS('Basel data'!F:F,'Basel data'!A:A,L117,'Basel data'!G:G,$B$1)+SUMIFS('Basel data'!E:E,'Basel data'!C:C,L117,'Basel data'!G:G,$B$1)+SUMIFS('Basel data'!F:F,'Basel data'!C:C,L117,'Basel data'!G:G,$B$1)</f>
        <v>8608.1366867299621</v>
      </c>
      <c r="L117" s="121" t="s">
        <v>245</v>
      </c>
      <c r="O117" s="36" t="str">
        <f t="shared" si="4"/>
        <v>OK</v>
      </c>
      <c r="P117" s="1051"/>
      <c r="Q117" s="1051"/>
      <c r="R117" s="1051"/>
    </row>
    <row r="118" spans="2:20" x14ac:dyDescent="0.2">
      <c r="B118" s="7"/>
      <c r="C118" s="7"/>
      <c r="D118" s="7"/>
      <c r="E118" s="7"/>
      <c r="F118" s="138" t="s">
        <v>256</v>
      </c>
      <c r="G118" s="123">
        <f>$J118*'Other national data'!L433</f>
        <v>1.916411531804538</v>
      </c>
      <c r="H118" s="420">
        <f>$J118*'Other national data'!M433</f>
        <v>0.72358846819543576</v>
      </c>
      <c r="I118" s="421">
        <f>$J118*'Other national data'!N433</f>
        <v>2.64E-14</v>
      </c>
      <c r="J118" s="1495">
        <f>SUMIFS('Basel data'!E:E,'Basel data'!A:A,L118,'Basel data'!G:G,$B$1)+SUMIFS('Basel data'!F:F,'Basel data'!A:A,L118,'Basel data'!G:G,$B$1)+SUMIFS('Basel data'!E:E,'Basel data'!C:C,L118,'Basel data'!G:G,$B$1)+SUMIFS('Basel data'!F:F,'Basel data'!C:C,L118,'Basel data'!G:G,$B$1)</f>
        <v>2.64</v>
      </c>
      <c r="L118" s="121" t="s">
        <v>255</v>
      </c>
      <c r="O118" s="36" t="str">
        <f t="shared" si="4"/>
        <v>OK</v>
      </c>
      <c r="P118" s="1051"/>
      <c r="Q118" s="1051"/>
      <c r="R118" s="1051"/>
    </row>
    <row r="119" spans="2:20" x14ac:dyDescent="0.2">
      <c r="B119" s="7"/>
      <c r="C119" s="7"/>
      <c r="D119" s="7"/>
      <c r="E119" s="7"/>
      <c r="F119" s="139" t="s">
        <v>343</v>
      </c>
      <c r="G119" s="123">
        <f>$J119*'Other national data'!L434</f>
        <v>11690.267035550147</v>
      </c>
      <c r="H119" s="420">
        <f>$J119*'Other national data'!M434</f>
        <v>180.821981394435</v>
      </c>
      <c r="I119" s="421">
        <f>$J119*'Other national data'!N434</f>
        <v>1.1871089016944702E-10</v>
      </c>
      <c r="J119" s="1495">
        <f>SUMIFS('Basel data'!E:E,'Basel data'!A:A,L119,'Basel data'!G:G,$B$1)+SUMIFS('Basel data'!F:F,'Basel data'!A:A,L119,'Basel data'!G:G,$B$1)+SUMIFS('Basel data'!E:E,'Basel data'!C:C,L119,'Basel data'!G:G,$B$1)+SUMIFS('Basel data'!F:F,'Basel data'!C:C,L119,'Basel data'!G:G,$B$1)</f>
        <v>11871.089016944701</v>
      </c>
      <c r="L119" s="121" t="s">
        <v>281</v>
      </c>
      <c r="O119" s="36" t="str">
        <f t="shared" si="4"/>
        <v>OK</v>
      </c>
      <c r="P119" s="1051"/>
      <c r="Q119" s="1051"/>
      <c r="R119" s="1051"/>
    </row>
    <row r="120" spans="2:20" x14ac:dyDescent="0.2">
      <c r="B120" s="7"/>
      <c r="C120" s="7"/>
      <c r="D120" s="7"/>
      <c r="E120" s="7"/>
      <c r="F120" s="139" t="s">
        <v>97</v>
      </c>
      <c r="G120" s="123">
        <f>$J120*'Other national data'!L435</f>
        <v>999.97</v>
      </c>
      <c r="H120" s="420">
        <f>$J120*'Other national data'!M435</f>
        <v>-9.9997000000000007E-12</v>
      </c>
      <c r="I120" s="421">
        <f>$J120*'Other national data'!N435</f>
        <v>9.9997000000000007E-12</v>
      </c>
      <c r="J120" s="1495">
        <f>SUMIFS('Basel data'!E:E,'Basel data'!A:A,L120,'Basel data'!G:G,$B$1)+SUMIFS('Basel data'!F:F,'Basel data'!A:A,L120,'Basel data'!G:G,$B$1)+SUMIFS('Basel data'!E:E,'Basel data'!C:C,L120,'Basel data'!G:G,$B$1)+SUMIFS('Basel data'!F:F,'Basel data'!C:C,L120,'Basel data'!G:G,$B$1)</f>
        <v>999.97</v>
      </c>
      <c r="L120" s="121" t="s">
        <v>293</v>
      </c>
      <c r="O120" s="36" t="str">
        <f t="shared" si="4"/>
        <v>OK</v>
      </c>
      <c r="P120" s="1051"/>
      <c r="Q120" s="1051"/>
      <c r="R120" s="1051"/>
    </row>
    <row r="121" spans="2:20" x14ac:dyDescent="0.2">
      <c r="B121" s="7"/>
      <c r="C121" s="7"/>
      <c r="D121" s="7"/>
      <c r="E121" s="7"/>
      <c r="F121" s="139" t="s">
        <v>345</v>
      </c>
      <c r="G121" s="2541">
        <f>$J121*'Other national data'!J443</f>
        <v>1042.5961818869123</v>
      </c>
      <c r="H121" s="2542">
        <f>J121-G121</f>
        <v>8919.9895561435842</v>
      </c>
      <c r="I121" s="421">
        <f>$J121*'Other national data'!N436</f>
        <v>0</v>
      </c>
      <c r="J121" s="1495">
        <f>SUMIFS('Basel data'!E:E,'Basel data'!A:A,L121,'Basel data'!G:G,$B$1)+SUMIFS('Basel data'!F:F,'Basel data'!A:A,L121,'Basel data'!G:G,$B$1)+SUMIFS('Basel data'!E:E,'Basel data'!C:C,L121,'Basel data'!G:G,$B$1)+SUMIFS('Basel data'!F:F,'Basel data'!C:C,L121,'Basel data'!G:G,$B$1)-SUM(J119:J120)</f>
        <v>9962.5857380304969</v>
      </c>
      <c r="K121" s="142" t="s">
        <v>27</v>
      </c>
      <c r="L121" s="121" t="s">
        <v>277</v>
      </c>
      <c r="O121" s="36" t="str">
        <f t="shared" si="4"/>
        <v>OK</v>
      </c>
      <c r="P121" s="1051"/>
      <c r="Q121" s="1051"/>
      <c r="R121" s="1051"/>
    </row>
    <row r="122" spans="2:20" x14ac:dyDescent="0.2">
      <c r="B122" s="7"/>
      <c r="C122" s="7"/>
      <c r="D122" s="7"/>
      <c r="E122" s="7"/>
      <c r="F122" s="138" t="s">
        <v>297</v>
      </c>
      <c r="G122" s="123">
        <f>$J122*'Other national data'!L437</f>
        <v>58.806087610825841</v>
      </c>
      <c r="H122" s="420">
        <f>$J122*'Other national data'!M437</f>
        <v>17.388812389173388</v>
      </c>
      <c r="I122" s="421">
        <f>$J122*'Other national data'!N437</f>
        <v>7.6194899999999993E-13</v>
      </c>
      <c r="J122" s="1495">
        <f>SUMIFS('Basel data'!E:E,'Basel data'!A:A,L122,'Basel data'!G:G,$B$1)+SUMIFS('Basel data'!F:F,'Basel data'!A:A,L122,'Basel data'!G:G,$B$1)+SUMIFS('Basel data'!E:E,'Basel data'!C:C,L122,'Basel data'!G:G,$B$1)+SUMIFS('Basel data'!F:F,'Basel data'!C:C,L122,'Basel data'!G:G,$B$1)</f>
        <v>76.19489999999999</v>
      </c>
      <c r="L122" s="121" t="s">
        <v>296</v>
      </c>
      <c r="O122" s="36" t="str">
        <f t="shared" si="4"/>
        <v>OK</v>
      </c>
      <c r="P122" s="1051"/>
      <c r="Q122" s="1051"/>
      <c r="R122" s="1051"/>
    </row>
    <row r="123" spans="2:20" x14ac:dyDescent="0.2">
      <c r="B123" s="7"/>
      <c r="C123" s="7"/>
      <c r="D123" s="7"/>
      <c r="E123" s="7"/>
      <c r="F123" s="1283" t="s">
        <v>39</v>
      </c>
      <c r="G123" s="123">
        <f>$J123*'Other national data'!L438</f>
        <v>1791.5348302529972</v>
      </c>
      <c r="H123" s="420">
        <f>$J123*'Other national data'!M438</f>
        <v>3198.9829576237489</v>
      </c>
      <c r="I123" s="421">
        <f>$J123*'Other national data'!N438</f>
        <v>4.9905177878767951E-11</v>
      </c>
      <c r="J123" s="1495">
        <f>SUMIFS('Basel data'!E:E,'Basel data'!A:A,L123,'Basel data'!G:G,$B$1)+SUMIFS('Basel data'!F:F,'Basel data'!A:A,L123,'Basel data'!G:G,$B$1)+SUMIFS('Basel data'!E:E,'Basel data'!C:C,L123,'Basel data'!G:G,$B$1)+SUMIFS('Basel data'!F:F,'Basel data'!C:C,L123,'Basel data'!G:G,$B$1)</f>
        <v>4990.5177878767954</v>
      </c>
      <c r="L123" s="1275" t="s">
        <v>309</v>
      </c>
      <c r="O123" s="36" t="str">
        <f t="shared" si="4"/>
        <v>OK</v>
      </c>
    </row>
    <row r="124" spans="2:20" x14ac:dyDescent="0.2">
      <c r="C124" s="7"/>
      <c r="D124" s="7"/>
      <c r="E124" s="7"/>
      <c r="F124" s="1283" t="s">
        <v>904</v>
      </c>
      <c r="G124" s="422">
        <f>$J124*'Other national data'!L439</f>
        <v>5.0423501445077932</v>
      </c>
      <c r="H124" s="423">
        <f>$J124*'Other national data'!M439</f>
        <v>21.197649855491726</v>
      </c>
      <c r="I124" s="424">
        <f>$J124*'Other national data'!N439</f>
        <v>2.623999999999978E-13</v>
      </c>
      <c r="J124" s="1495">
        <f>SUMIFS('Basel data'!E:E,'Basel data'!A:A,L124,'Basel data'!G:G,$B$1)+SUMIFS('Basel data'!F:F,'Basel data'!A:A,L124,'Basel data'!G:G,$B$1)+SUMIFS('Basel data'!E:E,'Basel data'!C:C,L124,'Basel data'!G:G,$B$1)+SUMIFS('Basel data'!F:F,'Basel data'!C:C,L124,'Basel data'!G:G,$B$1)-J123</f>
        <v>26.239999999999782</v>
      </c>
      <c r="L124" s="121" t="s">
        <v>303</v>
      </c>
      <c r="O124" s="36" t="str">
        <f t="shared" si="4"/>
        <v>OK</v>
      </c>
    </row>
    <row r="125" spans="2:20" x14ac:dyDescent="0.25">
      <c r="J125" s="1318">
        <f>SUM(J108:J124)</f>
        <v>41464.624599581955</v>
      </c>
      <c r="O125" s="35" t="str">
        <f>IF(SUM(SUMIF('Basel data'!G:G,B1,'Basel data'!E:E),SUMIF('Basel data'!G:G,B1,'Basel data'!F:F))=J125,"OK","Error")</f>
        <v>OK</v>
      </c>
      <c r="P125" s="1051"/>
      <c r="Q125" s="1051"/>
      <c r="R125" s="1051"/>
    </row>
    <row r="126" spans="2:20" x14ac:dyDescent="0.25">
      <c r="M126" s="19"/>
      <c r="P126" s="1051"/>
      <c r="Q126" s="1051"/>
      <c r="R126" s="1051"/>
    </row>
    <row r="127" spans="2:20" x14ac:dyDescent="0.25">
      <c r="K127" s="126"/>
      <c r="M127" s="19"/>
      <c r="P127" s="1051"/>
      <c r="Q127" s="1051"/>
      <c r="R127" s="1051"/>
      <c r="T127" s="1052"/>
    </row>
    <row r="128" spans="2:20" ht="15.75" x14ac:dyDescent="0.25">
      <c r="B128" s="143" t="s">
        <v>585</v>
      </c>
      <c r="F128" s="143" t="s">
        <v>586</v>
      </c>
      <c r="K128" s="126"/>
      <c r="M128" s="19"/>
      <c r="P128" s="1051"/>
      <c r="Q128" s="1051"/>
      <c r="R128" s="1051"/>
    </row>
    <row r="129" spans="2:20" s="1511" customFormat="1" ht="27" customHeight="1" x14ac:dyDescent="0.25">
      <c r="B129" s="2618" t="s">
        <v>1045</v>
      </c>
      <c r="C129" s="2619"/>
      <c r="D129" s="2620"/>
      <c r="E129" s="473"/>
      <c r="F129" s="2618"/>
      <c r="G129" s="2619"/>
      <c r="H129" s="2619"/>
      <c r="I129" s="2619"/>
      <c r="J129" s="2619"/>
      <c r="K129" s="2619"/>
      <c r="L129" s="2619"/>
      <c r="M129" s="2619"/>
      <c r="N129" s="2620"/>
      <c r="P129" s="1051"/>
      <c r="Q129" s="1051"/>
      <c r="R129" s="1051"/>
      <c r="S129" s="36"/>
      <c r="T129" s="36"/>
    </row>
    <row r="130" spans="2:20" s="1511" customFormat="1" ht="26.25" customHeight="1" x14ac:dyDescent="0.25">
      <c r="B130" s="2615" t="s">
        <v>1046</v>
      </c>
      <c r="C130" s="2616"/>
      <c r="D130" s="2617"/>
      <c r="E130" s="473"/>
      <c r="F130" s="2615"/>
      <c r="G130" s="2616"/>
      <c r="H130" s="2616"/>
      <c r="I130" s="2616"/>
      <c r="J130" s="2616"/>
      <c r="K130" s="2616"/>
      <c r="L130" s="2616"/>
      <c r="M130" s="2616"/>
      <c r="N130" s="2617"/>
      <c r="P130" s="1051"/>
      <c r="Q130" s="1051"/>
      <c r="R130" s="1051"/>
      <c r="S130" s="36"/>
      <c r="T130" s="36"/>
    </row>
    <row r="131" spans="2:20" s="1511" customFormat="1" x14ac:dyDescent="0.25">
      <c r="B131" s="2615" t="s">
        <v>1047</v>
      </c>
      <c r="C131" s="2616"/>
      <c r="D131" s="2617"/>
      <c r="E131" s="473"/>
      <c r="F131" s="2615"/>
      <c r="G131" s="2616"/>
      <c r="H131" s="2616"/>
      <c r="I131" s="2616"/>
      <c r="J131" s="2616"/>
      <c r="K131" s="2616"/>
      <c r="L131" s="2616"/>
      <c r="M131" s="2616"/>
      <c r="N131" s="2617"/>
      <c r="P131" s="1051"/>
      <c r="Q131" s="1051"/>
      <c r="R131" s="1051"/>
      <c r="S131" s="36"/>
      <c r="T131" s="36"/>
    </row>
    <row r="132" spans="2:20" s="1511" customFormat="1" x14ac:dyDescent="0.25">
      <c r="B132" s="2615" t="s">
        <v>1048</v>
      </c>
      <c r="C132" s="2616"/>
      <c r="D132" s="2617"/>
      <c r="E132" s="473"/>
      <c r="F132" s="2615"/>
      <c r="G132" s="2616"/>
      <c r="H132" s="2616"/>
      <c r="I132" s="2616"/>
      <c r="J132" s="2616"/>
      <c r="K132" s="2616"/>
      <c r="L132" s="2616"/>
      <c r="M132" s="2616"/>
      <c r="N132" s="2617"/>
      <c r="P132" s="1051"/>
      <c r="Q132" s="1051"/>
      <c r="R132" s="1051"/>
      <c r="S132" s="36"/>
      <c r="T132" s="36"/>
    </row>
    <row r="133" spans="2:20" s="1511" customFormat="1" ht="26.25" customHeight="1" x14ac:dyDescent="0.25">
      <c r="B133" s="2615" t="s">
        <v>1049</v>
      </c>
      <c r="C133" s="2616"/>
      <c r="D133" s="2617"/>
      <c r="E133" s="473"/>
      <c r="F133" s="2615"/>
      <c r="G133" s="2616"/>
      <c r="H133" s="2616"/>
      <c r="I133" s="2616"/>
      <c r="J133" s="2616"/>
      <c r="K133" s="2616"/>
      <c r="L133" s="2616"/>
      <c r="M133" s="2616"/>
      <c r="N133" s="2617"/>
      <c r="P133" s="1051"/>
      <c r="Q133" s="1051"/>
      <c r="R133" s="1051"/>
      <c r="S133" s="36"/>
      <c r="T133" s="36"/>
    </row>
    <row r="134" spans="2:20" x14ac:dyDescent="0.25">
      <c r="B134" s="2615"/>
      <c r="C134" s="2616"/>
      <c r="D134" s="2617"/>
      <c r="E134" s="473"/>
      <c r="F134" s="2615"/>
      <c r="G134" s="2616"/>
      <c r="H134" s="2616"/>
      <c r="I134" s="2616"/>
      <c r="J134" s="2616"/>
      <c r="K134" s="2616"/>
      <c r="L134" s="2616"/>
      <c r="M134" s="2616"/>
      <c r="N134" s="2617"/>
      <c r="P134" s="1051"/>
      <c r="Q134" s="1051"/>
      <c r="R134" s="1051"/>
    </row>
    <row r="135" spans="2:20" x14ac:dyDescent="0.25">
      <c r="B135" s="2615"/>
      <c r="C135" s="2616"/>
      <c r="D135" s="2617"/>
      <c r="E135" s="473"/>
      <c r="F135" s="2615"/>
      <c r="G135" s="2616"/>
      <c r="H135" s="2616"/>
      <c r="I135" s="2616"/>
      <c r="J135" s="2616"/>
      <c r="K135" s="2616"/>
      <c r="L135" s="2616"/>
      <c r="M135" s="2616"/>
      <c r="N135" s="2617"/>
      <c r="P135" s="1051"/>
      <c r="Q135" s="1051"/>
      <c r="R135" s="1051"/>
    </row>
    <row r="136" spans="2:20" x14ac:dyDescent="0.25">
      <c r="B136" s="2615"/>
      <c r="C136" s="2616"/>
      <c r="D136" s="2617"/>
      <c r="E136" s="473"/>
      <c r="F136" s="2615"/>
      <c r="G136" s="2616"/>
      <c r="H136" s="2616"/>
      <c r="I136" s="2616"/>
      <c r="J136" s="2616"/>
      <c r="K136" s="2616"/>
      <c r="L136" s="2616"/>
      <c r="M136" s="2616"/>
      <c r="N136" s="2617"/>
    </row>
    <row r="137" spans="2:20" x14ac:dyDescent="0.25">
      <c r="B137" s="2615"/>
      <c r="C137" s="2616"/>
      <c r="D137" s="2617"/>
      <c r="E137" s="473"/>
      <c r="F137" s="2615"/>
      <c r="G137" s="2616"/>
      <c r="H137" s="2616"/>
      <c r="I137" s="2616"/>
      <c r="J137" s="2616"/>
      <c r="K137" s="2616"/>
      <c r="L137" s="2616"/>
      <c r="M137" s="2616"/>
      <c r="N137" s="2617"/>
    </row>
    <row r="138" spans="2:20" x14ac:dyDescent="0.25">
      <c r="B138" s="2615"/>
      <c r="C138" s="2616"/>
      <c r="D138" s="2617"/>
      <c r="E138" s="473"/>
      <c r="F138" s="2615"/>
      <c r="G138" s="2616"/>
      <c r="H138" s="2616"/>
      <c r="I138" s="2616"/>
      <c r="J138" s="2616"/>
      <c r="K138" s="2616"/>
      <c r="L138" s="2616"/>
      <c r="M138" s="2616"/>
      <c r="N138" s="2617"/>
    </row>
    <row r="139" spans="2:20" x14ac:dyDescent="0.25">
      <c r="B139" s="2615"/>
      <c r="C139" s="2616"/>
      <c r="D139" s="2617"/>
      <c r="E139" s="473"/>
      <c r="F139" s="2615"/>
      <c r="G139" s="2616"/>
      <c r="H139" s="2616"/>
      <c r="I139" s="2616"/>
      <c r="J139" s="2616"/>
      <c r="K139" s="2616"/>
      <c r="L139" s="2616"/>
      <c r="M139" s="2616"/>
      <c r="N139" s="2617"/>
    </row>
    <row r="140" spans="2:20" x14ac:dyDescent="0.25">
      <c r="B140" s="2615"/>
      <c r="C140" s="2616"/>
      <c r="D140" s="2617"/>
      <c r="E140" s="473"/>
      <c r="F140" s="2615"/>
      <c r="G140" s="2616"/>
      <c r="H140" s="2616"/>
      <c r="I140" s="2616"/>
      <c r="J140" s="2616"/>
      <c r="K140" s="2616"/>
      <c r="L140" s="2616"/>
      <c r="M140" s="2616"/>
      <c r="N140" s="2617"/>
    </row>
    <row r="141" spans="2:20" x14ac:dyDescent="0.25">
      <c r="B141" s="2615"/>
      <c r="C141" s="2616"/>
      <c r="D141" s="2617"/>
      <c r="E141" s="473"/>
      <c r="F141" s="2615"/>
      <c r="G141" s="2616"/>
      <c r="H141" s="2616"/>
      <c r="I141" s="2616"/>
      <c r="J141" s="2616"/>
      <c r="K141" s="2616"/>
      <c r="L141" s="2616"/>
      <c r="M141" s="2616"/>
      <c r="N141" s="2617"/>
    </row>
    <row r="142" spans="2:20" x14ac:dyDescent="0.25">
      <c r="B142" s="2615"/>
      <c r="C142" s="2616"/>
      <c r="D142" s="2617"/>
      <c r="E142" s="473"/>
      <c r="F142" s="2615"/>
      <c r="G142" s="2616"/>
      <c r="H142" s="2616"/>
      <c r="I142" s="2616"/>
      <c r="J142" s="2616"/>
      <c r="K142" s="2616"/>
      <c r="L142" s="2616"/>
      <c r="M142" s="2616"/>
      <c r="N142" s="2617"/>
    </row>
    <row r="143" spans="2:20" x14ac:dyDescent="0.25">
      <c r="B143" s="2615"/>
      <c r="C143" s="2616"/>
      <c r="D143" s="2617"/>
      <c r="E143" s="473"/>
      <c r="F143" s="2615"/>
      <c r="G143" s="2616"/>
      <c r="H143" s="2616"/>
      <c r="I143" s="2616"/>
      <c r="J143" s="2616"/>
      <c r="K143" s="2616"/>
      <c r="L143" s="2616"/>
      <c r="M143" s="2616"/>
      <c r="N143" s="2617"/>
    </row>
    <row r="144" spans="2:20" x14ac:dyDescent="0.25">
      <c r="B144" s="2615"/>
      <c r="C144" s="2616"/>
      <c r="D144" s="2617"/>
      <c r="E144" s="473"/>
      <c r="F144" s="2615"/>
      <c r="G144" s="2616"/>
      <c r="H144" s="2616"/>
      <c r="I144" s="2616"/>
      <c r="J144" s="2616"/>
      <c r="K144" s="2616"/>
      <c r="L144" s="2616"/>
      <c r="M144" s="2616"/>
      <c r="N144" s="2617"/>
    </row>
    <row r="145" spans="2:18" x14ac:dyDescent="0.25">
      <c r="B145" s="2615"/>
      <c r="C145" s="2616"/>
      <c r="D145" s="2617"/>
      <c r="E145" s="473"/>
      <c r="F145" s="2615"/>
      <c r="G145" s="2616"/>
      <c r="H145" s="2616"/>
      <c r="I145" s="2616"/>
      <c r="J145" s="2616"/>
      <c r="K145" s="2616"/>
      <c r="L145" s="2616"/>
      <c r="M145" s="2616"/>
      <c r="N145" s="2617"/>
    </row>
    <row r="146" spans="2:18" x14ac:dyDescent="0.25">
      <c r="B146" s="2615"/>
      <c r="C146" s="2616"/>
      <c r="D146" s="2617"/>
      <c r="E146" s="473"/>
      <c r="F146" s="2615"/>
      <c r="G146" s="2616"/>
      <c r="H146" s="2616"/>
      <c r="I146" s="2616"/>
      <c r="J146" s="2616"/>
      <c r="K146" s="2616"/>
      <c r="L146" s="2616"/>
      <c r="M146" s="2616"/>
      <c r="N146" s="2617"/>
    </row>
    <row r="147" spans="2:18" x14ac:dyDescent="0.25">
      <c r="B147" s="2615"/>
      <c r="C147" s="2616"/>
      <c r="D147" s="2617"/>
      <c r="E147" s="473"/>
      <c r="F147" s="2615"/>
      <c r="G147" s="2616"/>
      <c r="H147" s="2616"/>
      <c r="I147" s="2616"/>
      <c r="J147" s="2616"/>
      <c r="K147" s="2616"/>
      <c r="L147" s="2616"/>
      <c r="M147" s="2616"/>
      <c r="N147" s="2617"/>
    </row>
    <row r="148" spans="2:18" x14ac:dyDescent="0.25">
      <c r="B148" s="2615"/>
      <c r="C148" s="2616"/>
      <c r="D148" s="2617"/>
      <c r="E148" s="473"/>
      <c r="F148" s="2615"/>
      <c r="G148" s="2616"/>
      <c r="H148" s="2616"/>
      <c r="I148" s="2616"/>
      <c r="J148" s="2616"/>
      <c r="K148" s="2616"/>
      <c r="L148" s="2616"/>
      <c r="M148" s="2616"/>
      <c r="N148" s="2617"/>
    </row>
    <row r="149" spans="2:18" x14ac:dyDescent="0.25">
      <c r="B149" s="2615"/>
      <c r="C149" s="2616"/>
      <c r="D149" s="2617"/>
      <c r="E149" s="473"/>
      <c r="F149" s="2615"/>
      <c r="G149" s="2616"/>
      <c r="H149" s="2616"/>
      <c r="I149" s="2616"/>
      <c r="J149" s="2616"/>
      <c r="K149" s="2616"/>
      <c r="L149" s="2616"/>
      <c r="M149" s="2616"/>
      <c r="N149" s="2617"/>
    </row>
    <row r="150" spans="2:18" x14ac:dyDescent="0.25">
      <c r="B150" s="2615"/>
      <c r="C150" s="2616"/>
      <c r="D150" s="2617"/>
      <c r="E150" s="473"/>
      <c r="F150" s="2615"/>
      <c r="G150" s="2616"/>
      <c r="H150" s="2616"/>
      <c r="I150" s="2616"/>
      <c r="J150" s="2616"/>
      <c r="K150" s="2616"/>
      <c r="L150" s="2616"/>
      <c r="M150" s="2616"/>
      <c r="N150" s="2617"/>
    </row>
    <row r="151" spans="2:18" x14ac:dyDescent="0.25">
      <c r="B151" s="2615"/>
      <c r="C151" s="2616"/>
      <c r="D151" s="2617"/>
      <c r="E151" s="473"/>
      <c r="F151" s="2615"/>
      <c r="G151" s="2616"/>
      <c r="H151" s="2616"/>
      <c r="I151" s="2616"/>
      <c r="J151" s="2616"/>
      <c r="K151" s="2616"/>
      <c r="L151" s="2616"/>
      <c r="M151" s="2616"/>
      <c r="N151" s="2617"/>
      <c r="P151" s="1051"/>
      <c r="Q151" s="1051"/>
      <c r="R151" s="1051"/>
    </row>
    <row r="152" spans="2:18" x14ac:dyDescent="0.25">
      <c r="B152" s="2634"/>
      <c r="C152" s="2635"/>
      <c r="D152" s="2636"/>
      <c r="E152" s="473"/>
      <c r="F152" s="2634"/>
      <c r="G152" s="2635"/>
      <c r="H152" s="2635"/>
      <c r="I152" s="2635"/>
      <c r="J152" s="2635"/>
      <c r="K152" s="2635"/>
      <c r="L152" s="2635"/>
      <c r="M152" s="2635"/>
      <c r="N152" s="2636"/>
    </row>
    <row r="153" spans="2:18" x14ac:dyDescent="0.25">
      <c r="C153" s="14"/>
      <c r="D153" s="14"/>
      <c r="E153" s="14"/>
      <c r="F153" s="18"/>
      <c r="L153" s="14"/>
      <c r="N153" s="14"/>
    </row>
    <row r="154" spans="2:18" ht="15.75" x14ac:dyDescent="0.25">
      <c r="B154" s="143"/>
      <c r="C154" s="14"/>
      <c r="D154" s="14"/>
      <c r="E154" s="14"/>
      <c r="F154" s="18"/>
      <c r="L154" s="14"/>
      <c r="N154" s="14"/>
    </row>
    <row r="155" spans="2:18" x14ac:dyDescent="0.25">
      <c r="C155" s="14"/>
      <c r="D155" s="14"/>
      <c r="E155" s="14"/>
      <c r="F155" s="18"/>
      <c r="L155" s="14"/>
      <c r="N155" s="14"/>
    </row>
    <row r="156" spans="2:18" x14ac:dyDescent="0.25">
      <c r="C156" s="14"/>
      <c r="D156" s="14"/>
      <c r="E156" s="14"/>
      <c r="F156" s="18"/>
      <c r="L156" s="14"/>
      <c r="N156" s="14"/>
    </row>
    <row r="157" spans="2:18" x14ac:dyDescent="0.25">
      <c r="C157" s="14"/>
      <c r="D157" s="14"/>
      <c r="E157" s="14"/>
      <c r="F157" s="17"/>
      <c r="L157" s="14"/>
      <c r="N157" s="14"/>
    </row>
    <row r="159" spans="2:18" x14ac:dyDescent="0.25">
      <c r="B159" s="7"/>
    </row>
    <row r="160" spans="2:18" x14ac:dyDescent="0.25">
      <c r="B160" s="7"/>
    </row>
    <row r="161" spans="2:14" x14ac:dyDescent="0.25">
      <c r="B161" s="7"/>
    </row>
    <row r="162" spans="2:14" x14ac:dyDescent="0.25">
      <c r="B162" s="7"/>
    </row>
    <row r="163" spans="2:14" x14ac:dyDescent="0.25">
      <c r="B163" s="7"/>
    </row>
    <row r="164" spans="2:14" x14ac:dyDescent="0.25">
      <c r="B164" s="7"/>
    </row>
    <row r="165" spans="2:14" x14ac:dyDescent="0.25">
      <c r="B165" s="7"/>
    </row>
    <row r="166" spans="2:14" x14ac:dyDescent="0.25">
      <c r="B166" s="7"/>
    </row>
    <row r="167" spans="2:14" x14ac:dyDescent="0.25">
      <c r="B167" s="7"/>
    </row>
    <row r="168" spans="2:14" x14ac:dyDescent="0.25">
      <c r="B168" s="7"/>
    </row>
    <row r="169" spans="2:14" x14ac:dyDescent="0.25">
      <c r="B169" s="7"/>
    </row>
    <row r="170" spans="2:14" x14ac:dyDescent="0.25">
      <c r="B170" s="7"/>
    </row>
    <row r="171" spans="2:14" x14ac:dyDescent="0.25">
      <c r="B171" s="7"/>
    </row>
    <row r="172" spans="2:14" x14ac:dyDescent="0.25">
      <c r="B172" s="7"/>
      <c r="C172" s="7"/>
      <c r="D172" s="7"/>
      <c r="E172" s="7"/>
      <c r="L172" s="7"/>
      <c r="M172" s="7"/>
      <c r="N172" s="7"/>
    </row>
    <row r="173" spans="2:14" x14ac:dyDescent="0.25">
      <c r="B173" s="7"/>
      <c r="C173" s="7"/>
      <c r="D173" s="7"/>
      <c r="E173" s="7"/>
      <c r="L173" s="7"/>
      <c r="M173" s="7"/>
      <c r="N173" s="7"/>
    </row>
    <row r="174" spans="2:14" x14ac:dyDescent="0.25">
      <c r="B174" s="7"/>
      <c r="C174" s="7"/>
      <c r="D174" s="7"/>
      <c r="E174" s="7"/>
      <c r="L174" s="7"/>
      <c r="M174" s="7"/>
      <c r="N174" s="7"/>
    </row>
    <row r="175" spans="2:14" x14ac:dyDescent="0.25">
      <c r="B175" s="7"/>
      <c r="C175" s="7"/>
      <c r="D175" s="7"/>
      <c r="E175" s="7"/>
      <c r="L175" s="7"/>
      <c r="M175" s="7"/>
      <c r="N175" s="7"/>
    </row>
    <row r="176" spans="2:14" x14ac:dyDescent="0.25">
      <c r="B176" s="7"/>
      <c r="C176" s="7"/>
      <c r="D176" s="7"/>
      <c r="E176" s="7"/>
      <c r="L176" s="7"/>
      <c r="M176" s="7"/>
      <c r="N176" s="7"/>
    </row>
    <row r="177" spans="2:20" x14ac:dyDescent="0.25">
      <c r="B177" s="7"/>
      <c r="C177" s="7"/>
      <c r="D177" s="7"/>
      <c r="E177" s="7"/>
      <c r="L177" s="7"/>
      <c r="M177" s="7"/>
      <c r="N177" s="7"/>
    </row>
    <row r="178" spans="2:20" x14ac:dyDescent="0.25">
      <c r="B178" s="7"/>
      <c r="C178" s="7"/>
      <c r="D178" s="7"/>
      <c r="E178" s="7"/>
      <c r="L178" s="7"/>
      <c r="M178" s="7"/>
      <c r="N178" s="7"/>
    </row>
    <row r="179" spans="2:20" x14ac:dyDescent="0.25">
      <c r="B179" s="7"/>
      <c r="C179" s="7"/>
      <c r="D179" s="7"/>
      <c r="E179" s="7"/>
      <c r="L179" s="7"/>
      <c r="M179" s="7"/>
      <c r="N179" s="7"/>
    </row>
    <row r="180" spans="2:20" x14ac:dyDescent="0.25">
      <c r="B180" s="7"/>
      <c r="C180" s="7"/>
      <c r="D180" s="7"/>
      <c r="E180" s="7"/>
      <c r="L180" s="7"/>
      <c r="M180" s="7"/>
      <c r="N180" s="7"/>
    </row>
    <row r="181" spans="2:20" x14ac:dyDescent="0.25">
      <c r="B181" s="7"/>
      <c r="C181" s="7"/>
      <c r="D181" s="7"/>
      <c r="E181" s="7"/>
      <c r="L181" s="7"/>
      <c r="M181" s="7"/>
      <c r="N181" s="7"/>
    </row>
    <row r="182" spans="2:20" x14ac:dyDescent="0.25">
      <c r="B182" s="7"/>
      <c r="C182" s="7"/>
      <c r="D182" s="7"/>
      <c r="E182" s="7"/>
      <c r="L182" s="7"/>
      <c r="M182" s="7"/>
      <c r="N182" s="7"/>
      <c r="P182" s="1051"/>
      <c r="Q182" s="1051"/>
      <c r="R182" s="1051"/>
    </row>
    <row r="183" spans="2:20" x14ac:dyDescent="0.25">
      <c r="B183" s="7"/>
      <c r="C183" s="7"/>
      <c r="D183" s="7"/>
      <c r="E183" s="7"/>
      <c r="L183" s="7"/>
      <c r="M183" s="7"/>
      <c r="N183" s="7"/>
    </row>
    <row r="184" spans="2:20" x14ac:dyDescent="0.25">
      <c r="B184" s="7"/>
      <c r="C184" s="7"/>
      <c r="D184" s="7"/>
      <c r="E184" s="7"/>
      <c r="L184" s="7"/>
      <c r="M184" s="7"/>
      <c r="N184" s="7"/>
    </row>
    <row r="185" spans="2:20" x14ac:dyDescent="0.25">
      <c r="B185" s="7"/>
      <c r="C185" s="7"/>
      <c r="D185" s="7"/>
      <c r="E185" s="7"/>
      <c r="L185" s="7"/>
      <c r="M185" s="7"/>
      <c r="N185" s="7"/>
    </row>
    <row r="186" spans="2:20" x14ac:dyDescent="0.25">
      <c r="B186" s="7"/>
      <c r="C186" s="7"/>
      <c r="D186" s="7"/>
      <c r="E186" s="7"/>
      <c r="L186" s="7"/>
      <c r="M186" s="7"/>
      <c r="N186" s="7"/>
    </row>
    <row r="187" spans="2:20" x14ac:dyDescent="0.25">
      <c r="B187" s="7"/>
      <c r="C187" s="7"/>
      <c r="D187" s="7"/>
      <c r="E187" s="7"/>
      <c r="L187" s="7"/>
      <c r="M187" s="7"/>
      <c r="N187" s="7"/>
    </row>
    <row r="188" spans="2:20" x14ac:dyDescent="0.25">
      <c r="B188" s="7"/>
      <c r="C188" s="7"/>
      <c r="D188" s="7"/>
      <c r="E188" s="7"/>
      <c r="L188" s="7"/>
      <c r="M188" s="7"/>
      <c r="N188" s="7"/>
      <c r="P188" s="302"/>
      <c r="Q188" s="302"/>
      <c r="R188" s="302"/>
      <c r="S188" s="302"/>
      <c r="T188" s="302"/>
    </row>
    <row r="189" spans="2:20" x14ac:dyDescent="0.25">
      <c r="B189" s="7"/>
      <c r="C189" s="7"/>
      <c r="D189" s="7"/>
      <c r="E189" s="7"/>
      <c r="L189" s="7"/>
      <c r="M189" s="7"/>
      <c r="N189" s="7"/>
    </row>
    <row r="190" spans="2:20" x14ac:dyDescent="0.25">
      <c r="B190" s="7"/>
      <c r="C190" s="7"/>
      <c r="D190" s="7"/>
      <c r="E190" s="7"/>
      <c r="L190" s="7"/>
      <c r="M190" s="7"/>
      <c r="N190" s="7"/>
    </row>
    <row r="191" spans="2:20" x14ac:dyDescent="0.25">
      <c r="B191" s="7"/>
      <c r="C191" s="7"/>
      <c r="D191" s="7"/>
      <c r="E191" s="7"/>
      <c r="L191" s="7"/>
      <c r="M191" s="7"/>
      <c r="N191" s="7"/>
    </row>
    <row r="192" spans="2:20" x14ac:dyDescent="0.25">
      <c r="B192" s="7"/>
      <c r="C192" s="7"/>
      <c r="D192" s="7"/>
      <c r="E192" s="7"/>
      <c r="L192" s="7"/>
      <c r="M192" s="7"/>
      <c r="N192" s="7"/>
    </row>
    <row r="193" spans="2:14" x14ac:dyDescent="0.25">
      <c r="B193" s="7"/>
      <c r="C193" s="7"/>
      <c r="D193" s="7"/>
      <c r="E193" s="7"/>
      <c r="L193" s="7"/>
      <c r="M193" s="7"/>
      <c r="N193" s="7"/>
    </row>
    <row r="194" spans="2:14" x14ac:dyDescent="0.25">
      <c r="B194" s="7"/>
      <c r="C194" s="7"/>
      <c r="D194" s="7"/>
      <c r="E194" s="7"/>
      <c r="L194" s="7"/>
      <c r="M194" s="7"/>
      <c r="N194" s="7"/>
    </row>
    <row r="195" spans="2:14" x14ac:dyDescent="0.25">
      <c r="B195" s="7"/>
      <c r="C195" s="7"/>
      <c r="D195" s="7"/>
      <c r="E195" s="7"/>
      <c r="L195" s="7"/>
      <c r="M195" s="7"/>
      <c r="N195" s="7"/>
    </row>
    <row r="196" spans="2:14" x14ac:dyDescent="0.25">
      <c r="B196" s="7"/>
      <c r="C196" s="7"/>
      <c r="D196" s="7"/>
      <c r="E196" s="7"/>
      <c r="L196" s="7"/>
      <c r="M196" s="7"/>
      <c r="N196" s="7"/>
    </row>
    <row r="197" spans="2:14" x14ac:dyDescent="0.25">
      <c r="B197" s="7"/>
      <c r="C197" s="7"/>
      <c r="D197" s="7"/>
      <c r="E197" s="7"/>
      <c r="L197" s="7"/>
      <c r="M197" s="7"/>
      <c r="N197" s="7"/>
    </row>
    <row r="198" spans="2:14" x14ac:dyDescent="0.25">
      <c r="B198" s="7"/>
      <c r="C198" s="7"/>
      <c r="D198" s="7"/>
      <c r="E198" s="7"/>
      <c r="L198" s="7"/>
      <c r="M198" s="7"/>
      <c r="N198" s="7"/>
    </row>
    <row r="199" spans="2:14" x14ac:dyDescent="0.25">
      <c r="B199" s="7"/>
      <c r="C199" s="7"/>
      <c r="D199" s="7"/>
      <c r="E199" s="7"/>
      <c r="L199" s="7"/>
      <c r="M199" s="7"/>
      <c r="N199" s="7"/>
    </row>
    <row r="200" spans="2:14" x14ac:dyDescent="0.25">
      <c r="B200" s="7"/>
      <c r="C200" s="7"/>
      <c r="D200" s="7"/>
      <c r="E200" s="7"/>
      <c r="L200" s="7"/>
      <c r="M200" s="7"/>
      <c r="N200" s="7"/>
    </row>
    <row r="201" spans="2:14" x14ac:dyDescent="0.25">
      <c r="B201" s="7"/>
      <c r="C201" s="7"/>
      <c r="D201" s="7"/>
      <c r="E201" s="7"/>
      <c r="L201" s="7"/>
      <c r="M201" s="7"/>
      <c r="N201" s="7"/>
    </row>
    <row r="202" spans="2:14" x14ac:dyDescent="0.25">
      <c r="B202" s="7"/>
      <c r="C202" s="7"/>
      <c r="D202" s="7"/>
      <c r="E202" s="7"/>
      <c r="L202" s="7"/>
      <c r="M202" s="7"/>
      <c r="N202" s="7"/>
    </row>
    <row r="203" spans="2:14" x14ac:dyDescent="0.25">
      <c r="B203" s="7"/>
      <c r="C203" s="7"/>
      <c r="D203" s="7"/>
      <c r="E203" s="7"/>
      <c r="L203" s="7"/>
      <c r="M203" s="7"/>
      <c r="N203" s="7"/>
    </row>
    <row r="204" spans="2:14" x14ac:dyDescent="0.25">
      <c r="B204" s="7"/>
      <c r="C204" s="7"/>
      <c r="D204" s="7"/>
      <c r="E204" s="7"/>
      <c r="L204" s="7"/>
      <c r="M204" s="7"/>
      <c r="N204" s="7"/>
    </row>
    <row r="205" spans="2:14" x14ac:dyDescent="0.25">
      <c r="B205" s="7"/>
      <c r="C205" s="7"/>
      <c r="D205" s="7"/>
      <c r="E205" s="7"/>
      <c r="L205" s="7"/>
      <c r="M205" s="7"/>
      <c r="N205" s="7"/>
    </row>
    <row r="206" spans="2:14" x14ac:dyDescent="0.25">
      <c r="B206" s="7"/>
      <c r="C206" s="7"/>
      <c r="D206" s="7"/>
      <c r="E206" s="7"/>
      <c r="L206" s="7"/>
      <c r="M206" s="7"/>
      <c r="N206" s="7"/>
    </row>
    <row r="207" spans="2:14" x14ac:dyDescent="0.25">
      <c r="B207" s="7"/>
      <c r="C207" s="7"/>
      <c r="D207" s="7"/>
      <c r="E207" s="7"/>
      <c r="L207" s="7"/>
      <c r="M207" s="7"/>
      <c r="N207" s="7"/>
    </row>
    <row r="208" spans="2:14" x14ac:dyDescent="0.25">
      <c r="B208" s="7"/>
      <c r="C208" s="7"/>
      <c r="D208" s="7"/>
      <c r="E208" s="7"/>
      <c r="L208" s="7"/>
      <c r="M208" s="7"/>
      <c r="N208" s="7"/>
    </row>
    <row r="209" spans="2:14" x14ac:dyDescent="0.25">
      <c r="B209" s="7"/>
      <c r="C209" s="7"/>
      <c r="D209" s="7"/>
      <c r="E209" s="7"/>
      <c r="L209" s="7"/>
      <c r="M209" s="7"/>
      <c r="N209" s="7"/>
    </row>
    <row r="210" spans="2:14" x14ac:dyDescent="0.25">
      <c r="B210" s="7"/>
      <c r="C210" s="7"/>
      <c r="D210" s="7"/>
      <c r="E210" s="7"/>
      <c r="L210" s="7"/>
      <c r="M210" s="7"/>
      <c r="N210" s="7"/>
    </row>
    <row r="211" spans="2:14" x14ac:dyDescent="0.25">
      <c r="B211" s="7"/>
      <c r="C211" s="7"/>
      <c r="D211" s="7"/>
      <c r="E211" s="7"/>
      <c r="L211" s="7"/>
      <c r="M211" s="7"/>
      <c r="N211" s="7"/>
    </row>
    <row r="212" spans="2:14" x14ac:dyDescent="0.25">
      <c r="B212" s="7"/>
      <c r="C212" s="7"/>
      <c r="D212" s="7"/>
      <c r="E212" s="7"/>
      <c r="L212" s="7"/>
      <c r="M212" s="7"/>
      <c r="N212" s="7"/>
    </row>
    <row r="213" spans="2:14" x14ac:dyDescent="0.25">
      <c r="B213" s="7"/>
      <c r="C213" s="7"/>
      <c r="D213" s="7"/>
      <c r="E213" s="7"/>
      <c r="L213" s="7"/>
      <c r="M213" s="7"/>
      <c r="N213" s="7"/>
    </row>
    <row r="214" spans="2:14" x14ac:dyDescent="0.25">
      <c r="B214" s="7"/>
      <c r="C214" s="7"/>
      <c r="D214" s="7"/>
      <c r="E214" s="7"/>
      <c r="L214" s="7"/>
      <c r="M214" s="7"/>
      <c r="N214" s="7"/>
    </row>
    <row r="215" spans="2:14" x14ac:dyDescent="0.25">
      <c r="B215" s="7"/>
      <c r="C215" s="7"/>
      <c r="D215" s="7"/>
      <c r="E215" s="7"/>
      <c r="L215" s="7"/>
      <c r="M215" s="7"/>
      <c r="N215" s="7"/>
    </row>
    <row r="216" spans="2:14" x14ac:dyDescent="0.25">
      <c r="B216" s="7"/>
      <c r="C216" s="7"/>
      <c r="D216" s="7"/>
      <c r="E216" s="7"/>
      <c r="L216" s="7"/>
      <c r="M216" s="7"/>
      <c r="N216" s="7"/>
    </row>
    <row r="217" spans="2:14" x14ac:dyDescent="0.25">
      <c r="B217" s="7"/>
      <c r="C217" s="7"/>
      <c r="D217" s="7"/>
      <c r="E217" s="7"/>
      <c r="L217" s="7"/>
      <c r="M217" s="7"/>
      <c r="N217" s="7"/>
    </row>
    <row r="218" spans="2:14" x14ac:dyDescent="0.25">
      <c r="B218" s="7"/>
      <c r="C218" s="7"/>
      <c r="D218" s="7"/>
      <c r="E218" s="7"/>
      <c r="L218" s="7"/>
      <c r="M218" s="7"/>
      <c r="N218" s="7"/>
    </row>
    <row r="219" spans="2:14" x14ac:dyDescent="0.25">
      <c r="B219" s="7"/>
      <c r="C219" s="7"/>
      <c r="D219" s="7"/>
      <c r="E219" s="7"/>
      <c r="L219" s="7"/>
      <c r="M219" s="7"/>
      <c r="N219" s="7"/>
    </row>
    <row r="220" spans="2:14" x14ac:dyDescent="0.25">
      <c r="B220" s="7"/>
      <c r="C220" s="7"/>
      <c r="D220" s="7"/>
      <c r="E220" s="7"/>
      <c r="L220" s="7"/>
      <c r="M220" s="7"/>
      <c r="N220" s="7"/>
    </row>
    <row r="221" spans="2:14" x14ac:dyDescent="0.25">
      <c r="B221" s="7"/>
      <c r="C221" s="7"/>
      <c r="D221" s="7"/>
      <c r="E221" s="7"/>
      <c r="L221" s="7"/>
      <c r="M221" s="7"/>
      <c r="N221" s="7"/>
    </row>
    <row r="222" spans="2:14" x14ac:dyDescent="0.25">
      <c r="B222" s="7"/>
      <c r="C222" s="7"/>
      <c r="D222" s="7"/>
      <c r="E222" s="7"/>
      <c r="L222" s="7"/>
      <c r="M222" s="7"/>
      <c r="N222" s="7"/>
    </row>
    <row r="223" spans="2:14" x14ac:dyDescent="0.25">
      <c r="B223" s="7"/>
      <c r="C223" s="7"/>
      <c r="D223" s="7"/>
      <c r="E223" s="7"/>
      <c r="L223" s="7"/>
      <c r="M223" s="7"/>
      <c r="N223" s="7"/>
    </row>
    <row r="224" spans="2:14" x14ac:dyDescent="0.25">
      <c r="B224" s="7"/>
      <c r="C224" s="7"/>
      <c r="D224" s="7"/>
      <c r="E224" s="7"/>
      <c r="L224" s="7"/>
      <c r="M224" s="7"/>
      <c r="N224" s="7"/>
    </row>
    <row r="225" spans="2:14" x14ac:dyDescent="0.25">
      <c r="B225" s="7"/>
      <c r="C225" s="7"/>
      <c r="D225" s="7"/>
      <c r="E225" s="7"/>
      <c r="L225" s="7"/>
      <c r="M225" s="7"/>
      <c r="N225" s="7"/>
    </row>
    <row r="226" spans="2:14" x14ac:dyDescent="0.25">
      <c r="B226" s="7"/>
      <c r="C226" s="7"/>
      <c r="D226" s="7"/>
      <c r="E226" s="7"/>
      <c r="L226" s="7"/>
      <c r="M226" s="7"/>
      <c r="N226" s="7"/>
    </row>
    <row r="227" spans="2:14" x14ac:dyDescent="0.25">
      <c r="B227" s="7"/>
      <c r="C227" s="7"/>
      <c r="D227" s="7"/>
      <c r="E227" s="7"/>
      <c r="L227" s="7"/>
      <c r="M227" s="7"/>
      <c r="N227" s="7"/>
    </row>
    <row r="228" spans="2:14" x14ac:dyDescent="0.25">
      <c r="B228" s="7"/>
      <c r="C228" s="7"/>
      <c r="D228" s="7"/>
      <c r="E228" s="7"/>
      <c r="L228" s="7"/>
      <c r="M228" s="7"/>
      <c r="N228" s="7"/>
    </row>
    <row r="229" spans="2:14" x14ac:dyDescent="0.25">
      <c r="B229" s="7"/>
      <c r="C229" s="7"/>
      <c r="D229" s="7"/>
      <c r="E229" s="7"/>
      <c r="L229" s="7"/>
      <c r="M229" s="7"/>
      <c r="N229" s="7"/>
    </row>
    <row r="230" spans="2:14" x14ac:dyDescent="0.25">
      <c r="B230" s="7"/>
      <c r="C230" s="7"/>
      <c r="D230" s="7"/>
      <c r="E230" s="7"/>
      <c r="L230" s="7"/>
      <c r="M230" s="7"/>
      <c r="N230" s="7"/>
    </row>
    <row r="231" spans="2:14" x14ac:dyDescent="0.25">
      <c r="B231" s="7"/>
      <c r="C231" s="7"/>
      <c r="D231" s="7"/>
      <c r="E231" s="7"/>
      <c r="L231" s="7"/>
      <c r="M231" s="7"/>
      <c r="N231" s="7"/>
    </row>
    <row r="232" spans="2:14" x14ac:dyDescent="0.25">
      <c r="B232" s="7"/>
      <c r="C232" s="7"/>
      <c r="D232" s="7"/>
      <c r="E232" s="7"/>
      <c r="L232" s="7"/>
      <c r="M232" s="7"/>
      <c r="N232" s="7"/>
    </row>
    <row r="233" spans="2:14" x14ac:dyDescent="0.25">
      <c r="B233" s="7"/>
      <c r="C233" s="7"/>
      <c r="D233" s="7"/>
      <c r="E233" s="7"/>
      <c r="L233" s="7"/>
      <c r="M233" s="7"/>
      <c r="N233" s="7"/>
    </row>
    <row r="234" spans="2:14" x14ac:dyDescent="0.25">
      <c r="B234" s="7"/>
      <c r="C234" s="7"/>
      <c r="D234" s="7"/>
      <c r="E234" s="7"/>
      <c r="L234" s="7"/>
      <c r="M234" s="7"/>
      <c r="N234" s="7"/>
    </row>
    <row r="235" spans="2:14" x14ac:dyDescent="0.25">
      <c r="B235" s="7"/>
      <c r="C235" s="7"/>
      <c r="D235" s="7"/>
      <c r="E235" s="7"/>
      <c r="L235" s="7"/>
      <c r="M235" s="7"/>
      <c r="N235" s="7"/>
    </row>
    <row r="236" spans="2:14" x14ac:dyDescent="0.25">
      <c r="B236" s="7"/>
      <c r="C236" s="7"/>
      <c r="D236" s="7"/>
      <c r="E236" s="7"/>
      <c r="L236" s="7"/>
      <c r="M236" s="7"/>
      <c r="N236" s="7"/>
    </row>
    <row r="237" spans="2:14" x14ac:dyDescent="0.25">
      <c r="B237" s="7"/>
      <c r="C237" s="7"/>
      <c r="D237" s="7"/>
      <c r="E237" s="7"/>
      <c r="L237" s="7"/>
      <c r="M237" s="7"/>
      <c r="N237" s="7"/>
    </row>
    <row r="238" spans="2:14" x14ac:dyDescent="0.25">
      <c r="B238" s="7"/>
      <c r="C238" s="7"/>
      <c r="D238" s="7"/>
      <c r="E238" s="7"/>
      <c r="L238" s="7"/>
      <c r="M238" s="7"/>
      <c r="N238" s="7"/>
    </row>
    <row r="239" spans="2:14" x14ac:dyDescent="0.25">
      <c r="B239" s="7"/>
      <c r="C239" s="7"/>
      <c r="D239" s="7"/>
      <c r="E239" s="7"/>
      <c r="L239" s="7"/>
      <c r="M239" s="7"/>
      <c r="N239" s="7"/>
    </row>
    <row r="240" spans="2:14" x14ac:dyDescent="0.25">
      <c r="B240" s="7"/>
      <c r="C240" s="7"/>
      <c r="D240" s="7"/>
      <c r="E240" s="7"/>
      <c r="L240" s="7"/>
      <c r="M240" s="7"/>
      <c r="N240" s="7"/>
    </row>
    <row r="241" spans="2:14" x14ac:dyDescent="0.25">
      <c r="B241" s="7"/>
      <c r="C241" s="7"/>
      <c r="D241" s="7"/>
      <c r="E241" s="7"/>
      <c r="L241" s="7"/>
      <c r="M241" s="7"/>
      <c r="N241" s="7"/>
    </row>
    <row r="242" spans="2:14" x14ac:dyDescent="0.25">
      <c r="B242" s="7"/>
      <c r="C242" s="7"/>
      <c r="D242" s="7"/>
      <c r="E242" s="7"/>
      <c r="L242" s="7"/>
      <c r="M242" s="7"/>
      <c r="N242" s="7"/>
    </row>
    <row r="243" spans="2:14" x14ac:dyDescent="0.25">
      <c r="B243" s="7"/>
      <c r="C243" s="7"/>
      <c r="D243" s="7"/>
      <c r="E243" s="7"/>
      <c r="L243" s="7"/>
      <c r="M243" s="7"/>
      <c r="N243" s="7"/>
    </row>
    <row r="244" spans="2:14" x14ac:dyDescent="0.25">
      <c r="B244" s="7"/>
      <c r="C244" s="7"/>
      <c r="D244" s="7"/>
      <c r="E244" s="7"/>
      <c r="L244" s="7"/>
      <c r="M244" s="7"/>
      <c r="N244" s="7"/>
    </row>
    <row r="245" spans="2:14" x14ac:dyDescent="0.25">
      <c r="B245" s="7"/>
      <c r="C245" s="7"/>
      <c r="D245" s="7"/>
      <c r="E245" s="7"/>
      <c r="L245" s="7"/>
      <c r="M245" s="7"/>
      <c r="N245" s="7"/>
    </row>
    <row r="246" spans="2:14" x14ac:dyDescent="0.25">
      <c r="B246" s="7"/>
      <c r="C246" s="7"/>
      <c r="D246" s="7"/>
      <c r="E246" s="7"/>
      <c r="L246" s="7"/>
      <c r="M246" s="7"/>
      <c r="N246" s="7"/>
    </row>
    <row r="247" spans="2:14" x14ac:dyDescent="0.25">
      <c r="B247" s="7"/>
      <c r="C247" s="7"/>
      <c r="D247" s="7"/>
      <c r="E247" s="7"/>
      <c r="L247" s="7"/>
      <c r="M247" s="7"/>
      <c r="N247" s="7"/>
    </row>
    <row r="248" spans="2:14" x14ac:dyDescent="0.25">
      <c r="B248" s="7"/>
      <c r="C248" s="7"/>
      <c r="D248" s="7"/>
      <c r="E248" s="7"/>
      <c r="L248" s="7"/>
      <c r="M248" s="7"/>
      <c r="N248" s="7"/>
    </row>
    <row r="249" spans="2:14" x14ac:dyDescent="0.25">
      <c r="B249" s="7"/>
      <c r="C249" s="7"/>
      <c r="D249" s="7"/>
      <c r="E249" s="7"/>
      <c r="L249" s="7"/>
      <c r="M249" s="7"/>
      <c r="N249" s="7"/>
    </row>
    <row r="250" spans="2:14" x14ac:dyDescent="0.25">
      <c r="B250" s="7"/>
      <c r="C250" s="7"/>
      <c r="D250" s="7"/>
      <c r="E250" s="7"/>
      <c r="L250" s="7"/>
      <c r="M250" s="7"/>
      <c r="N250" s="7"/>
    </row>
    <row r="251" spans="2:14" x14ac:dyDescent="0.25">
      <c r="B251" s="7"/>
      <c r="C251" s="7"/>
      <c r="D251" s="7"/>
      <c r="E251" s="7"/>
      <c r="L251" s="7"/>
      <c r="M251" s="7"/>
      <c r="N251" s="7"/>
    </row>
    <row r="252" spans="2:14" x14ac:dyDescent="0.25">
      <c r="B252" s="7"/>
      <c r="C252" s="7"/>
      <c r="D252" s="7"/>
      <c r="E252" s="7"/>
      <c r="L252" s="7"/>
      <c r="M252" s="7"/>
      <c r="N252" s="7"/>
    </row>
    <row r="253" spans="2:14" x14ac:dyDescent="0.25">
      <c r="B253" s="7"/>
      <c r="C253" s="7"/>
      <c r="D253" s="7"/>
      <c r="E253" s="7"/>
      <c r="L253" s="7"/>
      <c r="M253" s="7"/>
      <c r="N253" s="7"/>
    </row>
    <row r="254" spans="2:14" x14ac:dyDescent="0.25">
      <c r="B254" s="7"/>
      <c r="C254" s="7"/>
      <c r="D254" s="7"/>
      <c r="E254" s="7"/>
      <c r="L254" s="7"/>
      <c r="M254" s="7"/>
      <c r="N254" s="7"/>
    </row>
    <row r="255" spans="2:14" x14ac:dyDescent="0.25">
      <c r="B255" s="7"/>
      <c r="C255" s="7"/>
      <c r="D255" s="7"/>
      <c r="E255" s="7"/>
      <c r="L255" s="7"/>
      <c r="M255" s="7"/>
      <c r="N255" s="7"/>
    </row>
    <row r="256" spans="2:14" x14ac:dyDescent="0.25">
      <c r="B256" s="7"/>
      <c r="C256" s="7"/>
      <c r="D256" s="7"/>
      <c r="E256" s="7"/>
      <c r="L256" s="7"/>
      <c r="M256" s="7"/>
      <c r="N256" s="7"/>
    </row>
    <row r="257" spans="2:14" x14ac:dyDescent="0.25">
      <c r="B257" s="7"/>
      <c r="C257" s="7"/>
      <c r="D257" s="7"/>
      <c r="E257" s="7"/>
      <c r="L257" s="7"/>
      <c r="M257" s="7"/>
      <c r="N257" s="7"/>
    </row>
    <row r="258" spans="2:14" x14ac:dyDescent="0.25">
      <c r="B258" s="7"/>
      <c r="C258" s="7"/>
      <c r="D258" s="7"/>
      <c r="E258" s="7"/>
      <c r="L258" s="7"/>
      <c r="M258" s="7"/>
      <c r="N258" s="7"/>
    </row>
  </sheetData>
  <sheetProtection sheet="1" objects="1" scenarios="1"/>
  <mergeCells count="67">
    <mergeCell ref="F151:N151"/>
    <mergeCell ref="F152:N152"/>
    <mergeCell ref="F146:N146"/>
    <mergeCell ref="F147:N147"/>
    <mergeCell ref="F148:N148"/>
    <mergeCell ref="F149:N149"/>
    <mergeCell ref="F150:N150"/>
    <mergeCell ref="F141:N141"/>
    <mergeCell ref="F142:N142"/>
    <mergeCell ref="F143:N143"/>
    <mergeCell ref="F144:N144"/>
    <mergeCell ref="F145:N145"/>
    <mergeCell ref="F136:N136"/>
    <mergeCell ref="F137:N137"/>
    <mergeCell ref="F138:N138"/>
    <mergeCell ref="F139:N139"/>
    <mergeCell ref="F140:N140"/>
    <mergeCell ref="F131:N131"/>
    <mergeCell ref="F132:N132"/>
    <mergeCell ref="F133:N133"/>
    <mergeCell ref="F134:N134"/>
    <mergeCell ref="F135:N135"/>
    <mergeCell ref="B141:D141"/>
    <mergeCell ref="B142:D142"/>
    <mergeCell ref="B143:D143"/>
    <mergeCell ref="B152:D152"/>
    <mergeCell ref="B149:D149"/>
    <mergeCell ref="B150:D150"/>
    <mergeCell ref="B151:D151"/>
    <mergeCell ref="B144:D144"/>
    <mergeCell ref="B145:D145"/>
    <mergeCell ref="B146:D146"/>
    <mergeCell ref="B147:D147"/>
    <mergeCell ref="B148:D148"/>
    <mergeCell ref="B136:D136"/>
    <mergeCell ref="B137:D137"/>
    <mergeCell ref="B138:D138"/>
    <mergeCell ref="B139:D139"/>
    <mergeCell ref="B140:D140"/>
    <mergeCell ref="B131:D131"/>
    <mergeCell ref="B132:D132"/>
    <mergeCell ref="B133:D133"/>
    <mergeCell ref="B134:D134"/>
    <mergeCell ref="B135:D135"/>
    <mergeCell ref="N36:N38"/>
    <mergeCell ref="M49:M51"/>
    <mergeCell ref="N49:N51"/>
    <mergeCell ref="B129:D129"/>
    <mergeCell ref="B130:D130"/>
    <mergeCell ref="F129:N129"/>
    <mergeCell ref="F130:N130"/>
    <mergeCell ref="C50:C52"/>
    <mergeCell ref="C89:C91"/>
    <mergeCell ref="N8:N10"/>
    <mergeCell ref="D10:I10"/>
    <mergeCell ref="D11:I11"/>
    <mergeCell ref="J11:M11"/>
    <mergeCell ref="D12:I12"/>
    <mergeCell ref="J12:M12"/>
    <mergeCell ref="D4:E4"/>
    <mergeCell ref="J4:K4"/>
    <mergeCell ref="C78:C79"/>
    <mergeCell ref="D13:I13"/>
    <mergeCell ref="J13:M13"/>
    <mergeCell ref="M36:M38"/>
    <mergeCell ref="C18:C21"/>
    <mergeCell ref="C64:C67"/>
  </mergeCells>
  <conditionalFormatting sqref="N8:N9">
    <cfRule type="expression" dxfId="279" priority="72">
      <formula>AND(ISNUMBER($D$9),$O$14&gt;0)</formula>
    </cfRule>
  </conditionalFormatting>
  <conditionalFormatting sqref="J8:M10">
    <cfRule type="expression" dxfId="278" priority="70">
      <formula>$P$14&lt;0</formula>
    </cfRule>
  </conditionalFormatting>
  <conditionalFormatting sqref="J11:M13">
    <cfRule type="expression" dxfId="277" priority="69">
      <formula>P11&lt;0</formula>
    </cfRule>
  </conditionalFormatting>
  <conditionalFormatting sqref="B10:C10">
    <cfRule type="expression" dxfId="276" priority="68">
      <formula>$D$9&gt;0</formula>
    </cfRule>
  </conditionalFormatting>
  <conditionalFormatting sqref="B12:I13">
    <cfRule type="expression" dxfId="275" priority="67">
      <formula>$D$9=3</formula>
    </cfRule>
  </conditionalFormatting>
  <conditionalFormatting sqref="B12:I12">
    <cfRule type="expression" dxfId="274" priority="66">
      <formula>$D$9=2</formula>
    </cfRule>
  </conditionalFormatting>
  <conditionalFormatting sqref="D12:I12">
    <cfRule type="expression" dxfId="273" priority="62">
      <formula>$D$9&lt;2</formula>
    </cfRule>
  </conditionalFormatting>
  <conditionalFormatting sqref="D13:I13">
    <cfRule type="expression" dxfId="272" priority="61">
      <formula>$D$9&lt;3</formula>
    </cfRule>
  </conditionalFormatting>
  <conditionalFormatting sqref="N12">
    <cfRule type="expression" dxfId="271" priority="60">
      <formula>AND($D$9&gt;1,O12&gt;0)</formula>
    </cfRule>
  </conditionalFormatting>
  <conditionalFormatting sqref="N13">
    <cfRule type="expression" dxfId="270" priority="59">
      <formula>AND($D$9&gt;2,O13&gt;0)</formula>
    </cfRule>
  </conditionalFormatting>
  <conditionalFormatting sqref="N79 N81:N82">
    <cfRule type="expression" dxfId="269" priority="58">
      <formula>$B$14=$R$15</formula>
    </cfRule>
  </conditionalFormatting>
  <conditionalFormatting sqref="N66 N68">
    <cfRule type="expression" dxfId="268" priority="57">
      <formula>AND($P$14=0,$Q$14&gt;0)</formula>
    </cfRule>
  </conditionalFormatting>
  <conditionalFormatting sqref="G18">
    <cfRule type="expression" dxfId="267" priority="56">
      <formula>AND($P$14=0,$Q$14&gt;0)</formula>
    </cfRule>
  </conditionalFormatting>
  <conditionalFormatting sqref="D10:I10">
    <cfRule type="expression" dxfId="266" priority="48">
      <formula>$D$9&gt;0</formula>
    </cfRule>
  </conditionalFormatting>
  <conditionalFormatting sqref="N69">
    <cfRule type="expression" dxfId="265" priority="46">
      <formula>$B$14=$R$15</formula>
    </cfRule>
  </conditionalFormatting>
  <conditionalFormatting sqref="N67">
    <cfRule type="expression" dxfId="264" priority="43">
      <formula>$B$14=$R$15</formula>
    </cfRule>
  </conditionalFormatting>
  <conditionalFormatting sqref="N80">
    <cfRule type="expression" dxfId="263" priority="39">
      <formula>$B$14=$R$15</formula>
    </cfRule>
  </conditionalFormatting>
  <conditionalFormatting sqref="G18">
    <cfRule type="expression" dxfId="262" priority="30">
      <formula>P18=-1</formula>
    </cfRule>
    <cfRule type="expression" dxfId="261" priority="31">
      <formula>P18=1</formula>
    </cfRule>
  </conditionalFormatting>
  <conditionalFormatting sqref="D4:E4">
    <cfRule type="expression" dxfId="260" priority="29">
      <formula>COUNTIF(P16:T501,1)&gt;0</formula>
    </cfRule>
  </conditionalFormatting>
  <conditionalFormatting sqref="J4:K4">
    <cfRule type="expression" dxfId="259" priority="28">
      <formula>COUNTIF(P16:T501,-1)&gt;0</formula>
    </cfRule>
  </conditionalFormatting>
  <conditionalFormatting sqref="O125">
    <cfRule type="cellIs" dxfId="258" priority="26" operator="equal">
      <formula>"Error"</formula>
    </cfRule>
  </conditionalFormatting>
  <conditionalFormatting sqref="G65:H65">
    <cfRule type="expression" dxfId="257" priority="25">
      <formula>AND($P$14=0,$Q$14&gt;0)</formula>
    </cfRule>
  </conditionalFormatting>
  <conditionalFormatting sqref="G66:H69">
    <cfRule type="expression" dxfId="256" priority="24">
      <formula>AND($P$14=0,$Q$14&gt;0)</formula>
    </cfRule>
  </conditionalFormatting>
  <conditionalFormatting sqref="G74:H74">
    <cfRule type="expression" dxfId="255" priority="23">
      <formula>AND($P$14=0,$Q$14&gt;0)</formula>
    </cfRule>
  </conditionalFormatting>
  <conditionalFormatting sqref="G70:H73">
    <cfRule type="expression" dxfId="254" priority="22">
      <formula>AND($P$14=0,$Q$14&gt;0)</formula>
    </cfRule>
  </conditionalFormatting>
  <conditionalFormatting sqref="I65">
    <cfRule type="expression" dxfId="253" priority="21">
      <formula>AND($P$14=0,$Q$14&gt;0)</formula>
    </cfRule>
  </conditionalFormatting>
  <conditionalFormatting sqref="I66:I69">
    <cfRule type="expression" dxfId="252" priority="20">
      <formula>AND($P$14=0,$Q$14&gt;0)</formula>
    </cfRule>
  </conditionalFormatting>
  <conditionalFormatting sqref="I74">
    <cfRule type="expression" dxfId="251" priority="19">
      <formula>AND($P$14=0,$Q$14&gt;0)</formula>
    </cfRule>
  </conditionalFormatting>
  <conditionalFormatting sqref="I70:I73">
    <cfRule type="expression" dxfId="250" priority="18">
      <formula>AND($P$14=0,$Q$14&gt;0)</formula>
    </cfRule>
  </conditionalFormatting>
  <conditionalFormatting sqref="G65:I74">
    <cfRule type="expression" dxfId="249" priority="16">
      <formula>P65=-1</formula>
    </cfRule>
    <cfRule type="expression" dxfId="248" priority="17">
      <formula>P65=1</formula>
    </cfRule>
  </conditionalFormatting>
  <conditionalFormatting sqref="G78:G81 G84">
    <cfRule type="expression" dxfId="247" priority="15">
      <formula>AND($P$14=0,$Q$14&gt;0)</formula>
    </cfRule>
  </conditionalFormatting>
  <conditionalFormatting sqref="G82:G83">
    <cfRule type="expression" dxfId="246" priority="14">
      <formula>AND($P$14=0,$Q$14&gt;0)</formula>
    </cfRule>
  </conditionalFormatting>
  <conditionalFormatting sqref="G78:G84">
    <cfRule type="expression" dxfId="245" priority="12">
      <formula>P78=-1</formula>
    </cfRule>
    <cfRule type="expression" dxfId="244" priority="13">
      <formula>P78=1</formula>
    </cfRule>
  </conditionalFormatting>
  <conditionalFormatting sqref="N22:N23">
    <cfRule type="expression" dxfId="243" priority="11">
      <formula>$B$14=$R$15</formula>
    </cfRule>
  </conditionalFormatting>
  <conditionalFormatting sqref="N20">
    <cfRule type="expression" dxfId="242" priority="10">
      <formula>$B$14=$R$15</formula>
    </cfRule>
  </conditionalFormatting>
  <conditionalFormatting sqref="N21">
    <cfRule type="expression" dxfId="241" priority="9">
      <formula>$B$14=$R$15</formula>
    </cfRule>
  </conditionalFormatting>
  <conditionalFormatting sqref="B11:I11">
    <cfRule type="expression" dxfId="240" priority="7">
      <formula>$D$9=3</formula>
    </cfRule>
  </conditionalFormatting>
  <conditionalFormatting sqref="B11:I11">
    <cfRule type="expression" dxfId="239" priority="6">
      <formula>$D$9=2</formula>
    </cfRule>
  </conditionalFormatting>
  <conditionalFormatting sqref="B11:I11">
    <cfRule type="expression" dxfId="238" priority="5">
      <formula>$D$9=1</formula>
    </cfRule>
  </conditionalFormatting>
  <conditionalFormatting sqref="D11:I11">
    <cfRule type="expression" dxfId="237" priority="4">
      <formula>ISBLANK($D$9)</formula>
    </cfRule>
  </conditionalFormatting>
  <conditionalFormatting sqref="N11">
    <cfRule type="expression" dxfId="236" priority="2">
      <formula>AND(ISNUMBER($D$9),O11&gt;0)</formula>
    </cfRule>
  </conditionalFormatting>
  <conditionalFormatting sqref="O108:O124">
    <cfRule type="cellIs" dxfId="235" priority="1" operator="equal">
      <formula>"Error"</formula>
    </cfRule>
  </conditionalFormatting>
  <dataValidations count="3">
    <dataValidation type="list" allowBlank="1" showInputMessage="1" showErrorMessage="1" error="Please either leave this cell blank or, if you have updated the relevant data, confirm this by clicking on the small arrow to the right of this cell and selecting the available text " sqref="N11:N13">
      <formula1>$R$13</formula1>
    </dataValidation>
    <dataValidation type="list" allowBlank="1" showInputMessage="1" showErrorMessage="1" sqref="D9">
      <formula1>"1,2,3"</formula1>
    </dataValidation>
    <dataValidation type="list" allowBlank="1" showInputMessage="1" showErrorMessage="1" error="Please select from the two possible options by clicking on the small triangle to the right of this cell" sqref="D11:I13">
      <formula1>$R$11:$R$12</formula1>
    </dataValidation>
  </dataValidations>
  <hyperlinks>
    <hyperlink ref="B3" location="Comments_NT" display="Link to the areas for providing general comments or footnotes"/>
    <hyperlink ref="F5" location="NT!B154" display="NT!B154"/>
    <hyperlink ref="M5" location="Data_validn_explan" display="Data_validn_explan"/>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122" operator="equal" id="{07BC0CBB-F668-44BB-BFCE-AF8366E9139E}">
            <xm:f>Intro!$B$37</xm:f>
            <x14:dxf>
              <font>
                <color rgb="FFFF0000"/>
              </font>
            </x14:dxf>
          </x14:cfRule>
          <xm:sqref>D12:I13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182C"/>
  </sheetPr>
  <dimension ref="A1:U254"/>
  <sheetViews>
    <sheetView zoomScale="80" zoomScaleNormal="80" workbookViewId="0">
      <pane ySplit="6" topLeftCell="A7" activePane="bottomLeft" state="frozen"/>
      <selection activeCell="A7" sqref="A7"/>
      <selection pane="bottomLeft" activeCell="A7" sqref="A7"/>
    </sheetView>
  </sheetViews>
  <sheetFormatPr defaultColWidth="9.140625" defaultRowHeight="12.75" x14ac:dyDescent="0.25"/>
  <cols>
    <col min="1" max="1" width="1.7109375" style="7" customWidth="1"/>
    <col min="2" max="2" width="35" style="5" customWidth="1"/>
    <col min="3" max="3" width="65.42578125" style="10" customWidth="1"/>
    <col min="4" max="4" width="8.42578125" style="10" customWidth="1"/>
    <col min="5" max="5" width="2.85546875" style="10" customWidth="1"/>
    <col min="6" max="6" width="24.140625" style="7" customWidth="1"/>
    <col min="7" max="8" width="12.5703125" style="7" customWidth="1"/>
    <col min="9" max="9" width="13.7109375" style="7" customWidth="1"/>
    <col min="10" max="11" width="12.5703125" style="7" customWidth="1"/>
    <col min="12" max="12" width="2.5703125" style="10" customWidth="1"/>
    <col min="13" max="13" width="23.140625" style="5" customWidth="1"/>
    <col min="14" max="14" width="44.85546875" style="10" customWidth="1"/>
    <col min="15" max="15" width="2.42578125" style="7" customWidth="1"/>
    <col min="16" max="20" width="3.5703125" style="36" customWidth="1"/>
    <col min="21" max="21" width="9.140625" style="7"/>
    <col min="22" max="22" width="10.7109375" style="7" customWidth="1"/>
    <col min="23" max="24" width="9.140625" style="7"/>
    <col min="25" max="25" width="11" style="7" customWidth="1"/>
    <col min="26" max="16384" width="9.140625" style="7"/>
  </cols>
  <sheetData>
    <row r="1" spans="1:21" s="2402" customFormat="1" ht="18.75" x14ac:dyDescent="0.25">
      <c r="A1" s="2400"/>
      <c r="B1" s="2400" t="s">
        <v>336</v>
      </c>
      <c r="C1" s="2401" t="s">
        <v>958</v>
      </c>
      <c r="D1" s="2401"/>
      <c r="E1" s="2401"/>
      <c r="L1" s="2401"/>
      <c r="M1" s="2400"/>
      <c r="N1" s="2401"/>
      <c r="P1" s="2403"/>
      <c r="Q1" s="2403"/>
      <c r="R1" s="2403"/>
      <c r="S1" s="2403"/>
      <c r="T1" s="2403"/>
    </row>
    <row r="2" spans="1:21" x14ac:dyDescent="0.25">
      <c r="C2" s="6" t="s">
        <v>12</v>
      </c>
      <c r="E2" s="124" t="s">
        <v>13</v>
      </c>
      <c r="F2" s="126" t="s">
        <v>362</v>
      </c>
      <c r="H2" s="624" t="s">
        <v>708</v>
      </c>
      <c r="I2" s="623" t="s">
        <v>709</v>
      </c>
      <c r="L2" s="7"/>
      <c r="M2" s="989" t="s">
        <v>855</v>
      </c>
      <c r="N2" s="126" t="s">
        <v>364</v>
      </c>
    </row>
    <row r="3" spans="1:21" ht="15" x14ac:dyDescent="0.25">
      <c r="B3" s="329" t="s">
        <v>584</v>
      </c>
      <c r="E3" s="125" t="s">
        <v>14</v>
      </c>
      <c r="F3" s="126" t="s">
        <v>363</v>
      </c>
      <c r="H3" s="9" t="s">
        <v>15</v>
      </c>
      <c r="I3" s="126" t="s">
        <v>365</v>
      </c>
      <c r="L3" s="7"/>
      <c r="M3" s="676" t="s">
        <v>366</v>
      </c>
      <c r="N3" s="140" t="s">
        <v>367</v>
      </c>
    </row>
    <row r="4" spans="1:21" s="1055" customFormat="1" ht="18.75" x14ac:dyDescent="0.3">
      <c r="B4" s="1056"/>
      <c r="C4" s="1057"/>
      <c r="D4" s="2605" t="str">
        <f>IF(COUNTIF(P16:T498,1)&gt;0,"Red outline","")</f>
        <v>Red outline</v>
      </c>
      <c r="E4" s="2605"/>
      <c r="F4" s="1058" t="str">
        <f>IF(COUNTIF(P16:T498,1)&gt;0,": The data input value is surprisingly high - please check","")</f>
        <v>: The data input value is surprisingly high - please check</v>
      </c>
      <c r="J4" s="2605" t="str">
        <f>IF(COUNTIF(P16:T498,-1)&gt;0,"Dotted red outline","")</f>
        <v>Dotted red outline</v>
      </c>
      <c r="K4" s="2605"/>
      <c r="L4" s="1058" t="str">
        <f>IF(COUNTIF(P16:T498,-1)&gt;0,": The data input value is surprisingly low - please check","")</f>
        <v>: The data input value is surprisingly low - please check</v>
      </c>
      <c r="O4" s="1059"/>
      <c r="P4" s="1060"/>
      <c r="Q4" s="1060"/>
      <c r="R4" s="1060"/>
      <c r="S4" s="1060"/>
      <c r="T4" s="1060"/>
      <c r="U4" s="1060"/>
    </row>
    <row r="5" spans="1:21" ht="15" x14ac:dyDescent="0.25">
      <c r="C5" s="14"/>
      <c r="D5" s="14"/>
      <c r="E5" s="14"/>
      <c r="F5" s="1220" t="str">
        <f>IF(COUNTIF(P16:T498,1)&gt;0,"Click here for an explanation","")</f>
        <v>Click here for an explanation</v>
      </c>
      <c r="L5" s="7"/>
      <c r="M5" s="83" t="str">
        <f>IF(COUNTIF(P16:T498,-1)&gt;0,"Click here for an explanation","")</f>
        <v>Click here for an explanation</v>
      </c>
      <c r="N5" s="14"/>
      <c r="U5" s="36"/>
    </row>
    <row r="6" spans="1:21" s="105" customFormat="1" ht="15.75" x14ac:dyDescent="0.25">
      <c r="A6" s="103"/>
      <c r="B6" s="3" t="s">
        <v>322</v>
      </c>
      <c r="C6" s="4"/>
      <c r="D6" s="4"/>
      <c r="E6" s="104"/>
      <c r="F6" s="136" t="s">
        <v>328</v>
      </c>
      <c r="G6" s="73"/>
      <c r="H6" s="73"/>
      <c r="I6" s="73"/>
      <c r="J6" s="73"/>
      <c r="K6" s="73"/>
      <c r="L6" s="73"/>
      <c r="M6" s="154" t="s">
        <v>321</v>
      </c>
      <c r="N6" s="73"/>
      <c r="P6" s="1050"/>
      <c r="Q6" s="1050"/>
      <c r="R6" s="1050"/>
      <c r="S6" s="1050"/>
      <c r="T6" s="1050"/>
    </row>
    <row r="7" spans="1:21" x14ac:dyDescent="0.25">
      <c r="C7" s="7"/>
      <c r="D7" s="7"/>
      <c r="E7" s="7"/>
      <c r="L7" s="7"/>
      <c r="N7" s="7"/>
    </row>
    <row r="8" spans="1:21" ht="15.75" x14ac:dyDescent="0.25">
      <c r="B8" s="146" t="s">
        <v>580</v>
      </c>
      <c r="C8" s="127"/>
      <c r="D8" s="127"/>
      <c r="E8" s="127"/>
      <c r="F8" s="127"/>
      <c r="G8" s="129"/>
      <c r="H8" s="129"/>
      <c r="I8" s="127"/>
      <c r="J8" s="147"/>
      <c r="K8" s="147"/>
      <c r="L8" s="147"/>
      <c r="M8" s="147"/>
      <c r="N8" s="2607" t="s">
        <v>360</v>
      </c>
    </row>
    <row r="9" spans="1:21" s="126" customFormat="1" ht="18.75" x14ac:dyDescent="0.25">
      <c r="B9" s="149"/>
      <c r="C9" s="150" t="s">
        <v>357</v>
      </c>
      <c r="D9" s="1319">
        <v>1</v>
      </c>
      <c r="E9" s="128"/>
      <c r="F9" s="455" t="str">
        <f>IF(AND(D9&gt;0,P14=0,O14&lt;D9),"Please fill in the white boxes below","")</f>
        <v/>
      </c>
      <c r="G9" s="129"/>
      <c r="H9" s="129"/>
      <c r="I9" s="128"/>
      <c r="J9" s="147"/>
      <c r="K9" s="147"/>
      <c r="L9" s="147"/>
      <c r="M9" s="147"/>
      <c r="N9" s="2607"/>
      <c r="P9" s="36"/>
      <c r="Q9" s="36"/>
      <c r="R9" s="36"/>
      <c r="S9" s="36"/>
      <c r="T9" s="36"/>
    </row>
    <row r="10" spans="1:21" x14ac:dyDescent="0.25">
      <c r="B10" s="460" t="s">
        <v>99</v>
      </c>
      <c r="C10" s="460" t="s">
        <v>351</v>
      </c>
      <c r="D10" s="2608" t="s">
        <v>640</v>
      </c>
      <c r="E10" s="2608"/>
      <c r="F10" s="2608"/>
      <c r="G10" s="2608"/>
      <c r="H10" s="2608"/>
      <c r="I10" s="2608"/>
      <c r="J10" s="147" t="s">
        <v>320</v>
      </c>
      <c r="K10" s="147"/>
      <c r="L10" s="147"/>
      <c r="M10" s="147"/>
      <c r="N10" s="2607"/>
      <c r="O10" s="302" t="s">
        <v>458</v>
      </c>
    </row>
    <row r="11" spans="1:21" ht="39" customHeight="1" x14ac:dyDescent="0.25">
      <c r="B11" s="1545">
        <v>42597</v>
      </c>
      <c r="C11" s="1546" t="s">
        <v>1052</v>
      </c>
      <c r="D11" s="2678" t="s">
        <v>358</v>
      </c>
      <c r="E11" s="2678"/>
      <c r="F11" s="2678"/>
      <c r="G11" s="2678"/>
      <c r="H11" s="2678"/>
      <c r="I11" s="2678"/>
      <c r="J11" s="2602"/>
      <c r="K11" s="2602"/>
      <c r="L11" s="2602"/>
      <c r="M11" s="2602"/>
      <c r="N11" s="1324"/>
      <c r="O11" s="36">
        <f>IF(AND(D11=Validated,OR(D9=1,D9=2,D9=3)),1,0)</f>
        <v>1</v>
      </c>
      <c r="P11" s="148">
        <f>IF(AND(D11=Not_validated,OR(D9=1,D9=2,D9=3)),-1,0)</f>
        <v>0</v>
      </c>
      <c r="Q11" s="148">
        <f>IF(AND(O11=1,ISBLANK(N11)),1,0)</f>
        <v>1</v>
      </c>
      <c r="R11" s="36" t="str">
        <f>Validated</f>
        <v>Yes, I believe the calculation steps, assumptions &amp; classifications below reasonably convert our waste data for this year to the form required for the national waste data set.</v>
      </c>
    </row>
    <row r="12" spans="1:21" ht="39" customHeight="1" x14ac:dyDescent="0.25">
      <c r="B12" s="1321"/>
      <c r="C12" s="1320"/>
      <c r="D12" s="2601"/>
      <c r="E12" s="2601"/>
      <c r="F12" s="2601"/>
      <c r="G12" s="2601"/>
      <c r="H12" s="2601"/>
      <c r="I12" s="2601"/>
      <c r="J12" s="2602"/>
      <c r="K12" s="2602"/>
      <c r="L12" s="2602"/>
      <c r="M12" s="2602"/>
      <c r="N12" s="457"/>
      <c r="O12" s="36">
        <f>IF(AND(D12=Validated,OR(D9=2,D9=3)),1,0)</f>
        <v>0</v>
      </c>
      <c r="P12" s="148">
        <f>IF(AND(D12=Not_validated,OR(D9=2,D9=3)),-1,0)</f>
        <v>0</v>
      </c>
      <c r="Q12" s="148">
        <f>IF(AND(O12=1,ISBLANK(N12)),1,0)</f>
        <v>0</v>
      </c>
      <c r="R12" s="36" t="str">
        <f>Not_validated</f>
        <v>No, I don't believe the calculation steps, assumptions &amp; classifications below reasonably convert our waste data for this year to the form required for the national waste data set.</v>
      </c>
    </row>
    <row r="13" spans="1:21" ht="39" customHeight="1" x14ac:dyDescent="0.25">
      <c r="B13" s="1322"/>
      <c r="C13" s="1323"/>
      <c r="D13" s="2601"/>
      <c r="E13" s="2601"/>
      <c r="F13" s="2601"/>
      <c r="G13" s="2601"/>
      <c r="H13" s="2601"/>
      <c r="I13" s="2601"/>
      <c r="J13" s="2602"/>
      <c r="K13" s="2602"/>
      <c r="L13" s="2602"/>
      <c r="M13" s="2602"/>
      <c r="N13" s="457"/>
      <c r="O13" s="36">
        <f>IF(AND(D13=Validated,D9=3),1,0)</f>
        <v>0</v>
      </c>
      <c r="P13" s="148">
        <f>IF(AND(D13=Not_validated,D9=3),-1,0)</f>
        <v>0</v>
      </c>
      <c r="Q13" s="148">
        <f>IF(AND(O13=1,ISBLANK(N13)),1,0)</f>
        <v>0</v>
      </c>
      <c r="R13" s="36" t="str">
        <f>Intro!B38</f>
        <v>Yes, I have updated all relevant data in the white cells below</v>
      </c>
    </row>
    <row r="14" spans="1:21" ht="26.25" x14ac:dyDescent="0.25">
      <c r="B14" s="152" t="str">
        <f>IF(P14&lt;0,R14,IF(Q14&gt;0,R15,""))</f>
        <v>Please enter data into the white cells below. You can overwrite pre-existing data or, if still correct, leave at the current value</v>
      </c>
      <c r="C14" s="151"/>
      <c r="D14" s="151"/>
      <c r="E14" s="151"/>
      <c r="F14" s="151"/>
      <c r="G14" s="151"/>
      <c r="H14" s="151"/>
      <c r="I14" s="151"/>
      <c r="J14" s="151"/>
      <c r="K14" s="151"/>
      <c r="L14" s="151"/>
      <c r="M14" s="151"/>
      <c r="N14" s="151"/>
      <c r="O14" s="36">
        <f>SUM(O11:O13)</f>
        <v>1</v>
      </c>
      <c r="P14" s="148">
        <f>SUM(P11:P13)</f>
        <v>0</v>
      </c>
      <c r="Q14" s="148">
        <f>SUM(Q11:Q13)</f>
        <v>1</v>
      </c>
      <c r="R14" s="36" t="s">
        <v>807</v>
      </c>
    </row>
    <row r="15" spans="1:21" x14ac:dyDescent="0.25">
      <c r="C15" s="7"/>
      <c r="D15" s="7"/>
      <c r="E15" s="7"/>
      <c r="L15" s="7"/>
      <c r="N15" s="7"/>
      <c r="R15" s="36" t="s">
        <v>561</v>
      </c>
    </row>
    <row r="16" spans="1:21" ht="15.75" x14ac:dyDescent="0.25">
      <c r="A16" s="130"/>
      <c r="B16" s="130" t="s">
        <v>438</v>
      </c>
      <c r="C16" s="362" t="s">
        <v>966</v>
      </c>
      <c r="D16" s="130"/>
      <c r="E16" s="130"/>
      <c r="F16" s="130"/>
      <c r="G16" s="130"/>
      <c r="H16" s="130"/>
      <c r="I16" s="130"/>
      <c r="J16" s="130"/>
      <c r="K16" s="130"/>
      <c r="L16" s="130"/>
      <c r="M16" s="130"/>
      <c r="N16" s="130"/>
      <c r="O16" s="130"/>
    </row>
    <row r="17" spans="1:20" s="188" customFormat="1" x14ac:dyDescent="0.25">
      <c r="A17" s="185"/>
      <c r="O17" s="185"/>
      <c r="P17" s="36"/>
      <c r="Q17" s="36"/>
      <c r="R17" s="36"/>
      <c r="S17" s="36"/>
      <c r="T17" s="36"/>
    </row>
    <row r="18" spans="1:20" s="191" customFormat="1" ht="15" customHeight="1" x14ac:dyDescent="0.2">
      <c r="A18" s="185"/>
      <c r="B18" s="97" t="s">
        <v>125</v>
      </c>
      <c r="C18" s="37" t="s">
        <v>933</v>
      </c>
      <c r="D18" s="11"/>
      <c r="E18" s="11"/>
      <c r="F18" s="11"/>
      <c r="G18" s="24" t="s">
        <v>16</v>
      </c>
      <c r="H18" s="24" t="s">
        <v>17</v>
      </c>
      <c r="I18" s="24" t="s">
        <v>18</v>
      </c>
      <c r="J18" s="11"/>
      <c r="K18" s="11"/>
      <c r="L18" s="11"/>
      <c r="M18" s="113" t="s">
        <v>104</v>
      </c>
      <c r="N18" s="37" t="s">
        <v>893</v>
      </c>
      <c r="O18" s="185"/>
      <c r="P18" s="1051"/>
      <c r="Q18" s="1051"/>
      <c r="R18" s="1051"/>
      <c r="S18" s="1051"/>
      <c r="T18" s="1051"/>
    </row>
    <row r="19" spans="1:20" s="191" customFormat="1" ht="12.75" customHeight="1" x14ac:dyDescent="0.25">
      <c r="A19" s="185"/>
      <c r="B19" s="1568" t="s">
        <v>720</v>
      </c>
      <c r="C19" s="1592" t="s">
        <v>990</v>
      </c>
      <c r="D19" s="11"/>
      <c r="E19" s="11"/>
      <c r="F19" s="11"/>
      <c r="G19" s="1369">
        <v>1754491</v>
      </c>
      <c r="H19" s="1370">
        <v>1518299</v>
      </c>
      <c r="I19" s="1371">
        <v>1493854</v>
      </c>
      <c r="J19" s="11"/>
      <c r="K19" s="11"/>
      <c r="L19" s="11"/>
      <c r="M19" s="113" t="s">
        <v>100</v>
      </c>
      <c r="N19" s="37" t="s">
        <v>102</v>
      </c>
      <c r="O19" s="185"/>
      <c r="P19" s="1051">
        <f>IF(AND(ISNUMBER(G19),'Validn data - hide'!C206&gt;0),IF(G19/'Validn data - hide'!C206-1&gt;'Validn data - hide'!$L206,1,IF(G19/'Validn data - hide'!C206-1&lt;-'Validn data - hide'!$L206,-1,0)),0)</f>
        <v>0</v>
      </c>
      <c r="Q19" s="1051">
        <f>IF(AND(ISNUMBER(H19),'Validn data - hide'!D206&gt;0),IF(H19/'Validn data - hide'!D206-1&gt;'Validn data - hide'!$L206,1,IF(H19/'Validn data - hide'!D206-1&lt;-'Validn data - hide'!$L206,-1,0)),0)</f>
        <v>0</v>
      </c>
      <c r="R19" s="1051">
        <f>IF(AND(ISNUMBER(I19),'Validn data - hide'!E206&gt;0),IF(I19/'Validn data - hide'!E206-1&gt;'Validn data - hide'!$L206,1,IF(I19/'Validn data - hide'!E206-1&lt;-'Validn data - hide'!$L206,-1,0)),0)</f>
        <v>0</v>
      </c>
      <c r="S19" s="1051"/>
      <c r="T19" s="1051"/>
    </row>
    <row r="20" spans="1:20" s="191" customFormat="1" x14ac:dyDescent="0.25">
      <c r="A20" s="185"/>
      <c r="B20" s="1569"/>
      <c r="C20" s="2621" t="s">
        <v>991</v>
      </c>
      <c r="D20" s="11"/>
      <c r="E20" s="11"/>
      <c r="F20" s="488"/>
      <c r="G20" s="1259"/>
      <c r="H20" s="1259"/>
      <c r="I20" s="1259"/>
      <c r="J20" s="11"/>
      <c r="K20" s="11"/>
      <c r="L20" s="11"/>
      <c r="M20" s="113" t="s">
        <v>10</v>
      </c>
      <c r="N20" s="1328" t="s">
        <v>1053</v>
      </c>
      <c r="O20" s="185"/>
      <c r="P20" s="1051"/>
      <c r="Q20" s="1051"/>
      <c r="R20" s="1051"/>
      <c r="S20" s="1051"/>
      <c r="T20" s="1051"/>
    </row>
    <row r="21" spans="1:20" s="191" customFormat="1" x14ac:dyDescent="0.25">
      <c r="A21" s="185"/>
      <c r="B21" s="203"/>
      <c r="C21" s="2622"/>
      <c r="D21" s="12"/>
      <c r="E21" s="12"/>
      <c r="F21" s="12"/>
      <c r="G21" s="1116"/>
      <c r="H21" s="1116"/>
      <c r="I21" s="1116"/>
      <c r="J21" s="12"/>
      <c r="K21" s="12"/>
      <c r="L21" s="12"/>
      <c r="M21" s="113" t="s">
        <v>352</v>
      </c>
      <c r="N21" s="1329" t="s">
        <v>1020</v>
      </c>
      <c r="O21" s="185"/>
      <c r="P21" s="1051"/>
      <c r="Q21" s="1051"/>
      <c r="R21" s="1051"/>
      <c r="S21" s="1051"/>
      <c r="T21" s="1051"/>
    </row>
    <row r="22" spans="1:20" s="191" customFormat="1" x14ac:dyDescent="0.2">
      <c r="A22" s="185"/>
      <c r="B22" s="193"/>
      <c r="C22" s="188"/>
      <c r="D22" s="12"/>
      <c r="E22" s="12"/>
      <c r="F22" s="488" t="s">
        <v>869</v>
      </c>
      <c r="G22" s="1116"/>
      <c r="H22" s="1378">
        <v>4332019</v>
      </c>
      <c r="I22" s="1116"/>
      <c r="J22" s="2537"/>
      <c r="K22" s="12"/>
      <c r="L22" s="12"/>
      <c r="M22" s="113" t="s">
        <v>99</v>
      </c>
      <c r="N22" s="1606">
        <v>42597</v>
      </c>
      <c r="O22" s="185"/>
      <c r="P22" s="1051"/>
      <c r="Q22" s="1051">
        <f>IF(AND(ISNUMBER(H22),'Validn data - hide'!D208&gt;0),IF(H22/'Validn data - hide'!D208-1&gt;'Validn data - hide'!$L208,1,IF(H22/'Validn data - hide'!D208-1&lt;-'Validn data - hide'!$L208,-1,0)),0)</f>
        <v>0</v>
      </c>
      <c r="R22" s="1051"/>
      <c r="S22" s="1051"/>
      <c r="T22" s="1051"/>
    </row>
    <row r="23" spans="1:20" s="191" customFormat="1" x14ac:dyDescent="0.25">
      <c r="A23" s="185"/>
      <c r="B23" s="193"/>
      <c r="C23" s="188"/>
      <c r="D23" s="11"/>
      <c r="E23" s="11"/>
      <c r="F23" s="11"/>
      <c r="G23" s="11"/>
      <c r="H23" s="11"/>
      <c r="I23" s="11"/>
      <c r="J23" s="11"/>
      <c r="K23" s="11"/>
      <c r="L23" s="11"/>
      <c r="M23" s="113" t="s">
        <v>658</v>
      </c>
      <c r="N23" s="1328" t="s">
        <v>681</v>
      </c>
      <c r="O23" s="185"/>
      <c r="P23" s="1051"/>
      <c r="Q23" s="1051"/>
      <c r="R23" s="1051"/>
      <c r="S23" s="1051"/>
      <c r="T23" s="1051"/>
    </row>
    <row r="24" spans="1:20" s="191" customFormat="1" x14ac:dyDescent="0.25">
      <c r="A24" s="185"/>
      <c r="B24" s="193"/>
      <c r="C24" s="188"/>
      <c r="D24" s="11"/>
      <c r="E24" s="11"/>
      <c r="F24" s="11"/>
      <c r="G24" s="11"/>
      <c r="H24" s="11"/>
      <c r="I24" s="11"/>
      <c r="J24" s="11"/>
      <c r="K24" s="11"/>
      <c r="L24" s="11"/>
      <c r="M24" s="99"/>
      <c r="N24" s="12"/>
      <c r="O24" s="185"/>
      <c r="P24" s="1051"/>
      <c r="Q24" s="1051"/>
      <c r="R24" s="1051"/>
      <c r="S24" s="1051"/>
      <c r="T24" s="1051"/>
    </row>
    <row r="25" spans="1:20" s="188" customFormat="1" x14ac:dyDescent="0.25">
      <c r="A25" s="185"/>
      <c r="B25" s="98"/>
      <c r="C25" s="196"/>
      <c r="D25" s="196"/>
      <c r="E25" s="196"/>
      <c r="F25" s="196"/>
      <c r="G25" s="196"/>
      <c r="H25" s="196"/>
      <c r="I25" s="196"/>
      <c r="J25" s="196"/>
      <c r="K25" s="196"/>
      <c r="L25" s="196"/>
      <c r="M25" s="196"/>
      <c r="N25" s="196"/>
      <c r="O25" s="185"/>
      <c r="P25" s="36"/>
      <c r="Q25" s="36"/>
      <c r="R25" s="36"/>
      <c r="S25" s="36"/>
      <c r="T25" s="36"/>
    </row>
    <row r="26" spans="1:20" s="188" customFormat="1" ht="12.75" customHeight="1" x14ac:dyDescent="0.2">
      <c r="A26" s="185"/>
      <c r="B26" s="1571" t="s">
        <v>126</v>
      </c>
      <c r="C26" s="1597" t="s">
        <v>994</v>
      </c>
      <c r="D26" s="196"/>
      <c r="E26" s="196"/>
      <c r="F26" s="196"/>
      <c r="G26" s="90" t="s">
        <v>16</v>
      </c>
      <c r="H26" s="90" t="s">
        <v>17</v>
      </c>
      <c r="I26" s="90" t="s">
        <v>18</v>
      </c>
      <c r="J26" s="196"/>
      <c r="K26" s="196"/>
      <c r="L26" s="196"/>
      <c r="M26" s="114" t="s">
        <v>104</v>
      </c>
      <c r="N26" s="94" t="s">
        <v>745</v>
      </c>
      <c r="O26" s="185"/>
      <c r="P26" s="36"/>
      <c r="Q26" s="36"/>
      <c r="R26" s="36"/>
      <c r="S26" s="36"/>
      <c r="T26" s="36"/>
    </row>
    <row r="27" spans="1:20" s="188" customFormat="1" x14ac:dyDescent="0.25">
      <c r="A27" s="185"/>
      <c r="B27" s="1598"/>
      <c r="C27" s="1599" t="s">
        <v>995</v>
      </c>
      <c r="D27" s="196"/>
      <c r="E27" s="196"/>
      <c r="F27" s="765" t="s">
        <v>746</v>
      </c>
      <c r="G27" s="1372">
        <v>44868.13</v>
      </c>
      <c r="H27" s="1373">
        <v>21770.82</v>
      </c>
      <c r="I27" s="1374">
        <v>276196.56</v>
      </c>
      <c r="J27" s="1264"/>
      <c r="K27" s="196"/>
      <c r="L27" s="196"/>
      <c r="M27" s="114" t="s">
        <v>100</v>
      </c>
      <c r="N27" s="210" t="s">
        <v>102</v>
      </c>
      <c r="O27" s="185"/>
      <c r="P27" s="1051">
        <f>IF(AND(ISNUMBER(G27),'Validn data - hide'!C210&gt;0),IF(G27/'Validn data - hide'!C210-1&gt;'Validn data - hide'!$L210,1,IF(G27/'Validn data - hide'!C210-1&lt;-'Validn data - hide'!$L210,-1,0)),0)</f>
        <v>0</v>
      </c>
      <c r="Q27" s="1051">
        <f>IF(AND(ISNUMBER(H27),'Validn data - hide'!D210&gt;0),IF(H27/'Validn data - hide'!D210-1&gt;'Validn data - hide'!$L210,1,IF(H27/'Validn data - hide'!D210-1&lt;-'Validn data - hide'!$L210,-1,0)),0)</f>
        <v>-1</v>
      </c>
      <c r="R27" s="1051">
        <f>IF(AND(ISNUMBER(I27),'Validn data - hide'!E210&gt;0),IF(I27/'Validn data - hide'!E210-1&gt;'Validn data - hide'!$L210,1,IF(I27/'Validn data - hide'!E210-1&lt;-'Validn data - hide'!$L210,-1,0)),0)</f>
        <v>-1</v>
      </c>
      <c r="S27" s="36"/>
      <c r="T27" s="36"/>
    </row>
    <row r="28" spans="1:20" s="188" customFormat="1" ht="12.75" customHeight="1" x14ac:dyDescent="0.25">
      <c r="A28" s="185"/>
      <c r="B28" s="1572" t="s">
        <v>714</v>
      </c>
      <c r="C28" s="2628" t="s">
        <v>996</v>
      </c>
      <c r="D28" s="190"/>
      <c r="E28" s="190"/>
      <c r="F28" s="765" t="s">
        <v>747</v>
      </c>
      <c r="G28" s="1375"/>
      <c r="H28" s="1376"/>
      <c r="I28" s="1377"/>
      <c r="J28" s="190"/>
      <c r="K28" s="196"/>
      <c r="L28" s="196"/>
      <c r="M28" s="114" t="s">
        <v>10</v>
      </c>
      <c r="N28" s="1625" t="s">
        <v>1054</v>
      </c>
      <c r="O28" s="185"/>
      <c r="P28" s="1051"/>
      <c r="Q28" s="1051"/>
      <c r="R28" s="36"/>
      <c r="S28" s="36"/>
      <c r="T28" s="36"/>
    </row>
    <row r="29" spans="1:20" s="188" customFormat="1" ht="12.75" customHeight="1" x14ac:dyDescent="0.25">
      <c r="A29" s="185"/>
      <c r="B29" s="1601"/>
      <c r="C29" s="2629"/>
      <c r="D29" s="190"/>
      <c r="E29" s="190"/>
      <c r="F29" s="190"/>
      <c r="G29" s="190"/>
      <c r="H29" s="190"/>
      <c r="I29" s="190"/>
      <c r="J29" s="190"/>
      <c r="K29" s="196"/>
      <c r="L29" s="196"/>
      <c r="M29" s="114" t="s">
        <v>352</v>
      </c>
      <c r="N29" s="1330" t="s">
        <v>1020</v>
      </c>
      <c r="O29" s="185"/>
      <c r="P29" s="36"/>
      <c r="Q29" s="36"/>
      <c r="R29" s="36"/>
      <c r="S29" s="36"/>
      <c r="T29" s="36"/>
    </row>
    <row r="30" spans="1:20" s="188" customFormat="1" ht="12.75" customHeight="1" x14ac:dyDescent="0.25">
      <c r="A30" s="185"/>
      <c r="B30" s="481"/>
      <c r="C30" s="1576" t="s">
        <v>998</v>
      </c>
      <c r="D30" s="190"/>
      <c r="E30" s="190"/>
      <c r="F30" s="190"/>
      <c r="G30" s="592">
        <f>G19-G27+G28</f>
        <v>1709622.87</v>
      </c>
      <c r="H30" s="593">
        <f>H19-H27+H28</f>
        <v>1496528.18</v>
      </c>
      <c r="I30" s="594">
        <f>I19-I27+I28</f>
        <v>1217657.44</v>
      </c>
      <c r="J30" s="190"/>
      <c r="K30" s="196"/>
      <c r="L30" s="196"/>
      <c r="M30" s="114" t="s">
        <v>99</v>
      </c>
      <c r="N30" s="1606">
        <v>42597</v>
      </c>
      <c r="O30" s="185"/>
      <c r="P30" s="36"/>
      <c r="Q30" s="36"/>
      <c r="R30" s="36"/>
      <c r="S30" s="36"/>
      <c r="T30" s="36"/>
    </row>
    <row r="31" spans="1:20" s="188" customFormat="1" ht="12.75" customHeight="1" x14ac:dyDescent="0.25">
      <c r="A31" s="185"/>
      <c r="B31" s="189"/>
      <c r="C31" s="187"/>
      <c r="D31" s="190"/>
      <c r="E31" s="190"/>
      <c r="F31" s="190"/>
      <c r="G31" s="190"/>
      <c r="H31" s="190"/>
      <c r="I31" s="190"/>
      <c r="J31" s="190"/>
      <c r="K31" s="196"/>
      <c r="L31" s="196"/>
      <c r="M31" s="114" t="s">
        <v>658</v>
      </c>
      <c r="N31" s="1331" t="s">
        <v>681</v>
      </c>
      <c r="O31" s="185"/>
      <c r="P31" s="1051"/>
      <c r="Q31" s="1051"/>
      <c r="R31" s="1051"/>
      <c r="S31" s="1051"/>
      <c r="T31" s="1051"/>
    </row>
    <row r="32" spans="1:20" s="188" customFormat="1" ht="12.75" customHeight="1" x14ac:dyDescent="0.25">
      <c r="A32" s="185"/>
      <c r="B32" s="189"/>
      <c r="C32" s="187"/>
      <c r="D32" s="190"/>
      <c r="E32" s="190"/>
      <c r="F32" s="190"/>
      <c r="G32" s="190"/>
      <c r="H32" s="190"/>
      <c r="I32" s="190"/>
      <c r="J32" s="190"/>
      <c r="K32" s="196"/>
      <c r="L32" s="196"/>
      <c r="M32" s="196"/>
      <c r="N32" s="196"/>
      <c r="O32" s="185"/>
      <c r="P32" s="1051"/>
      <c r="Q32" s="1051"/>
      <c r="R32" s="1051"/>
      <c r="S32" s="1051"/>
      <c r="T32" s="1051"/>
    </row>
    <row r="33" spans="1:20" s="188" customFormat="1" x14ac:dyDescent="0.25">
      <c r="A33" s="185"/>
      <c r="B33" s="99"/>
      <c r="C33" s="197"/>
      <c r="D33" s="197"/>
      <c r="E33" s="197"/>
      <c r="F33" s="197"/>
      <c r="G33" s="197"/>
      <c r="H33" s="197"/>
      <c r="I33" s="197"/>
      <c r="J33" s="197"/>
      <c r="K33" s="197"/>
      <c r="L33" s="197"/>
      <c r="M33" s="197"/>
      <c r="N33" s="197"/>
      <c r="O33" s="185"/>
      <c r="P33" s="36"/>
      <c r="Q33" s="36"/>
      <c r="R33" s="36"/>
      <c r="S33" s="36"/>
      <c r="T33" s="36"/>
    </row>
    <row r="34" spans="1:20" s="188" customFormat="1" x14ac:dyDescent="0.2">
      <c r="A34" s="185"/>
      <c r="B34" s="97" t="s">
        <v>127</v>
      </c>
      <c r="C34" s="771" t="s">
        <v>751</v>
      </c>
      <c r="D34" s="197"/>
      <c r="E34" s="197"/>
      <c r="F34" s="197"/>
      <c r="G34" s="560" t="s">
        <v>16</v>
      </c>
      <c r="H34" s="560" t="s">
        <v>17</v>
      </c>
      <c r="I34" s="560" t="s">
        <v>18</v>
      </c>
      <c r="J34" s="197"/>
      <c r="K34" s="197"/>
      <c r="L34" s="197"/>
      <c r="M34" s="2679" t="s">
        <v>393</v>
      </c>
      <c r="N34" s="2586" t="s">
        <v>427</v>
      </c>
      <c r="O34" s="185"/>
      <c r="P34" s="36"/>
      <c r="Q34" s="36"/>
      <c r="R34" s="36"/>
      <c r="S34" s="36"/>
      <c r="T34" s="36"/>
    </row>
    <row r="35" spans="1:20" s="188" customFormat="1" x14ac:dyDescent="0.25">
      <c r="A35" s="185"/>
      <c r="B35" s="1270" t="s">
        <v>720</v>
      </c>
      <c r="C35" s="816" t="s">
        <v>802</v>
      </c>
      <c r="D35" s="199"/>
      <c r="E35" s="199"/>
      <c r="F35" s="546" t="s">
        <v>25</v>
      </c>
      <c r="G35" s="657">
        <f>G$19*'Other national data'!G33</f>
        <v>37299.194579903451</v>
      </c>
      <c r="H35" s="658">
        <f>H$19*'Other national data'!H33</f>
        <v>229232.67924384319</v>
      </c>
      <c r="I35" s="659">
        <f>I$19*'Other national data'!I33</f>
        <v>1213080.9530603851</v>
      </c>
      <c r="J35" s="199"/>
      <c r="K35" s="199"/>
      <c r="L35" s="199"/>
      <c r="M35" s="2680"/>
      <c r="N35" s="2587"/>
      <c r="O35" s="185"/>
      <c r="P35" s="36"/>
      <c r="Q35" s="1051"/>
      <c r="R35" s="1051"/>
      <c r="S35" s="36"/>
      <c r="T35" s="36"/>
    </row>
    <row r="36" spans="1:20" s="188" customFormat="1" x14ac:dyDescent="0.25">
      <c r="A36" s="185"/>
      <c r="B36" s="1488"/>
      <c r="C36" s="816" t="s">
        <v>907</v>
      </c>
      <c r="D36" s="199"/>
      <c r="E36" s="199"/>
      <c r="F36" s="546" t="s">
        <v>28</v>
      </c>
      <c r="G36" s="660">
        <f>G$19*'Other national data'!G34</f>
        <v>62662.382110740662</v>
      </c>
      <c r="H36" s="661">
        <f>H$19*'Other national data'!H34</f>
        <v>44442.745434342738</v>
      </c>
      <c r="I36" s="662">
        <f>I$19*'Other national data'!I34</f>
        <v>67975.959431849013</v>
      </c>
      <c r="J36" s="199"/>
      <c r="K36" s="199"/>
      <c r="L36" s="199"/>
      <c r="M36" s="2681"/>
      <c r="N36" s="2588"/>
      <c r="O36" s="185"/>
      <c r="P36" s="36"/>
      <c r="Q36" s="36"/>
      <c r="R36" s="36"/>
      <c r="S36" s="36"/>
      <c r="T36" s="36"/>
    </row>
    <row r="37" spans="1:20" s="188" customFormat="1" x14ac:dyDescent="0.25">
      <c r="A37" s="185"/>
      <c r="B37" s="202"/>
      <c r="C37" s="2631" t="s">
        <v>916</v>
      </c>
      <c r="D37" s="199"/>
      <c r="E37" s="199"/>
      <c r="F37" s="663" t="s">
        <v>61</v>
      </c>
      <c r="G37" s="660">
        <f>G$19*'Other national data'!G35</f>
        <v>614071.85</v>
      </c>
      <c r="H37" s="661">
        <f>H$19*'Other national data'!H35</f>
        <v>331405.36548223346</v>
      </c>
      <c r="I37" s="662">
        <f>I$19*'Other national data'!I35</f>
        <v>0</v>
      </c>
      <c r="J37" s="199"/>
      <c r="K37" s="199"/>
      <c r="L37" s="199"/>
      <c r="M37" s="113" t="s">
        <v>100</v>
      </c>
      <c r="N37" s="37" t="s">
        <v>102</v>
      </c>
      <c r="O37" s="185"/>
      <c r="P37" s="36"/>
      <c r="Q37" s="36"/>
      <c r="R37" s="36"/>
      <c r="S37" s="36"/>
      <c r="T37" s="36"/>
    </row>
    <row r="38" spans="1:20" s="188" customFormat="1" x14ac:dyDescent="0.25">
      <c r="A38" s="185"/>
      <c r="B38" s="202"/>
      <c r="C38" s="2632"/>
      <c r="D38" s="199"/>
      <c r="E38" s="199"/>
      <c r="F38" s="663" t="s">
        <v>63</v>
      </c>
      <c r="G38" s="660">
        <f>G$19*'Other national data'!G36</f>
        <v>289491.01500000001</v>
      </c>
      <c r="H38" s="661">
        <f>H$19*'Other national data'!H36</f>
        <v>61656.812182741123</v>
      </c>
      <c r="I38" s="662">
        <f>I$19*'Other national data'!I36</f>
        <v>29877.08</v>
      </c>
      <c r="J38" s="199"/>
      <c r="K38" s="199"/>
      <c r="L38" s="199"/>
      <c r="M38" s="586"/>
      <c r="N38" s="586"/>
      <c r="O38" s="185"/>
      <c r="P38" s="36"/>
      <c r="Q38" s="36"/>
      <c r="R38" s="36"/>
      <c r="S38" s="36"/>
      <c r="T38" s="36"/>
    </row>
    <row r="39" spans="1:20" s="188" customFormat="1" x14ac:dyDescent="0.25">
      <c r="A39" s="185"/>
      <c r="B39" s="203"/>
      <c r="C39" s="2633"/>
      <c r="D39" s="199"/>
      <c r="E39" s="199"/>
      <c r="F39" s="663" t="s">
        <v>67</v>
      </c>
      <c r="G39" s="660">
        <f>G$19*'Other national data'!G37</f>
        <v>17544.91</v>
      </c>
      <c r="H39" s="661">
        <f>H$19*'Other national data'!H37</f>
        <v>192677.53807106597</v>
      </c>
      <c r="I39" s="662">
        <f>I$19*'Other national data'!I37</f>
        <v>89631.239999999991</v>
      </c>
      <c r="J39" s="199"/>
      <c r="K39" s="199"/>
      <c r="L39" s="199"/>
      <c r="M39" s="586"/>
      <c r="N39" s="586"/>
      <c r="O39" s="185"/>
      <c r="P39" s="36"/>
      <c r="Q39" s="36"/>
      <c r="R39" s="36"/>
      <c r="S39" s="36"/>
      <c r="T39" s="36"/>
    </row>
    <row r="40" spans="1:20" s="188" customFormat="1" x14ac:dyDescent="0.25">
      <c r="A40" s="185"/>
      <c r="B40" s="193"/>
      <c r="D40" s="199"/>
      <c r="E40" s="199"/>
      <c r="F40" s="663" t="s">
        <v>65</v>
      </c>
      <c r="G40" s="660">
        <f>G$19*'Other national data'!G38</f>
        <v>70179.64</v>
      </c>
      <c r="H40" s="661">
        <f>H$19*'Other national data'!H38</f>
        <v>0</v>
      </c>
      <c r="I40" s="662">
        <f>I$19*'Other national data'!I38</f>
        <v>0</v>
      </c>
      <c r="J40" s="199"/>
      <c r="K40" s="199"/>
      <c r="L40" s="199"/>
      <c r="M40" s="586"/>
      <c r="N40" s="586"/>
      <c r="O40" s="185"/>
      <c r="P40" s="36"/>
      <c r="Q40" s="36"/>
      <c r="R40" s="36"/>
      <c r="S40" s="36"/>
      <c r="T40" s="36"/>
    </row>
    <row r="41" spans="1:20" s="188" customFormat="1" x14ac:dyDescent="0.25">
      <c r="A41" s="185"/>
      <c r="B41" s="193"/>
      <c r="D41" s="199"/>
      <c r="E41" s="199"/>
      <c r="F41" s="546" t="s">
        <v>20</v>
      </c>
      <c r="G41" s="660">
        <f>G$19*'Other national data'!G39</f>
        <v>228083.83000000002</v>
      </c>
      <c r="H41" s="661">
        <f>H$19*'Other national data'!H39</f>
        <v>238920.14720812184</v>
      </c>
      <c r="I41" s="662">
        <f>I$19*'Other national data'!I39</f>
        <v>44815.619999999995</v>
      </c>
      <c r="J41" s="199"/>
      <c r="K41" s="199"/>
      <c r="L41" s="199"/>
      <c r="M41" s="586"/>
      <c r="N41" s="586"/>
      <c r="O41" s="185"/>
      <c r="P41" s="36"/>
      <c r="Q41" s="36"/>
      <c r="R41" s="36"/>
      <c r="S41" s="36"/>
      <c r="T41" s="36"/>
    </row>
    <row r="42" spans="1:20" s="188" customFormat="1" x14ac:dyDescent="0.25">
      <c r="A42" s="185"/>
      <c r="B42" s="193"/>
      <c r="D42" s="199"/>
      <c r="E42" s="199"/>
      <c r="F42" s="547" t="s">
        <v>32</v>
      </c>
      <c r="G42" s="660">
        <f>G$19*'Other national data'!G40</f>
        <v>292501.24617600761</v>
      </c>
      <c r="H42" s="661">
        <f>H$19*'Other national data'!H40</f>
        <v>270479.01486829296</v>
      </c>
      <c r="I42" s="662">
        <f>I$19*'Other national data'!I40</f>
        <v>48430.17457146255</v>
      </c>
      <c r="J42" s="821"/>
      <c r="K42" s="199"/>
      <c r="L42" s="199"/>
      <c r="M42" s="586"/>
      <c r="N42" s="586"/>
      <c r="O42" s="185"/>
      <c r="P42" s="36"/>
      <c r="Q42" s="36"/>
      <c r="R42" s="36"/>
      <c r="S42" s="36"/>
      <c r="T42" s="36"/>
    </row>
    <row r="43" spans="1:20" s="188" customFormat="1" x14ac:dyDescent="0.25">
      <c r="A43" s="185"/>
      <c r="B43" s="193"/>
      <c r="D43" s="199"/>
      <c r="E43" s="199"/>
      <c r="F43" s="546" t="s">
        <v>30</v>
      </c>
      <c r="G43" s="660">
        <f>G$19*'Other national data'!G41</f>
        <v>98794.657133348272</v>
      </c>
      <c r="H43" s="661">
        <f>H$19*'Other national data'!H41</f>
        <v>33878.174666719191</v>
      </c>
      <c r="I43" s="662">
        <f>I$19*'Other national data'!I41</f>
        <v>42.972936303279994</v>
      </c>
      <c r="J43" s="199"/>
      <c r="K43" s="199"/>
      <c r="L43" s="199"/>
      <c r="M43" s="586"/>
      <c r="N43" s="586"/>
      <c r="O43" s="185"/>
      <c r="P43" s="1051"/>
      <c r="Q43" s="1051"/>
      <c r="R43" s="1051"/>
      <c r="S43" s="36"/>
      <c r="T43" s="36"/>
    </row>
    <row r="44" spans="1:20" s="188" customFormat="1" x14ac:dyDescent="0.25">
      <c r="A44" s="185"/>
      <c r="B44" s="193"/>
      <c r="D44" s="199"/>
      <c r="E44" s="199"/>
      <c r="F44" s="546" t="s">
        <v>27</v>
      </c>
      <c r="G44" s="664">
        <f>G$19*'Other national data'!G42</f>
        <v>43862.275000000001</v>
      </c>
      <c r="H44" s="665">
        <f>H$19*'Other national data'!H42</f>
        <v>115606.52284263961</v>
      </c>
      <c r="I44" s="666">
        <f>I$19*'Other national data'!I42</f>
        <v>0</v>
      </c>
      <c r="J44" s="199"/>
      <c r="K44" s="199"/>
      <c r="L44" s="199"/>
      <c r="M44" s="586"/>
      <c r="N44" s="586"/>
      <c r="O44" s="185"/>
      <c r="P44" s="1051"/>
      <c r="Q44" s="1051"/>
      <c r="R44" s="1051"/>
      <c r="S44" s="36"/>
      <c r="T44" s="36"/>
    </row>
    <row r="45" spans="1:20" s="188" customFormat="1" x14ac:dyDescent="0.25">
      <c r="A45" s="185"/>
      <c r="B45" s="193"/>
      <c r="D45" s="199"/>
      <c r="E45" s="199"/>
      <c r="F45" s="667" t="s">
        <v>37</v>
      </c>
      <c r="G45" s="651" t="str">
        <f>IF(SUM(G35:G44)=G19,"Ok","Error")</f>
        <v>Ok</v>
      </c>
      <c r="H45" s="651" t="str">
        <f>IF(SUM(H35:H44)=H19,"Ok","Error")</f>
        <v>Ok</v>
      </c>
      <c r="I45" s="651" t="str">
        <f>IF(SUM(I35:I44)=I19,"Ok","Error")</f>
        <v>Ok</v>
      </c>
      <c r="J45" s="199"/>
      <c r="K45" s="199"/>
      <c r="L45" s="199"/>
      <c r="M45" s="586"/>
      <c r="N45" s="586"/>
      <c r="O45" s="185"/>
      <c r="P45" s="1051"/>
      <c r="Q45" s="1051"/>
      <c r="R45" s="1051"/>
      <c r="S45" s="36"/>
      <c r="T45" s="36"/>
    </row>
    <row r="46" spans="1:20" s="188" customFormat="1" x14ac:dyDescent="0.25">
      <c r="A46" s="185"/>
      <c r="B46" s="186"/>
      <c r="C46" s="187"/>
      <c r="D46" s="187"/>
      <c r="E46" s="187"/>
      <c r="F46" s="96"/>
      <c r="G46" s="620"/>
      <c r="H46" s="620"/>
      <c r="I46" s="620"/>
      <c r="J46" s="187"/>
      <c r="K46" s="187"/>
      <c r="L46" s="187"/>
      <c r="M46" s="186"/>
      <c r="N46" s="187"/>
      <c r="O46" s="185"/>
      <c r="P46" s="1051"/>
      <c r="Q46" s="1051"/>
      <c r="R46" s="1051"/>
      <c r="S46" s="36"/>
      <c r="T46" s="36"/>
    </row>
    <row r="47" spans="1:20" s="188" customFormat="1" x14ac:dyDescent="0.25">
      <c r="A47" s="185"/>
      <c r="B47" s="100" t="s">
        <v>128</v>
      </c>
      <c r="C47" s="94" t="s">
        <v>707</v>
      </c>
      <c r="D47" s="187"/>
      <c r="E47" s="187"/>
      <c r="F47" s="89" t="s">
        <v>103</v>
      </c>
      <c r="G47" s="95" t="s">
        <v>16</v>
      </c>
      <c r="H47" s="95" t="s">
        <v>17</v>
      </c>
      <c r="I47" s="95" t="s">
        <v>18</v>
      </c>
      <c r="J47" s="187"/>
      <c r="K47" s="187"/>
      <c r="L47" s="187"/>
      <c r="M47" s="2609" t="s">
        <v>393</v>
      </c>
      <c r="N47" s="2612" t="s">
        <v>713</v>
      </c>
      <c r="O47" s="185"/>
      <c r="P47" s="1051"/>
      <c r="Q47" s="1051"/>
      <c r="R47" s="1051"/>
      <c r="S47" s="36"/>
      <c r="T47" s="36"/>
    </row>
    <row r="48" spans="1:20" s="188" customFormat="1" x14ac:dyDescent="0.25">
      <c r="A48" s="185"/>
      <c r="B48" s="186"/>
      <c r="C48" s="187"/>
      <c r="D48" s="187"/>
      <c r="E48" s="187"/>
      <c r="F48" s="186" t="s">
        <v>25</v>
      </c>
      <c r="G48" s="990">
        <f t="shared" ref="G48:I49" si="0">G35</f>
        <v>37299.194579903451</v>
      </c>
      <c r="H48" s="991">
        <f t="shared" si="0"/>
        <v>229232.67924384319</v>
      </c>
      <c r="I48" s="992">
        <f t="shared" si="0"/>
        <v>1213080.9530603851</v>
      </c>
      <c r="J48" s="187"/>
      <c r="K48" s="187"/>
      <c r="L48" s="187"/>
      <c r="M48" s="2610"/>
      <c r="N48" s="2613"/>
      <c r="O48" s="185"/>
      <c r="P48" s="1051"/>
      <c r="Q48" s="1051"/>
      <c r="R48" s="1051"/>
      <c r="S48" s="36"/>
      <c r="T48" s="36"/>
    </row>
    <row r="49" spans="1:20" s="188" customFormat="1" x14ac:dyDescent="0.25">
      <c r="A49" s="185"/>
      <c r="B49" s="186"/>
      <c r="C49" s="187"/>
      <c r="D49" s="187"/>
      <c r="E49" s="187"/>
      <c r="F49" s="186" t="s">
        <v>28</v>
      </c>
      <c r="G49" s="993">
        <f t="shared" si="0"/>
        <v>62662.382110740662</v>
      </c>
      <c r="H49" s="621">
        <f t="shared" si="0"/>
        <v>44442.745434342738</v>
      </c>
      <c r="I49" s="994">
        <f t="shared" si="0"/>
        <v>67975.959431849013</v>
      </c>
      <c r="J49" s="187"/>
      <c r="K49" s="187"/>
      <c r="L49" s="187"/>
      <c r="M49" s="2611"/>
      <c r="N49" s="2614"/>
      <c r="O49" s="185"/>
      <c r="P49" s="1051"/>
      <c r="Q49" s="1051"/>
      <c r="R49" s="1051"/>
      <c r="S49" s="36"/>
      <c r="T49" s="36"/>
    </row>
    <row r="50" spans="1:20" s="188" customFormat="1" x14ac:dyDescent="0.25">
      <c r="A50" s="185"/>
      <c r="B50" s="186"/>
      <c r="C50" s="187"/>
      <c r="D50" s="187"/>
      <c r="E50" s="187"/>
      <c r="F50" s="813" t="s">
        <v>61</v>
      </c>
      <c r="G50" s="993">
        <f>G37-'Other national data'!K329</f>
        <v>531094.11358460155</v>
      </c>
      <c r="H50" s="621">
        <f>H37-'Other national data'!L329</f>
        <v>286623.52592447889</v>
      </c>
      <c r="I50" s="994">
        <f>I37-'Other national data'!M329</f>
        <v>0</v>
      </c>
      <c r="J50" s="187"/>
      <c r="K50" s="187"/>
      <c r="L50" s="187"/>
      <c r="M50" s="114" t="s">
        <v>100</v>
      </c>
      <c r="N50" s="94" t="s">
        <v>102</v>
      </c>
      <c r="O50" s="185"/>
      <c r="P50" s="1051"/>
      <c r="Q50" s="1051"/>
      <c r="R50" s="1051"/>
      <c r="S50" s="36"/>
      <c r="T50" s="36"/>
    </row>
    <row r="51" spans="1:20" s="188" customFormat="1" x14ac:dyDescent="0.25">
      <c r="A51" s="185"/>
      <c r="B51" s="186"/>
      <c r="C51" s="187"/>
      <c r="D51" s="187"/>
      <c r="E51" s="187"/>
      <c r="F51" s="813" t="s">
        <v>63</v>
      </c>
      <c r="G51" s="993">
        <f>G38-'Other national data'!K330</f>
        <v>278516.1279184373</v>
      </c>
      <c r="H51" s="621">
        <f>H38-'Other national data'!L330</f>
        <v>59319.342221835068</v>
      </c>
      <c r="I51" s="994">
        <f>I38-'Other national data'!M330</f>
        <v>28744.410720689844</v>
      </c>
      <c r="J51" s="187"/>
      <c r="K51" s="187"/>
      <c r="L51" s="187"/>
      <c r="M51" s="186"/>
      <c r="N51" s="187"/>
      <c r="O51" s="185"/>
      <c r="P51" s="1051"/>
      <c r="Q51" s="1051"/>
      <c r="R51" s="1051"/>
      <c r="S51" s="36"/>
      <c r="T51" s="36"/>
    </row>
    <row r="52" spans="1:20" s="188" customFormat="1" x14ac:dyDescent="0.25">
      <c r="A52" s="185"/>
      <c r="B52" s="186"/>
      <c r="C52" s="187"/>
      <c r="D52" s="187"/>
      <c r="E52" s="187"/>
      <c r="F52" s="814" t="s">
        <v>67</v>
      </c>
      <c r="G52" s="993">
        <f>G39-'Other national data'!K331</f>
        <v>16940.772404986536</v>
      </c>
      <c r="H52" s="621">
        <f>H39-'Other national data'!L331</f>
        <v>186042.92185112703</v>
      </c>
      <c r="I52" s="994">
        <f>I39-'Other national data'!M331</f>
        <v>86544.897478341314</v>
      </c>
      <c r="J52" s="187"/>
      <c r="K52" s="187"/>
      <c r="L52" s="187"/>
      <c r="M52" s="186"/>
      <c r="N52" s="187"/>
      <c r="O52" s="185"/>
      <c r="P52" s="1051"/>
      <c r="Q52" s="1051"/>
      <c r="R52" s="1051"/>
      <c r="S52" s="36"/>
      <c r="T52" s="36"/>
    </row>
    <row r="53" spans="1:20" s="188" customFormat="1" x14ac:dyDescent="0.25">
      <c r="A53" s="185"/>
      <c r="B53" s="186"/>
      <c r="C53" s="187"/>
      <c r="D53" s="187"/>
      <c r="E53" s="187"/>
      <c r="F53" s="814" t="s">
        <v>65</v>
      </c>
      <c r="G53" s="993">
        <f>G40-'Other national data'!K332</f>
        <v>67012.432848367316</v>
      </c>
      <c r="H53" s="621">
        <f>H40-'Other national data'!L332</f>
        <v>0</v>
      </c>
      <c r="I53" s="994">
        <f>I40-'Other national data'!M332</f>
        <v>0</v>
      </c>
      <c r="J53" s="187"/>
      <c r="K53" s="187"/>
      <c r="L53" s="187"/>
      <c r="M53" s="186"/>
      <c r="N53" s="187"/>
      <c r="O53" s="185"/>
      <c r="P53" s="1051"/>
      <c r="Q53" s="1051"/>
      <c r="R53" s="1051"/>
      <c r="S53" s="36"/>
      <c r="T53" s="36"/>
    </row>
    <row r="54" spans="1:20" s="188" customFormat="1" x14ac:dyDescent="0.25">
      <c r="A54" s="185"/>
      <c r="B54" s="186"/>
      <c r="C54" s="187"/>
      <c r="D54" s="187"/>
      <c r="E54" s="187"/>
      <c r="F54" s="186" t="s">
        <v>20</v>
      </c>
      <c r="G54" s="993">
        <f>G41-'Other national data'!K333</f>
        <v>198172.19119045595</v>
      </c>
      <c r="H54" s="621">
        <f>H41-'Other national data'!L333</f>
        <v>207587.39929866928</v>
      </c>
      <c r="I54" s="994">
        <f>I41-'Other national data'!M333</f>
        <v>38938.3570723046</v>
      </c>
      <c r="J54" s="187"/>
      <c r="K54" s="187"/>
      <c r="L54" s="187"/>
      <c r="M54" s="186"/>
      <c r="N54" s="187"/>
      <c r="O54" s="185"/>
      <c r="P54" s="1051"/>
      <c r="Q54" s="1051"/>
      <c r="R54" s="1051"/>
      <c r="S54" s="36"/>
      <c r="T54" s="36"/>
    </row>
    <row r="55" spans="1:20" s="188" customFormat="1" x14ac:dyDescent="0.25">
      <c r="A55" s="185"/>
      <c r="B55" s="186"/>
      <c r="C55" s="187"/>
      <c r="D55" s="187"/>
      <c r="E55" s="187"/>
      <c r="F55" s="380" t="s">
        <v>32</v>
      </c>
      <c r="G55" s="993">
        <f t="shared" ref="G55:I56" si="1">G42</f>
        <v>292501.24617600761</v>
      </c>
      <c r="H55" s="621">
        <f t="shared" si="1"/>
        <v>270479.01486829296</v>
      </c>
      <c r="I55" s="994">
        <f t="shared" si="1"/>
        <v>48430.17457146255</v>
      </c>
      <c r="J55" s="187"/>
      <c r="K55" s="187"/>
      <c r="L55" s="187"/>
      <c r="M55" s="186"/>
      <c r="N55" s="187"/>
      <c r="O55" s="185"/>
      <c r="P55" s="1051"/>
      <c r="Q55" s="1051"/>
      <c r="R55" s="1051"/>
      <c r="S55" s="36"/>
      <c r="T55" s="36"/>
    </row>
    <row r="56" spans="1:20" s="188" customFormat="1" x14ac:dyDescent="0.25">
      <c r="A56" s="185"/>
      <c r="B56" s="186"/>
      <c r="C56" s="187"/>
      <c r="D56" s="187"/>
      <c r="E56" s="187"/>
      <c r="F56" s="186" t="s">
        <v>30</v>
      </c>
      <c r="G56" s="993">
        <f t="shared" si="1"/>
        <v>98794.657133348272</v>
      </c>
      <c r="H56" s="621">
        <f t="shared" si="1"/>
        <v>33878.174666719191</v>
      </c>
      <c r="I56" s="994">
        <f t="shared" si="1"/>
        <v>42.972936303279994</v>
      </c>
      <c r="J56" s="187"/>
      <c r="K56" s="187"/>
      <c r="L56" s="187"/>
      <c r="M56" s="186"/>
      <c r="N56" s="187"/>
      <c r="O56" s="185"/>
      <c r="P56" s="1051"/>
      <c r="Q56" s="1051"/>
      <c r="R56" s="1051"/>
      <c r="S56" s="36"/>
      <c r="T56" s="36"/>
    </row>
    <row r="57" spans="1:20" s="188" customFormat="1" x14ac:dyDescent="0.25">
      <c r="A57" s="185"/>
      <c r="B57" s="186"/>
      <c r="C57" s="187"/>
      <c r="D57" s="187"/>
      <c r="E57" s="187"/>
      <c r="F57" s="186" t="s">
        <v>27</v>
      </c>
      <c r="G57" s="995">
        <f>G44-'Other national data'!K334</f>
        <v>39371.695498807589</v>
      </c>
      <c r="H57" s="996">
        <f>H44-'Other national data'!L334</f>
        <v>103770.83302305569</v>
      </c>
      <c r="I57" s="997">
        <f>I44-'Other national data'!M334</f>
        <v>0</v>
      </c>
      <c r="J57" s="187"/>
      <c r="K57" s="187"/>
      <c r="L57" s="187"/>
      <c r="M57" s="186"/>
      <c r="N57" s="187"/>
      <c r="O57" s="185"/>
      <c r="P57" s="36"/>
      <c r="Q57" s="36"/>
      <c r="R57" s="36"/>
      <c r="S57" s="36"/>
      <c r="T57" s="36"/>
    </row>
    <row r="58" spans="1:20" s="188" customFormat="1" x14ac:dyDescent="0.25">
      <c r="A58" s="185"/>
      <c r="B58" s="186"/>
      <c r="C58" s="187"/>
      <c r="D58" s="187"/>
      <c r="E58" s="187"/>
      <c r="F58" s="96" t="s">
        <v>37</v>
      </c>
      <c r="G58" s="381" t="str">
        <f>IF(SUM(G48:G57)=G19-SUM('Other national data'!K329:K334),"Ok","Error")</f>
        <v>Ok</v>
      </c>
      <c r="H58" s="381" t="str">
        <f>IF(SUM(H48:H57)=H19-SUM('Other national data'!L329:L334),"Ok","Error")</f>
        <v>Ok</v>
      </c>
      <c r="I58" s="381" t="str">
        <f>IF(SUM(I48:I57)=I19-SUM('Other national data'!M329:M334),"Ok","Error")</f>
        <v>Ok</v>
      </c>
      <c r="J58" s="187"/>
      <c r="K58" s="187"/>
      <c r="L58" s="187"/>
      <c r="M58" s="186"/>
      <c r="N58" s="187"/>
      <c r="O58" s="185"/>
      <c r="P58" s="36"/>
      <c r="Q58" s="36"/>
      <c r="R58" s="36"/>
      <c r="S58" s="36"/>
      <c r="T58" s="36"/>
    </row>
    <row r="59" spans="1:20" ht="15.75" x14ac:dyDescent="0.25">
      <c r="A59" s="130"/>
      <c r="B59" s="130"/>
      <c r="C59" s="130"/>
      <c r="D59" s="130"/>
      <c r="E59" s="130"/>
      <c r="F59" s="130"/>
      <c r="G59" s="130"/>
      <c r="H59" s="130"/>
      <c r="I59" s="130"/>
      <c r="J59" s="130"/>
      <c r="K59" s="130"/>
      <c r="L59" s="130"/>
      <c r="M59" s="130"/>
      <c r="N59" s="130"/>
      <c r="O59" s="130"/>
    </row>
    <row r="60" spans="1:20" ht="15.75" x14ac:dyDescent="0.25">
      <c r="A60" s="131"/>
      <c r="B60" s="131" t="s">
        <v>461</v>
      </c>
      <c r="C60" s="363" t="s">
        <v>582</v>
      </c>
      <c r="D60" s="131"/>
      <c r="E60" s="131"/>
      <c r="F60" s="131"/>
      <c r="G60" s="131"/>
      <c r="H60" s="131"/>
      <c r="I60" s="131"/>
      <c r="J60" s="131"/>
      <c r="K60" s="131"/>
      <c r="L60" s="131"/>
      <c r="M60" s="132"/>
      <c r="N60" s="131"/>
      <c r="O60" s="131"/>
    </row>
    <row r="61" spans="1:20" s="191" customFormat="1" x14ac:dyDescent="0.25">
      <c r="A61" s="201"/>
      <c r="B61" s="193"/>
      <c r="C61" s="188"/>
      <c r="D61" s="586"/>
      <c r="E61" s="586"/>
      <c r="F61" s="586"/>
      <c r="G61" s="586"/>
      <c r="H61" s="586"/>
      <c r="I61" s="586"/>
      <c r="J61" s="586"/>
      <c r="K61" s="586"/>
      <c r="L61" s="586"/>
      <c r="M61" s="586"/>
      <c r="N61" s="586"/>
      <c r="O61" s="201"/>
      <c r="P61" s="36"/>
      <c r="Q61" s="36"/>
      <c r="R61" s="36"/>
      <c r="S61" s="36"/>
      <c r="T61" s="36"/>
    </row>
    <row r="62" spans="1:20" s="191" customFormat="1" ht="12.75" customHeight="1" x14ac:dyDescent="0.2">
      <c r="A62" s="201"/>
      <c r="B62" s="799" t="s">
        <v>125</v>
      </c>
      <c r="C62" s="2586" t="s">
        <v>1005</v>
      </c>
      <c r="D62" s="586"/>
      <c r="E62" s="586"/>
      <c r="F62" s="586"/>
      <c r="G62" s="24" t="s">
        <v>16</v>
      </c>
      <c r="H62" s="24" t="s">
        <v>17</v>
      </c>
      <c r="I62" s="24" t="s">
        <v>18</v>
      </c>
      <c r="J62" s="586"/>
      <c r="K62" s="586"/>
      <c r="L62" s="586"/>
      <c r="M62" s="113" t="s">
        <v>104</v>
      </c>
      <c r="N62" s="37" t="s">
        <v>761</v>
      </c>
      <c r="O62" s="201"/>
      <c r="P62" s="36"/>
      <c r="Q62" s="36"/>
      <c r="R62" s="36"/>
      <c r="S62" s="36"/>
      <c r="T62" s="36"/>
    </row>
    <row r="63" spans="1:20" s="191" customFormat="1" x14ac:dyDescent="0.25">
      <c r="A63" s="201"/>
      <c r="B63" s="221"/>
      <c r="C63" s="2588"/>
      <c r="D63" s="586"/>
      <c r="E63" s="586"/>
      <c r="F63" s="638"/>
      <c r="G63" s="1325">
        <f>'Other national data'!$G102*'Other national data'!H102</f>
        <v>17500</v>
      </c>
      <c r="H63" s="1326">
        <f>'Other national data'!$G102*'Other national data'!I102</f>
        <v>17300</v>
      </c>
      <c r="I63" s="1327">
        <f>'Other national data'!$G102*'Other national data'!J102</f>
        <v>1200</v>
      </c>
      <c r="J63" s="586"/>
      <c r="K63" s="586"/>
      <c r="L63" s="586"/>
      <c r="M63" s="113" t="s">
        <v>100</v>
      </c>
      <c r="N63" s="37" t="s">
        <v>102</v>
      </c>
      <c r="O63" s="201"/>
      <c r="P63" s="1051"/>
      <c r="Q63" s="1051"/>
      <c r="R63" s="1051"/>
      <c r="S63" s="36"/>
      <c r="T63" s="36"/>
    </row>
    <row r="64" spans="1:20" s="191" customFormat="1" ht="12.75" customHeight="1" x14ac:dyDescent="0.25">
      <c r="A64" s="201"/>
      <c r="B64" s="795" t="s">
        <v>323</v>
      </c>
      <c r="C64" s="2596" t="s">
        <v>1002</v>
      </c>
      <c r="D64" s="822"/>
      <c r="E64" s="586"/>
      <c r="F64" s="586"/>
      <c r="J64" s="586"/>
      <c r="K64" s="586"/>
      <c r="L64" s="586"/>
      <c r="M64" s="585" t="s">
        <v>10</v>
      </c>
      <c r="N64" s="366" t="s">
        <v>1001</v>
      </c>
      <c r="O64" s="201"/>
      <c r="P64" s="36"/>
      <c r="Q64" s="36"/>
      <c r="R64" s="36"/>
      <c r="S64" s="36"/>
      <c r="T64" s="36"/>
    </row>
    <row r="65" spans="1:20" s="191" customFormat="1" x14ac:dyDescent="0.25">
      <c r="A65" s="201"/>
      <c r="B65" s="221"/>
      <c r="C65" s="2630"/>
      <c r="D65" s="586"/>
      <c r="E65" s="586"/>
      <c r="F65" s="586"/>
      <c r="G65" s="586"/>
      <c r="H65" s="586"/>
      <c r="I65" s="586"/>
      <c r="J65" s="586"/>
      <c r="K65" s="586"/>
      <c r="L65" s="586"/>
      <c r="M65" s="113" t="s">
        <v>352</v>
      </c>
      <c r="N65" s="1329" t="s">
        <v>356</v>
      </c>
      <c r="O65" s="201"/>
      <c r="P65" s="36"/>
      <c r="Q65" s="36"/>
      <c r="R65" s="36"/>
      <c r="S65" s="36"/>
      <c r="T65" s="36"/>
    </row>
    <row r="66" spans="1:20" s="191" customFormat="1" x14ac:dyDescent="0.25">
      <c r="A66" s="201"/>
      <c r="B66" s="795" t="s">
        <v>714</v>
      </c>
      <c r="C66" s="2621" t="s">
        <v>710</v>
      </c>
      <c r="D66" s="586"/>
      <c r="E66" s="586"/>
      <c r="F66" s="586"/>
      <c r="G66" s="586"/>
      <c r="H66" s="586"/>
      <c r="I66" s="586"/>
      <c r="J66" s="586"/>
      <c r="K66" s="586"/>
      <c r="L66" s="586"/>
      <c r="M66" s="113" t="s">
        <v>99</v>
      </c>
      <c r="N66" s="1595">
        <v>42568</v>
      </c>
      <c r="O66" s="201"/>
      <c r="P66" s="36"/>
      <c r="Q66" s="36"/>
      <c r="R66" s="36"/>
      <c r="S66" s="36"/>
      <c r="T66" s="36"/>
    </row>
    <row r="67" spans="1:20" s="191" customFormat="1" x14ac:dyDescent="0.25">
      <c r="A67" s="201"/>
      <c r="B67" s="203"/>
      <c r="C67" s="2622"/>
      <c r="D67" s="586"/>
      <c r="E67" s="586"/>
      <c r="F67" s="586"/>
      <c r="G67" s="586"/>
      <c r="H67" s="586"/>
      <c r="I67" s="586"/>
      <c r="J67" s="586"/>
      <c r="K67" s="586"/>
      <c r="L67" s="586"/>
      <c r="M67" s="113" t="s">
        <v>658</v>
      </c>
      <c r="N67" s="1328" t="s">
        <v>681</v>
      </c>
      <c r="O67" s="201"/>
      <c r="P67" s="36"/>
      <c r="Q67" s="36"/>
      <c r="R67" s="36"/>
      <c r="S67" s="36"/>
      <c r="T67" s="36"/>
    </row>
    <row r="68" spans="1:20" s="191" customFormat="1" x14ac:dyDescent="0.25">
      <c r="A68" s="201"/>
      <c r="B68" s="193"/>
      <c r="C68" s="188"/>
      <c r="D68" s="586"/>
      <c r="E68" s="586"/>
      <c r="F68" s="586"/>
      <c r="G68" s="586"/>
      <c r="H68" s="586"/>
      <c r="I68" s="586"/>
      <c r="J68" s="586"/>
      <c r="K68" s="586"/>
      <c r="L68" s="586"/>
      <c r="M68" s="586"/>
      <c r="N68" s="586"/>
      <c r="O68" s="201"/>
      <c r="P68" s="36"/>
      <c r="Q68" s="36"/>
      <c r="R68" s="36"/>
      <c r="S68" s="36"/>
      <c r="T68" s="36"/>
    </row>
    <row r="69" spans="1:20" s="188" customFormat="1" x14ac:dyDescent="0.25">
      <c r="A69" s="201"/>
      <c r="B69" s="195"/>
      <c r="C69" s="187"/>
      <c r="D69" s="187"/>
      <c r="E69" s="187"/>
      <c r="F69" s="187"/>
      <c r="G69" s="95" t="s">
        <v>16</v>
      </c>
      <c r="H69" s="95" t="s">
        <v>17</v>
      </c>
      <c r="I69" s="95" t="s">
        <v>18</v>
      </c>
      <c r="J69" s="107" t="s">
        <v>88</v>
      </c>
      <c r="K69" s="187"/>
      <c r="L69" s="187"/>
      <c r="M69" s="187"/>
      <c r="N69" s="187"/>
      <c r="O69" s="201"/>
      <c r="P69" s="36"/>
      <c r="Q69" s="36"/>
      <c r="R69" s="36"/>
      <c r="S69" s="36"/>
      <c r="T69" s="36"/>
    </row>
    <row r="70" spans="1:20" s="188" customFormat="1" x14ac:dyDescent="0.2">
      <c r="A70" s="201"/>
      <c r="B70" s="100" t="s">
        <v>126</v>
      </c>
      <c r="C70" s="94" t="s">
        <v>741</v>
      </c>
      <c r="D70" s="88"/>
      <c r="E70" s="88"/>
      <c r="F70" s="654" t="s">
        <v>25</v>
      </c>
      <c r="G70" s="1336"/>
      <c r="H70" s="1337"/>
      <c r="I70" s="1379"/>
      <c r="J70" s="1380">
        <v>1318341</v>
      </c>
      <c r="K70" s="88"/>
      <c r="L70" s="88"/>
      <c r="M70" s="798" t="s">
        <v>104</v>
      </c>
      <c r="N70" s="2612" t="s">
        <v>739</v>
      </c>
      <c r="O70" s="201"/>
      <c r="P70" s="1051"/>
      <c r="Q70" s="36"/>
      <c r="R70" s="36"/>
      <c r="S70" s="36">
        <f>IF(AND(ISNUMBER(J70),'Validn data - hide'!C218&gt;0),IF(J70/'Validn data - hide'!C218-1&gt;'Validn data - hide'!$L218,1,IF(J70/'Validn data - hide'!C218-1&lt;-'Validn data - hide'!$L218,-1,0)),0)</f>
        <v>1</v>
      </c>
      <c r="T70" s="36"/>
    </row>
    <row r="71" spans="1:20" s="188" customFormat="1" x14ac:dyDescent="0.2">
      <c r="A71" s="201"/>
      <c r="B71" s="589" t="s">
        <v>717</v>
      </c>
      <c r="C71" s="2628" t="s">
        <v>740</v>
      </c>
      <c r="D71" s="187"/>
      <c r="E71" s="187"/>
      <c r="F71" s="654" t="s">
        <v>28</v>
      </c>
      <c r="G71" s="1339"/>
      <c r="H71" s="1340"/>
      <c r="I71" s="1381"/>
      <c r="J71" s="1382">
        <v>806193</v>
      </c>
      <c r="K71" s="187"/>
      <c r="L71" s="187"/>
      <c r="M71" s="379"/>
      <c r="N71" s="2613"/>
      <c r="O71" s="201"/>
      <c r="P71" s="1051"/>
      <c r="Q71" s="36"/>
      <c r="R71" s="36"/>
      <c r="S71" s="36">
        <f>IF(AND(ISNUMBER(J71),'Validn data - hide'!C219&gt;0),IF(J71/'Validn data - hide'!C219-1&gt;'Validn data - hide'!$L219,1,IF(J71/'Validn data - hide'!C219-1&lt;-'Validn data - hide'!$L219,-1,0)),0)</f>
        <v>0</v>
      </c>
      <c r="T71" s="36"/>
    </row>
    <row r="72" spans="1:20" s="188" customFormat="1" x14ac:dyDescent="0.25">
      <c r="A72" s="201"/>
      <c r="B72" s="653"/>
      <c r="C72" s="2676"/>
      <c r="D72" s="187"/>
      <c r="E72" s="187"/>
      <c r="F72" s="1260" t="s">
        <v>61</v>
      </c>
      <c r="G72" s="2558">
        <f>G81*$J72</f>
        <v>15458.981594058905</v>
      </c>
      <c r="H72" s="2559">
        <f>H81*$J72</f>
        <v>52733.018405941097</v>
      </c>
      <c r="I72" s="1381"/>
      <c r="J72" s="1382">
        <v>68192</v>
      </c>
      <c r="K72" s="187"/>
      <c r="L72" s="187"/>
      <c r="M72" s="379"/>
      <c r="N72" s="2613"/>
      <c r="O72" s="201"/>
      <c r="P72" s="1051"/>
      <c r="Q72" s="36"/>
      <c r="R72" s="36"/>
      <c r="S72" s="36">
        <f>IF(AND(ISNUMBER(J72),'Validn data - hide'!C220&gt;0),IF(J72/'Validn data - hide'!C220-1&gt;'Validn data - hide'!$L220,1,IF(J72/'Validn data - hide'!C220-1&lt;-'Validn data - hide'!$L220,-1,0)),0)</f>
        <v>1</v>
      </c>
      <c r="T72" s="36"/>
    </row>
    <row r="73" spans="1:20" s="471" customFormat="1" x14ac:dyDescent="0.25">
      <c r="A73" s="201"/>
      <c r="B73" s="655"/>
      <c r="C73" s="2628" t="s">
        <v>716</v>
      </c>
      <c r="D73" s="475"/>
      <c r="E73" s="475"/>
      <c r="F73" s="1260" t="s">
        <v>63</v>
      </c>
      <c r="G73" s="1383"/>
      <c r="H73" s="1340"/>
      <c r="I73" s="1381"/>
      <c r="J73" s="1382">
        <v>619071</v>
      </c>
      <c r="K73" s="475"/>
      <c r="L73" s="475"/>
      <c r="M73" s="477"/>
      <c r="N73" s="2614"/>
      <c r="O73" s="201"/>
      <c r="P73" s="1051"/>
      <c r="Q73" s="36"/>
      <c r="R73" s="36"/>
      <c r="S73" s="36">
        <f>IF(AND(ISNUMBER(J73),'Validn data - hide'!C221&gt;0),IF(J73/'Validn data - hide'!C221-1&gt;'Validn data - hide'!$L221,1,IF(J73/'Validn data - hide'!C221-1&lt;-'Validn data - hide'!$L221,-1,0)),0)</f>
        <v>0</v>
      </c>
      <c r="T73" s="36"/>
    </row>
    <row r="74" spans="1:20" s="471" customFormat="1" x14ac:dyDescent="0.25">
      <c r="A74" s="201"/>
      <c r="B74" s="655"/>
      <c r="C74" s="2629"/>
      <c r="D74" s="475"/>
      <c r="E74" s="475"/>
      <c r="F74" s="1260" t="s">
        <v>67</v>
      </c>
      <c r="G74" s="1383"/>
      <c r="H74" s="1340"/>
      <c r="I74" s="1381"/>
      <c r="J74" s="1382">
        <v>180504</v>
      </c>
      <c r="K74" s="475"/>
      <c r="L74" s="475"/>
      <c r="M74" s="114" t="s">
        <v>100</v>
      </c>
      <c r="N74" s="94" t="s">
        <v>102</v>
      </c>
      <c r="O74" s="201"/>
      <c r="P74" s="1051"/>
      <c r="Q74" s="36"/>
      <c r="R74" s="36"/>
      <c r="S74" s="36">
        <f>IF(AND(ISNUMBER(J74),'Validn data - hide'!C222&gt;0),IF(J74/'Validn data - hide'!C222-1&gt;'Validn data - hide'!$L222,1,IF(J74/'Validn data - hide'!C222-1&lt;-'Validn data - hide'!$L222,-1,0)),0)</f>
        <v>1</v>
      </c>
      <c r="T74" s="36"/>
    </row>
    <row r="75" spans="1:20" s="471" customFormat="1" x14ac:dyDescent="0.25">
      <c r="A75" s="201"/>
      <c r="B75" s="655"/>
      <c r="C75" s="2628" t="s">
        <v>719</v>
      </c>
      <c r="D75" s="475"/>
      <c r="E75" s="475"/>
      <c r="F75" s="1260" t="s">
        <v>65</v>
      </c>
      <c r="G75" s="1383"/>
      <c r="H75" s="1340"/>
      <c r="I75" s="1381"/>
      <c r="J75" s="1382">
        <v>40400</v>
      </c>
      <c r="K75" s="475"/>
      <c r="L75" s="475"/>
      <c r="M75" s="114" t="s">
        <v>10</v>
      </c>
      <c r="N75" s="1331" t="s">
        <v>1053</v>
      </c>
      <c r="O75" s="201"/>
      <c r="P75" s="1051"/>
      <c r="Q75" s="36"/>
      <c r="R75" s="36"/>
      <c r="S75" s="36">
        <f>IF(AND(ISNUMBER(J75),'Validn data - hide'!C223&gt;0),IF(J75/'Validn data - hide'!C223-1&gt;'Validn data - hide'!$L223,1,IF(J75/'Validn data - hide'!C223-1&lt;-'Validn data - hide'!$L223,-1,0)),0)</f>
        <v>1</v>
      </c>
      <c r="T75" s="36"/>
    </row>
    <row r="76" spans="1:20" s="471" customFormat="1" x14ac:dyDescent="0.2">
      <c r="A76" s="201"/>
      <c r="B76" s="655"/>
      <c r="C76" s="2629"/>
      <c r="D76" s="475"/>
      <c r="E76" s="475"/>
      <c r="F76" s="884" t="s">
        <v>22</v>
      </c>
      <c r="G76" s="1383"/>
      <c r="H76" s="1340"/>
      <c r="I76" s="1381"/>
      <c r="J76" s="1382"/>
      <c r="K76" s="475"/>
      <c r="L76" s="475"/>
      <c r="M76" s="114" t="s">
        <v>352</v>
      </c>
      <c r="N76" s="1330" t="s">
        <v>1055</v>
      </c>
      <c r="O76" s="201"/>
      <c r="Q76" s="36"/>
      <c r="R76" s="36"/>
      <c r="S76" s="36"/>
      <c r="T76" s="36"/>
    </row>
    <row r="77" spans="1:20" s="471" customFormat="1" x14ac:dyDescent="0.2">
      <c r="A77" s="201"/>
      <c r="B77" s="655"/>
      <c r="C77" s="2628" t="s">
        <v>826</v>
      </c>
      <c r="D77" s="475"/>
      <c r="E77" s="475"/>
      <c r="F77" s="654" t="s">
        <v>20</v>
      </c>
      <c r="G77" s="1339"/>
      <c r="H77" s="1340"/>
      <c r="I77" s="1381"/>
      <c r="J77" s="1382">
        <v>495442</v>
      </c>
      <c r="K77" s="475"/>
      <c r="L77" s="475"/>
      <c r="M77" s="114" t="s">
        <v>99</v>
      </c>
      <c r="N77" s="1605" t="s">
        <v>1056</v>
      </c>
      <c r="O77" s="201"/>
      <c r="P77" s="1051"/>
      <c r="Q77" s="36"/>
      <c r="R77" s="36"/>
      <c r="S77" s="36">
        <f>IF(AND(ISNUMBER(J77),'Validn data - hide'!C225&gt;0),IF(J77/'Validn data - hide'!C225-1&gt;'Validn data - hide'!$L225,1,IF(J77/'Validn data - hide'!C225-1&lt;-'Validn data - hide'!$L225,-1,0)),0)</f>
        <v>-1</v>
      </c>
      <c r="T77" s="36"/>
    </row>
    <row r="78" spans="1:20" s="188" customFormat="1" x14ac:dyDescent="0.2">
      <c r="A78" s="201"/>
      <c r="B78" s="655"/>
      <c r="C78" s="2676"/>
      <c r="D78" s="187"/>
      <c r="E78" s="187"/>
      <c r="F78" s="654" t="s">
        <v>30</v>
      </c>
      <c r="G78" s="1383"/>
      <c r="H78" s="1340"/>
      <c r="I78" s="1381"/>
      <c r="J78" s="1382">
        <v>69215</v>
      </c>
      <c r="K78" s="187"/>
      <c r="L78" s="187"/>
      <c r="M78" s="114" t="s">
        <v>658</v>
      </c>
      <c r="N78" s="1328" t="s">
        <v>1082</v>
      </c>
      <c r="O78" s="201"/>
      <c r="P78" s="1051"/>
      <c r="Q78" s="36"/>
      <c r="R78" s="36"/>
      <c r="S78" s="36">
        <f>IF(AND(ISNUMBER(J78),'Validn data - hide'!C226&gt;0),IF(J78/'Validn data - hide'!C226-1&gt;'Validn data - hide'!$L226,1,IF(J78/'Validn data - hide'!C226-1&lt;-'Validn data - hide'!$L226,-1,0)),0)</f>
        <v>-1</v>
      </c>
      <c r="T78" s="36"/>
    </row>
    <row r="79" spans="1:20" s="471" customFormat="1" x14ac:dyDescent="0.25">
      <c r="A79" s="201"/>
      <c r="B79" s="655"/>
      <c r="C79" s="640" t="s">
        <v>992</v>
      </c>
      <c r="D79" s="475"/>
      <c r="E79" s="475"/>
      <c r="F79" s="111" t="s">
        <v>83</v>
      </c>
      <c r="G79" s="1383"/>
      <c r="H79" s="1340"/>
      <c r="I79" s="1381"/>
      <c r="J79" s="1382"/>
      <c r="K79" s="475"/>
      <c r="L79" s="475"/>
      <c r="M79" s="475"/>
      <c r="N79" s="475"/>
      <c r="O79" s="201"/>
      <c r="P79" s="1051"/>
      <c r="Q79" s="36"/>
      <c r="R79" s="36"/>
      <c r="S79" s="36"/>
      <c r="T79" s="36"/>
    </row>
    <row r="80" spans="1:20" s="471" customFormat="1" ht="12.75" customHeight="1" x14ac:dyDescent="0.25">
      <c r="A80" s="201"/>
      <c r="B80" s="587"/>
      <c r="C80" s="2623" t="s">
        <v>916</v>
      </c>
      <c r="D80" s="475"/>
      <c r="E80" s="475"/>
      <c r="F80" s="111" t="s">
        <v>568</v>
      </c>
      <c r="G80" s="1384"/>
      <c r="H80" s="1385"/>
      <c r="I80" s="1386"/>
      <c r="J80" s="1387"/>
      <c r="K80" s="475"/>
      <c r="L80" s="475"/>
      <c r="M80" s="475"/>
      <c r="N80" s="475"/>
      <c r="O80" s="201"/>
      <c r="Q80" s="36"/>
      <c r="R80" s="36"/>
      <c r="S80" s="36"/>
      <c r="T80" s="36"/>
    </row>
    <row r="81" spans="1:20" s="471" customFormat="1" x14ac:dyDescent="0.25">
      <c r="A81" s="201"/>
      <c r="B81" s="653"/>
      <c r="C81" s="2624"/>
      <c r="D81" s="475"/>
      <c r="E81" s="475"/>
      <c r="F81" s="2555" t="s">
        <v>1434</v>
      </c>
      <c r="G81" s="2557">
        <f>13462/(13462+45921)</f>
        <v>0.22669787649664044</v>
      </c>
      <c r="H81" s="2556">
        <f>1-G81</f>
        <v>0.77330212350335958</v>
      </c>
      <c r="I81" s="187"/>
      <c r="J81" s="187"/>
      <c r="K81" s="475"/>
      <c r="L81" s="475"/>
      <c r="M81" s="114" t="s">
        <v>10</v>
      </c>
      <c r="N81" s="1331" t="s">
        <v>1053</v>
      </c>
      <c r="O81" s="201"/>
      <c r="P81" s="1051"/>
      <c r="Q81" s="36"/>
      <c r="R81" s="36"/>
      <c r="S81" s="36"/>
      <c r="T81" s="36"/>
    </row>
    <row r="82" spans="1:20" s="471" customFormat="1" x14ac:dyDescent="0.2">
      <c r="A82" s="201"/>
      <c r="B82" s="481"/>
      <c r="C82" s="2625"/>
      <c r="D82" s="475"/>
      <c r="E82" s="475"/>
      <c r="F82" s="1099" t="s">
        <v>870</v>
      </c>
      <c r="G82" s="475"/>
      <c r="H82" s="1389">
        <v>883622</v>
      </c>
      <c r="I82" s="187"/>
      <c r="J82" s="187"/>
      <c r="K82" s="2538"/>
      <c r="L82" s="475"/>
      <c r="M82" s="114" t="s">
        <v>352</v>
      </c>
      <c r="N82" s="1330" t="s">
        <v>356</v>
      </c>
      <c r="O82" s="201"/>
      <c r="P82" s="36"/>
      <c r="Q82" s="36">
        <f>IF(AND(ISNUMBER(H82),'Validn data - hide'!C230&gt;0),IF(H82/'Validn data - hide'!C230-1&gt;'Validn data - hide'!$L230,1,IF(H82/'Validn data - hide'!C230-1&lt;-'Validn data - hide'!$L230,-1,0)),0)</f>
        <v>0</v>
      </c>
      <c r="R82" s="36"/>
      <c r="S82" s="36"/>
      <c r="T82" s="36"/>
    </row>
    <row r="83" spans="1:20" s="471" customFormat="1" x14ac:dyDescent="0.25">
      <c r="A83" s="201"/>
      <c r="B83" s="475"/>
      <c r="C83" s="475"/>
      <c r="D83" s="475"/>
      <c r="E83" s="475"/>
      <c r="F83" s="475"/>
      <c r="G83" s="475"/>
      <c r="H83" s="187"/>
      <c r="I83" s="187"/>
      <c r="J83" s="187"/>
      <c r="K83" s="475"/>
      <c r="L83" s="475"/>
      <c r="M83" s="475"/>
      <c r="N83" s="475"/>
      <c r="O83" s="201"/>
      <c r="P83" s="36"/>
      <c r="Q83" s="36"/>
      <c r="R83" s="36"/>
      <c r="S83" s="36"/>
      <c r="T83" s="36"/>
    </row>
    <row r="84" spans="1:20" s="471" customFormat="1" x14ac:dyDescent="0.25">
      <c r="A84" s="201"/>
      <c r="B84" s="824"/>
      <c r="C84" s="824"/>
      <c r="D84" s="824"/>
      <c r="E84" s="824"/>
      <c r="F84" s="824"/>
      <c r="G84" s="824"/>
      <c r="H84" s="824"/>
      <c r="I84" s="824"/>
      <c r="J84" s="824"/>
      <c r="K84" s="824"/>
      <c r="L84" s="824"/>
      <c r="M84" s="824"/>
      <c r="N84" s="824"/>
      <c r="O84" s="201"/>
      <c r="P84" s="36"/>
      <c r="Q84" s="36"/>
      <c r="R84" s="36"/>
      <c r="S84" s="36"/>
      <c r="T84" s="36"/>
    </row>
    <row r="85" spans="1:20" s="471" customFormat="1" x14ac:dyDescent="0.2">
      <c r="A85" s="201"/>
      <c r="B85" s="97" t="s">
        <v>127</v>
      </c>
      <c r="C85" s="37" t="s">
        <v>1023</v>
      </c>
      <c r="D85" s="824"/>
      <c r="E85" s="824"/>
      <c r="F85" s="811"/>
      <c r="G85" s="825" t="s">
        <v>16</v>
      </c>
      <c r="H85" s="825" t="s">
        <v>17</v>
      </c>
      <c r="I85" s="825" t="s">
        <v>18</v>
      </c>
      <c r="J85" s="826"/>
      <c r="K85" s="824"/>
      <c r="L85" s="824"/>
      <c r="M85" s="2592" t="s">
        <v>104</v>
      </c>
      <c r="N85" s="2586" t="s">
        <v>886</v>
      </c>
      <c r="O85" s="201"/>
      <c r="P85" s="36"/>
      <c r="Q85" s="36"/>
      <c r="R85" s="36"/>
      <c r="S85" s="36"/>
      <c r="T85" s="36"/>
    </row>
    <row r="86" spans="1:20" s="471" customFormat="1" x14ac:dyDescent="0.25">
      <c r="A86" s="201"/>
      <c r="B86" s="824"/>
      <c r="C86" s="824"/>
      <c r="D86" s="824"/>
      <c r="E86" s="824"/>
      <c r="F86" s="809"/>
      <c r="G86" s="1609">
        <f>'Other national data'!H94</f>
        <v>0.20351318413759253</v>
      </c>
      <c r="H86" s="1610">
        <f>'Other national data'!I94</f>
        <v>0.35270330317327619</v>
      </c>
      <c r="I86" s="1611">
        <f>'Other national data'!J94</f>
        <v>0.44378351268913124</v>
      </c>
      <c r="J86" s="984"/>
      <c r="K86" s="824"/>
      <c r="L86" s="824"/>
      <c r="M86" s="2594"/>
      <c r="N86" s="2588"/>
      <c r="O86" s="201"/>
      <c r="P86" s="1051"/>
      <c r="Q86" s="1051"/>
      <c r="R86" s="1051"/>
      <c r="S86" s="36"/>
      <c r="T86" s="36"/>
    </row>
    <row r="87" spans="1:20" s="471" customFormat="1" x14ac:dyDescent="0.25">
      <c r="A87" s="201"/>
      <c r="B87" s="824"/>
      <c r="C87" s="824"/>
      <c r="D87" s="824"/>
      <c r="E87" s="824"/>
      <c r="F87" s="809"/>
      <c r="G87" s="809"/>
      <c r="H87" s="809"/>
      <c r="I87" s="809"/>
      <c r="J87" s="809"/>
      <c r="K87" s="824"/>
      <c r="L87" s="824"/>
      <c r="M87" s="113" t="s">
        <v>100</v>
      </c>
      <c r="N87" s="37" t="s">
        <v>101</v>
      </c>
      <c r="O87" s="201"/>
      <c r="P87" s="36"/>
      <c r="Q87" s="36"/>
      <c r="R87" s="36"/>
      <c r="S87" s="36"/>
      <c r="T87" s="36"/>
    </row>
    <row r="88" spans="1:20" s="471" customFormat="1" x14ac:dyDescent="0.25">
      <c r="A88" s="201"/>
      <c r="B88" s="824"/>
      <c r="C88" s="824"/>
      <c r="D88" s="824"/>
      <c r="E88" s="824"/>
      <c r="F88" s="809"/>
      <c r="G88" s="809"/>
      <c r="H88" s="809"/>
      <c r="I88" s="983"/>
      <c r="J88" s="809"/>
      <c r="K88" s="824"/>
      <c r="L88" s="824"/>
      <c r="M88" s="824"/>
      <c r="N88" s="824"/>
      <c r="O88" s="201"/>
      <c r="P88" s="36"/>
      <c r="Q88" s="36"/>
      <c r="R88" s="36"/>
      <c r="S88" s="36"/>
      <c r="T88" s="36"/>
    </row>
    <row r="89" spans="1:20" ht="15.75" x14ac:dyDescent="0.25">
      <c r="A89" s="131"/>
      <c r="B89" s="131"/>
      <c r="C89" s="131"/>
      <c r="D89" s="131"/>
      <c r="E89" s="131"/>
      <c r="F89" s="131"/>
      <c r="G89" s="131"/>
      <c r="H89" s="131"/>
      <c r="I89" s="131"/>
      <c r="J89" s="131"/>
      <c r="K89" s="131"/>
      <c r="L89" s="131"/>
      <c r="M89" s="131"/>
      <c r="N89" s="131"/>
      <c r="O89" s="131"/>
    </row>
    <row r="90" spans="1:20" ht="15.75" x14ac:dyDescent="0.25">
      <c r="A90" s="133"/>
      <c r="B90" s="134" t="s">
        <v>462</v>
      </c>
      <c r="C90" s="364" t="s">
        <v>581</v>
      </c>
      <c r="D90" s="133"/>
      <c r="E90" s="133"/>
      <c r="F90" s="133"/>
      <c r="G90" s="133"/>
      <c r="H90" s="133"/>
      <c r="I90" s="133"/>
      <c r="J90" s="133"/>
      <c r="K90" s="133"/>
      <c r="L90" s="133"/>
      <c r="M90" s="135"/>
      <c r="N90" s="133"/>
      <c r="O90" s="133"/>
    </row>
    <row r="91" spans="1:20" s="188" customFormat="1" x14ac:dyDescent="0.25">
      <c r="A91" s="204"/>
      <c r="B91" s="192"/>
      <c r="C91" s="11"/>
      <c r="D91" s="11"/>
      <c r="E91" s="11"/>
      <c r="F91" s="11"/>
      <c r="G91" s="11"/>
      <c r="H91" s="11"/>
      <c r="I91" s="11"/>
      <c r="J91" s="11"/>
      <c r="K91" s="11"/>
      <c r="L91" s="11"/>
      <c r="M91" s="11"/>
      <c r="N91" s="11"/>
      <c r="O91" s="205"/>
      <c r="P91" s="36"/>
      <c r="Q91" s="36"/>
      <c r="R91" s="36"/>
      <c r="S91" s="36"/>
      <c r="T91" s="36"/>
    </row>
    <row r="92" spans="1:20" s="188" customFormat="1" ht="12.75" customHeight="1" x14ac:dyDescent="0.25">
      <c r="A92" s="204"/>
      <c r="B92" s="97" t="s">
        <v>125</v>
      </c>
      <c r="C92" s="37" t="s">
        <v>881</v>
      </c>
      <c r="D92" s="11"/>
      <c r="E92" s="11"/>
      <c r="F92" s="11"/>
      <c r="G92" s="580" t="s">
        <v>16</v>
      </c>
      <c r="H92" s="580" t="s">
        <v>17</v>
      </c>
      <c r="I92" s="11"/>
      <c r="J92" s="11"/>
      <c r="K92" s="11"/>
      <c r="L92" s="11"/>
      <c r="M92" s="795" t="s">
        <v>393</v>
      </c>
      <c r="N92" s="2586" t="s">
        <v>801</v>
      </c>
      <c r="O92" s="205"/>
      <c r="P92" s="36"/>
      <c r="Q92" s="36"/>
      <c r="R92" s="36"/>
      <c r="S92" s="36"/>
      <c r="T92" s="36"/>
    </row>
    <row r="93" spans="1:20" s="188" customFormat="1" ht="12.75" customHeight="1" x14ac:dyDescent="0.25">
      <c r="A93" s="204"/>
      <c r="B93" s="1088" t="s">
        <v>714</v>
      </c>
      <c r="C93" s="2621" t="s">
        <v>989</v>
      </c>
      <c r="D93" s="11"/>
      <c r="E93" s="11"/>
      <c r="F93" s="488" t="s">
        <v>63</v>
      </c>
      <c r="G93" s="1127">
        <v>114430.9</v>
      </c>
      <c r="H93" s="1128"/>
      <c r="I93" s="11"/>
      <c r="J93" s="11"/>
      <c r="K93" s="11"/>
      <c r="L93" s="11"/>
      <c r="M93" s="236"/>
      <c r="N93" s="2587"/>
      <c r="O93" s="205"/>
      <c r="P93" s="1051">
        <f>IF(AND(ISNUMBER(G93),'Validn data - hide'!C239&gt;0),IF(G93/'Validn data - hide'!C239-1&gt;'Validn data - hide'!$L239,1,IF(G93/'Validn data - hide'!C239-1&lt;-'Validn data - hide'!$L239,-1,0)),0)</f>
        <v>0</v>
      </c>
      <c r="Q93" s="36"/>
      <c r="R93" s="36"/>
      <c r="S93" s="36"/>
      <c r="T93" s="36"/>
    </row>
    <row r="94" spans="1:20" s="188" customFormat="1" x14ac:dyDescent="0.25">
      <c r="A94" s="204"/>
      <c r="B94" s="1092"/>
      <c r="C94" s="2662"/>
      <c r="D94" s="11"/>
      <c r="E94" s="11"/>
      <c r="F94" s="488" t="s">
        <v>67</v>
      </c>
      <c r="G94" s="1129"/>
      <c r="H94" s="1130">
        <v>36283.800000000003</v>
      </c>
      <c r="I94" s="11"/>
      <c r="J94" s="11"/>
      <c r="K94" s="11"/>
      <c r="L94" s="11"/>
      <c r="M94" s="221"/>
      <c r="N94" s="2588"/>
      <c r="O94" s="205"/>
      <c r="P94" s="36"/>
      <c r="Q94" s="1051">
        <f>IF(AND(ISNUMBER(H94),'Validn data - hide'!D240&gt;0),IF(H94/'Validn data - hide'!D240-1&gt;'Validn data - hide'!$L240,1,IF(H94/'Validn data - hide'!D240-1&lt;-'Validn data - hide'!$L240,-1,0)),0)</f>
        <v>0</v>
      </c>
      <c r="R94" s="36"/>
      <c r="S94" s="36"/>
      <c r="T94" s="36"/>
    </row>
    <row r="95" spans="1:20" s="188" customFormat="1" ht="12.75" customHeight="1" x14ac:dyDescent="0.25">
      <c r="A95" s="204"/>
      <c r="B95" s="1593"/>
      <c r="C95" s="1594"/>
      <c r="D95" s="11"/>
      <c r="E95" s="11"/>
      <c r="F95" s="488"/>
      <c r="G95" s="1131"/>
      <c r="H95" s="1132"/>
      <c r="I95" s="11"/>
      <c r="J95" s="690"/>
      <c r="K95" s="11"/>
      <c r="L95" s="11"/>
      <c r="M95" s="113" t="s">
        <v>100</v>
      </c>
      <c r="N95" s="37" t="s">
        <v>102</v>
      </c>
      <c r="O95" s="205"/>
      <c r="P95" s="36"/>
      <c r="Q95" s="36"/>
      <c r="R95" s="36"/>
      <c r="S95" s="36"/>
      <c r="T95" s="36"/>
    </row>
    <row r="96" spans="1:20" s="188" customFormat="1" ht="25.5" x14ac:dyDescent="0.25">
      <c r="A96" s="204"/>
      <c r="B96" s="206"/>
      <c r="C96" s="11"/>
      <c r="D96" s="11"/>
      <c r="E96" s="11"/>
      <c r="F96" s="11"/>
      <c r="G96" s="11"/>
      <c r="H96" s="11"/>
      <c r="I96" s="11"/>
      <c r="J96" s="11"/>
      <c r="K96" s="11"/>
      <c r="L96" s="11"/>
      <c r="M96" s="1568" t="s">
        <v>10</v>
      </c>
      <c r="N96" s="1388" t="s">
        <v>1054</v>
      </c>
      <c r="O96" s="205"/>
      <c r="P96" s="36"/>
      <c r="Q96" s="36"/>
      <c r="R96" s="36"/>
      <c r="S96" s="36"/>
      <c r="T96" s="36"/>
    </row>
    <row r="97" spans="1:20" s="188" customFormat="1" x14ac:dyDescent="0.25">
      <c r="A97" s="204"/>
      <c r="B97" s="206"/>
      <c r="C97" s="11"/>
      <c r="D97" s="11"/>
      <c r="E97" s="11"/>
      <c r="F97" s="11"/>
      <c r="G97" s="11"/>
      <c r="H97" s="11"/>
      <c r="I97" s="11"/>
      <c r="J97" s="11"/>
      <c r="K97" s="11"/>
      <c r="L97" s="11"/>
      <c r="M97" s="113" t="s">
        <v>352</v>
      </c>
      <c r="N97" s="1329" t="s">
        <v>1057</v>
      </c>
      <c r="O97" s="205"/>
      <c r="P97" s="36"/>
      <c r="Q97" s="36"/>
      <c r="R97" s="36"/>
      <c r="S97" s="36"/>
      <c r="T97" s="36"/>
    </row>
    <row r="98" spans="1:20" s="188" customFormat="1" x14ac:dyDescent="0.25">
      <c r="A98" s="204"/>
      <c r="B98" s="206"/>
      <c r="C98" s="11"/>
      <c r="D98" s="11"/>
      <c r="E98" s="11"/>
      <c r="F98" s="11"/>
      <c r="G98" s="11"/>
      <c r="H98" s="11"/>
      <c r="I98" s="11"/>
      <c r="J98" s="11"/>
      <c r="K98" s="11"/>
      <c r="L98" s="11"/>
      <c r="M98" s="113" t="s">
        <v>99</v>
      </c>
      <c r="N98" s="1606">
        <v>42597</v>
      </c>
      <c r="O98" s="205"/>
      <c r="P98" s="36"/>
      <c r="Q98" s="36"/>
      <c r="R98" s="36"/>
      <c r="S98" s="36"/>
      <c r="T98" s="36"/>
    </row>
    <row r="99" spans="1:20" s="188" customFormat="1" x14ac:dyDescent="0.25">
      <c r="A99" s="204"/>
      <c r="B99" s="206"/>
      <c r="C99" s="11"/>
      <c r="D99" s="11"/>
      <c r="E99" s="11"/>
      <c r="F99" s="11"/>
      <c r="G99" s="11"/>
      <c r="H99" s="11"/>
      <c r="I99" s="11"/>
      <c r="J99" s="11"/>
      <c r="K99" s="11"/>
      <c r="L99" s="11"/>
      <c r="M99" s="113" t="s">
        <v>658</v>
      </c>
      <c r="N99" s="1328" t="s">
        <v>1082</v>
      </c>
      <c r="O99" s="205"/>
      <c r="P99" s="1051"/>
      <c r="Q99" s="1051"/>
      <c r="R99" s="1051"/>
      <c r="S99" s="36"/>
      <c r="T99" s="36"/>
    </row>
    <row r="100" spans="1:20" s="188" customFormat="1" x14ac:dyDescent="0.25">
      <c r="A100" s="204"/>
      <c r="B100" s="206"/>
      <c r="C100" s="11"/>
      <c r="D100" s="11"/>
      <c r="E100" s="11"/>
      <c r="F100" s="11"/>
      <c r="G100" s="11"/>
      <c r="H100" s="11"/>
      <c r="I100" s="11"/>
      <c r="J100" s="11"/>
      <c r="K100" s="11"/>
      <c r="L100" s="11"/>
      <c r="M100" s="11"/>
      <c r="N100" s="11"/>
      <c r="O100" s="205"/>
      <c r="P100" s="1051"/>
      <c r="Q100" s="1051"/>
      <c r="R100" s="1051"/>
      <c r="S100" s="36"/>
      <c r="T100" s="36"/>
    </row>
    <row r="101" spans="1:20" s="15" customFormat="1" ht="15.75" x14ac:dyDescent="0.25">
      <c r="A101" s="133"/>
      <c r="B101" s="133"/>
      <c r="C101" s="133"/>
      <c r="D101" s="133"/>
      <c r="E101" s="133"/>
      <c r="F101" s="133"/>
      <c r="G101" s="133"/>
      <c r="H101" s="133"/>
      <c r="I101" s="133"/>
      <c r="J101" s="133"/>
      <c r="K101" s="133"/>
      <c r="L101" s="133"/>
      <c r="M101" s="133"/>
      <c r="N101" s="133"/>
      <c r="O101" s="133"/>
      <c r="P101" s="1051"/>
      <c r="Q101" s="1051"/>
      <c r="R101" s="1051"/>
      <c r="S101" s="36"/>
      <c r="T101" s="36"/>
    </row>
    <row r="102" spans="1:20" ht="15.75" x14ac:dyDescent="0.25">
      <c r="B102" s="143" t="s">
        <v>583</v>
      </c>
      <c r="M102" s="19"/>
      <c r="P102" s="1051"/>
      <c r="Q102" s="1051"/>
      <c r="R102" s="1051"/>
    </row>
    <row r="103" spans="1:20" x14ac:dyDescent="0.25">
      <c r="B103" s="141" t="s">
        <v>361</v>
      </c>
      <c r="E103" s="16"/>
      <c r="F103" s="122"/>
      <c r="G103" s="434" t="s">
        <v>113</v>
      </c>
      <c r="H103" s="435" t="s">
        <v>114</v>
      </c>
      <c r="I103" s="436" t="s">
        <v>38</v>
      </c>
      <c r="J103" s="6" t="s">
        <v>88</v>
      </c>
      <c r="L103" s="6" t="s">
        <v>368</v>
      </c>
      <c r="P103" s="1051"/>
      <c r="Q103" s="1051"/>
      <c r="R103" s="1051"/>
    </row>
    <row r="104" spans="1:20" x14ac:dyDescent="0.2">
      <c r="B104" s="7"/>
      <c r="C104" s="7"/>
      <c r="D104" s="7"/>
      <c r="E104" s="7"/>
      <c r="F104" s="138" t="s">
        <v>143</v>
      </c>
      <c r="G104" s="417">
        <f>$J104*IF(ISNUMBER('Other national data'!I423),'Other national data'!I423,'Other national data'!L423)</f>
        <v>4999.782444084768</v>
      </c>
      <c r="H104" s="418">
        <f>J104-G104</f>
        <v>763.49131977142679</v>
      </c>
      <c r="I104" s="419">
        <f>$J104*'Other national data'!N423</f>
        <v>5.7632737638561948E-11</v>
      </c>
      <c r="J104" s="1495">
        <f>SUMIFS('Basel data'!E:E,'Basel data'!A:A,L104,'Basel data'!G:G,$B$1)+SUMIFS('Basel data'!F:F,'Basel data'!A:A,L104,'Basel data'!G:G,$B$1)+SUMIFS('Basel data'!E:E,'Basel data'!C:C,L104,'Basel data'!G:G,$B$1)+SUMIFS('Basel data'!F:F,'Basel data'!C:C,L104,'Basel data'!G:G,$B$1)</f>
        <v>5763.2737638561948</v>
      </c>
      <c r="L104" s="121" t="s">
        <v>142</v>
      </c>
      <c r="O104" s="36" t="str">
        <f>IF(ROUND(SUM(G104:I104),0)=ROUND(J104,0),"OK","Error")</f>
        <v>OK</v>
      </c>
      <c r="P104" s="1051"/>
      <c r="Q104" s="1051"/>
      <c r="R104" s="1051"/>
    </row>
    <row r="105" spans="1:20" x14ac:dyDescent="0.2">
      <c r="B105" s="7"/>
      <c r="C105" s="7"/>
      <c r="D105" s="7"/>
      <c r="E105" s="7"/>
      <c r="F105" s="138" t="s">
        <v>152</v>
      </c>
      <c r="G105" s="123">
        <f>$J105*IF(ISNUMBER('Other national data'!I424),'Other national data'!I424,'Other national data'!L424)</f>
        <v>3545.7129418790837</v>
      </c>
      <c r="H105" s="420">
        <f t="shared" ref="H105:H120" si="2">J105-G105</f>
        <v>13379.073802548006</v>
      </c>
      <c r="I105" s="421">
        <f>$J105*'Other national data'!N424</f>
        <v>1.6924786744427087E-10</v>
      </c>
      <c r="J105" s="1495">
        <f>SUMIFS('Basel data'!E:E,'Basel data'!A:A,L105,'Basel data'!G:G,$B$1)+SUMIFS('Basel data'!F:F,'Basel data'!A:A,L105,'Basel data'!G:G,$B$1)+SUMIFS('Basel data'!E:E,'Basel data'!C:C,L105,'Basel data'!G:G,$B$1)+SUMIFS('Basel data'!F:F,'Basel data'!C:C,L105,'Basel data'!G:G,$B$1)</f>
        <v>16924.786744427089</v>
      </c>
      <c r="L105" s="121" t="s">
        <v>151</v>
      </c>
      <c r="O105" s="36" t="str">
        <f t="shared" ref="O105:O120" si="3">IF(ROUND(SUM(G105:I105),0)=ROUND(J105,0),"OK","Error")</f>
        <v>OK</v>
      </c>
      <c r="P105" s="1051"/>
      <c r="Q105" s="1051"/>
      <c r="R105" s="1051"/>
    </row>
    <row r="106" spans="1:20" x14ac:dyDescent="0.2">
      <c r="B106" s="7"/>
      <c r="C106" s="7"/>
      <c r="D106" s="7"/>
      <c r="E106" s="7"/>
      <c r="F106" s="138" t="s">
        <v>156</v>
      </c>
      <c r="G106" s="123">
        <f>$J106*IF(ISNUMBER('Other national data'!I425),'Other national data'!I425,'Other national data'!L425)</f>
        <v>36434.838117761152</v>
      </c>
      <c r="H106" s="420">
        <f t="shared" si="2"/>
        <v>113195.2422296424</v>
      </c>
      <c r="I106" s="421">
        <f>$J106*'Other national data'!N425</f>
        <v>1.4963008034740357E-9</v>
      </c>
      <c r="J106" s="1495">
        <f>SUMIFS('Basel data'!E:E,'Basel data'!A:A,L106,'Basel data'!G:G,$B$1)+SUMIFS('Basel data'!F:F,'Basel data'!A:A,L106,'Basel data'!G:G,$B$1)+SUMIFS('Basel data'!E:E,'Basel data'!C:C,L106,'Basel data'!G:G,$B$1)+SUMIFS('Basel data'!F:F,'Basel data'!C:C,L106,'Basel data'!G:G,$B$1)</f>
        <v>149630.08034740356</v>
      </c>
      <c r="L106" s="121" t="s">
        <v>155</v>
      </c>
      <c r="O106" s="36" t="str">
        <f t="shared" si="3"/>
        <v>OK</v>
      </c>
      <c r="P106" s="1051"/>
      <c r="Q106" s="1051"/>
      <c r="R106" s="1051"/>
    </row>
    <row r="107" spans="1:20" x14ac:dyDescent="0.2">
      <c r="B107" s="7"/>
      <c r="C107" s="7"/>
      <c r="D107" s="7"/>
      <c r="E107" s="7"/>
      <c r="F107" s="138" t="s">
        <v>160</v>
      </c>
      <c r="G107" s="123">
        <f>$J107*IF(ISNUMBER('Other national data'!I426),'Other national data'!I426,'Other national data'!L426)</f>
        <v>6966.3190424440663</v>
      </c>
      <c r="H107" s="420">
        <f t="shared" si="2"/>
        <v>34226.124238555247</v>
      </c>
      <c r="I107" s="421">
        <f>$J107*'Other national data'!N426</f>
        <v>4.1192443280999318E-10</v>
      </c>
      <c r="J107" s="1495">
        <f>SUMIFS('Basel data'!E:E,'Basel data'!A:A,L107,'Basel data'!G:G,$B$1)+SUMIFS('Basel data'!F:F,'Basel data'!A:A,L107,'Basel data'!G:G,$B$1)+SUMIFS('Basel data'!E:E,'Basel data'!C:C,L107,'Basel data'!G:G,$B$1)+SUMIFS('Basel data'!F:F,'Basel data'!C:C,L107,'Basel data'!G:G,$B$1)</f>
        <v>41192.443280999316</v>
      </c>
      <c r="L107" s="121" t="s">
        <v>159</v>
      </c>
      <c r="O107" s="36" t="str">
        <f t="shared" si="3"/>
        <v>OK</v>
      </c>
      <c r="P107" s="1051"/>
      <c r="Q107" s="1051"/>
      <c r="R107" s="1051"/>
    </row>
    <row r="108" spans="1:20" x14ac:dyDescent="0.2">
      <c r="B108" s="7"/>
      <c r="C108" s="7"/>
      <c r="D108" s="7"/>
      <c r="E108" s="7"/>
      <c r="F108" s="138" t="s">
        <v>210</v>
      </c>
      <c r="G108" s="123">
        <f>$J108*IF(ISNUMBER('Other national data'!I427),'Other national data'!I427,'Other national data'!L427)</f>
        <v>19.390498860025414</v>
      </c>
      <c r="H108" s="420">
        <f t="shared" si="2"/>
        <v>179.23316286183092</v>
      </c>
      <c r="I108" s="421">
        <f>$J108*'Other national data'!N427</f>
        <v>1.9862366172185632E-12</v>
      </c>
      <c r="J108" s="1495">
        <f>SUMIFS('Basel data'!E:E,'Basel data'!A:A,L108,'Basel data'!G:G,$B$1)+SUMIFS('Basel data'!F:F,'Basel data'!A:A,L108,'Basel data'!G:G,$B$1)+SUMIFS('Basel data'!E:E,'Basel data'!C:C,L108,'Basel data'!G:G,$B$1)+SUMIFS('Basel data'!F:F,'Basel data'!C:C,L108,'Basel data'!G:G,$B$1)</f>
        <v>198.62366172185634</v>
      </c>
      <c r="L108" s="121" t="s">
        <v>209</v>
      </c>
      <c r="O108" s="36" t="str">
        <f t="shared" si="3"/>
        <v>OK</v>
      </c>
      <c r="P108" s="1051"/>
      <c r="Q108" s="1051"/>
      <c r="R108" s="1051"/>
    </row>
    <row r="109" spans="1:20" x14ac:dyDescent="0.2">
      <c r="B109" s="7"/>
      <c r="C109" s="7"/>
      <c r="D109" s="7"/>
      <c r="E109" s="7"/>
      <c r="F109" s="138" t="s">
        <v>214</v>
      </c>
      <c r="G109" s="123">
        <f>$J109*IF(ISNUMBER('Other national data'!I428),'Other national data'!I428,'Other national data'!L428)</f>
        <v>8237.4913712206617</v>
      </c>
      <c r="H109" s="420">
        <f t="shared" si="2"/>
        <v>14889.843956622262</v>
      </c>
      <c r="I109" s="421">
        <f>$J109*'Other national data'!N428</f>
        <v>2.3127335327842924E-10</v>
      </c>
      <c r="J109" s="1495">
        <f>SUMIFS('Basel data'!E:E,'Basel data'!A:A,L109,'Basel data'!G:G,$B$1)+SUMIFS('Basel data'!F:F,'Basel data'!A:A,L109,'Basel data'!G:G,$B$1)+SUMIFS('Basel data'!E:E,'Basel data'!C:C,L109,'Basel data'!G:G,$B$1)+SUMIFS('Basel data'!F:F,'Basel data'!C:C,L109,'Basel data'!G:G,$B$1)</f>
        <v>23127.335327842924</v>
      </c>
      <c r="L109" s="121" t="s">
        <v>213</v>
      </c>
      <c r="O109" s="36" t="str">
        <f t="shared" si="3"/>
        <v>OK</v>
      </c>
      <c r="P109" s="1051"/>
      <c r="Q109" s="1051"/>
      <c r="R109" s="1051"/>
    </row>
    <row r="110" spans="1:20" x14ac:dyDescent="0.2">
      <c r="B110" s="7"/>
      <c r="C110" s="7"/>
      <c r="D110" s="7"/>
      <c r="E110" s="7"/>
      <c r="F110" s="138" t="s">
        <v>220</v>
      </c>
      <c r="G110" s="123">
        <f>$J110*IF(ISNUMBER('Other national data'!I429),'Other national data'!I429,'Other national data'!L429)</f>
        <v>294.04379419184363</v>
      </c>
      <c r="H110" s="420">
        <f t="shared" si="2"/>
        <v>1746.7106725788212</v>
      </c>
      <c r="I110" s="421">
        <f>$J110*'Other national data'!N429</f>
        <v>2.0407544667706651E-11</v>
      </c>
      <c r="J110" s="1495">
        <f>SUMIFS('Basel data'!E:E,'Basel data'!A:A,L110,'Basel data'!G:G,$B$1)+SUMIFS('Basel data'!F:F,'Basel data'!A:A,L110,'Basel data'!G:G,$B$1)+SUMIFS('Basel data'!E:E,'Basel data'!C:C,L110,'Basel data'!G:G,$B$1)+SUMIFS('Basel data'!F:F,'Basel data'!C:C,L110,'Basel data'!G:G,$B$1)</f>
        <v>2040.754466770665</v>
      </c>
      <c r="L110" s="121" t="s">
        <v>219</v>
      </c>
      <c r="O110" s="36" t="str">
        <f t="shared" si="3"/>
        <v>OK</v>
      </c>
      <c r="P110" s="1051"/>
      <c r="Q110" s="1051"/>
      <c r="R110" s="1051"/>
    </row>
    <row r="111" spans="1:20" x14ac:dyDescent="0.2">
      <c r="B111" s="7"/>
      <c r="C111" s="7"/>
      <c r="D111" s="7"/>
      <c r="E111" s="7"/>
      <c r="F111" s="138" t="s">
        <v>230</v>
      </c>
      <c r="G111" s="123">
        <f>$J111*IF(ISNUMBER('Other national data'!I430),'Other national data'!I430,'Other national data'!L430)</f>
        <v>393.89422730089217</v>
      </c>
      <c r="H111" s="420">
        <f t="shared" si="2"/>
        <v>802.46166352798923</v>
      </c>
      <c r="I111" s="421">
        <f>$J111*'Other national data'!N430</f>
        <v>1.1963558908288814E-11</v>
      </c>
      <c r="J111" s="1495">
        <f>SUMIFS('Basel data'!E:E,'Basel data'!A:A,L111,'Basel data'!G:G,$B$1)+SUMIFS('Basel data'!F:F,'Basel data'!A:A,L111,'Basel data'!G:G,$B$1)+SUMIFS('Basel data'!E:E,'Basel data'!C:C,L111,'Basel data'!G:G,$B$1)+SUMIFS('Basel data'!F:F,'Basel data'!C:C,L111,'Basel data'!G:G,$B$1)</f>
        <v>1196.3558908288815</v>
      </c>
      <c r="L111" s="121" t="s">
        <v>229</v>
      </c>
      <c r="O111" s="36" t="str">
        <f t="shared" si="3"/>
        <v>OK</v>
      </c>
      <c r="P111" s="1051"/>
      <c r="Q111" s="1051"/>
      <c r="R111" s="1051"/>
    </row>
    <row r="112" spans="1:20" x14ac:dyDescent="0.2">
      <c r="B112" s="7"/>
      <c r="C112" s="7"/>
      <c r="D112" s="7"/>
      <c r="E112" s="7"/>
      <c r="F112" s="138" t="s">
        <v>238</v>
      </c>
      <c r="G112" s="123">
        <f>$J112*IF(ISNUMBER('Other national data'!I431),'Other national data'!I431,'Other national data'!L431)</f>
        <v>42219.103207737346</v>
      </c>
      <c r="H112" s="420">
        <f t="shared" si="2"/>
        <v>178264.6944701777</v>
      </c>
      <c r="I112" s="421">
        <f>$J112*'Other national data'!N431</f>
        <v>2.2048379767791503E-9</v>
      </c>
      <c r="J112" s="1495">
        <f>SUMIFS('Basel data'!E:E,'Basel data'!A:A,L112,'Basel data'!G:G,$B$1)+SUMIFS('Basel data'!F:F,'Basel data'!A:A,L112,'Basel data'!G:G,$B$1)+SUMIFS('Basel data'!E:E,'Basel data'!C:C,L112,'Basel data'!G:G,$B$1)+SUMIFS('Basel data'!F:F,'Basel data'!C:C,L112,'Basel data'!G:G,$B$1)</f>
        <v>220483.79767791505</v>
      </c>
      <c r="L112" s="121" t="s">
        <v>237</v>
      </c>
      <c r="O112" s="36" t="str">
        <f t="shared" si="3"/>
        <v>OK</v>
      </c>
      <c r="P112" s="1051"/>
      <c r="Q112" s="1051"/>
      <c r="R112" s="1051"/>
    </row>
    <row r="113" spans="2:20" x14ac:dyDescent="0.2">
      <c r="B113" s="7"/>
      <c r="C113" s="7"/>
      <c r="D113" s="7"/>
      <c r="E113" s="7"/>
      <c r="F113" s="138" t="s">
        <v>246</v>
      </c>
      <c r="G113" s="123">
        <f>$J113*IF(ISNUMBER('Other national data'!I432),'Other national data'!I432,'Other national data'!L432)</f>
        <v>17064.376500381797</v>
      </c>
      <c r="H113" s="420">
        <f t="shared" si="2"/>
        <v>265863.45787601155</v>
      </c>
      <c r="I113" s="421">
        <f>$J113*'Other national data'!N432</f>
        <v>2.8292783437639336E-9</v>
      </c>
      <c r="J113" s="1495">
        <f>SUMIFS('Basel data'!E:E,'Basel data'!A:A,L113,'Basel data'!G:G,$B$1)+SUMIFS('Basel data'!F:F,'Basel data'!A:A,L113,'Basel data'!G:G,$B$1)+SUMIFS('Basel data'!E:E,'Basel data'!C:C,L113,'Basel data'!G:G,$B$1)+SUMIFS('Basel data'!F:F,'Basel data'!C:C,L113,'Basel data'!G:G,$B$1)</f>
        <v>282927.83437639335</v>
      </c>
      <c r="L113" s="121" t="s">
        <v>245</v>
      </c>
      <c r="O113" s="36" t="str">
        <f t="shared" si="3"/>
        <v>OK</v>
      </c>
      <c r="P113" s="1051"/>
      <c r="Q113" s="1051"/>
      <c r="R113" s="1051"/>
    </row>
    <row r="114" spans="2:20" x14ac:dyDescent="0.2">
      <c r="B114" s="7"/>
      <c r="C114" s="7"/>
      <c r="D114" s="7"/>
      <c r="E114" s="7"/>
      <c r="F114" s="138" t="s">
        <v>256</v>
      </c>
      <c r="G114" s="123">
        <f>$J114*IF(ISNUMBER('Other national data'!I433),'Other national data'!I433,'Other national data'!L433)</f>
        <v>4043.3438628427934</v>
      </c>
      <c r="H114" s="420">
        <f t="shared" si="2"/>
        <v>3231.9746203070267</v>
      </c>
      <c r="I114" s="421">
        <f>$J114*'Other national data'!N433</f>
        <v>7.2753184831498195E-11</v>
      </c>
      <c r="J114" s="1495">
        <f>SUMIFS('Basel data'!E:E,'Basel data'!A:A,L114,'Basel data'!G:G,$B$1)+SUMIFS('Basel data'!F:F,'Basel data'!A:A,L114,'Basel data'!G:G,$B$1)+SUMIFS('Basel data'!E:E,'Basel data'!C:C,L114,'Basel data'!G:G,$B$1)+SUMIFS('Basel data'!F:F,'Basel data'!C:C,L114,'Basel data'!G:G,$B$1)</f>
        <v>7275.3184831498202</v>
      </c>
      <c r="L114" s="121" t="s">
        <v>255</v>
      </c>
      <c r="O114" s="36" t="str">
        <f t="shared" si="3"/>
        <v>OK</v>
      </c>
      <c r="P114" s="1051"/>
      <c r="Q114" s="1051"/>
      <c r="R114" s="1051"/>
    </row>
    <row r="115" spans="2:20" x14ac:dyDescent="0.2">
      <c r="B115" s="7"/>
      <c r="C115" s="7"/>
      <c r="D115" s="7"/>
      <c r="E115" s="7"/>
      <c r="F115" s="139" t="s">
        <v>343</v>
      </c>
      <c r="G115" s="123">
        <f>$J115*IF(ISNUMBER('Other national data'!I434),'Other national data'!I434,'Other national data'!L434)</f>
        <v>359807.04360167938</v>
      </c>
      <c r="H115" s="420">
        <f t="shared" si="2"/>
        <v>11706.456398320617</v>
      </c>
      <c r="I115" s="421">
        <f>$J115*'Other national data'!N434</f>
        <v>3.7151350000000001E-9</v>
      </c>
      <c r="J115" s="1495">
        <f>SUMIFS('Basel data'!E:E,'Basel data'!A:A,L115,'Basel data'!G:G,$B$1)+SUMIFS('Basel data'!F:F,'Basel data'!A:A,L115,'Basel data'!G:G,$B$1)+SUMIFS('Basel data'!E:E,'Basel data'!C:C,L115,'Basel data'!G:G,$B$1)+SUMIFS('Basel data'!F:F,'Basel data'!C:C,L115,'Basel data'!G:G,$B$1)</f>
        <v>371513.5</v>
      </c>
      <c r="L115" s="121" t="s">
        <v>281</v>
      </c>
      <c r="O115" s="36" t="str">
        <f t="shared" si="3"/>
        <v>OK</v>
      </c>
      <c r="P115" s="1051"/>
      <c r="Q115" s="1051"/>
      <c r="R115" s="1051"/>
    </row>
    <row r="116" spans="2:20" x14ac:dyDescent="0.2">
      <c r="B116" s="7"/>
      <c r="C116" s="7"/>
      <c r="D116" s="7"/>
      <c r="E116" s="7"/>
      <c r="F116" s="139" t="s">
        <v>97</v>
      </c>
      <c r="G116" s="123">
        <f>$J116*IF(ISNUMBER('Other national data'!I435),'Other national data'!I435,'Other national data'!L435)</f>
        <v>227779.47353262166</v>
      </c>
      <c r="H116" s="420">
        <f t="shared" si="2"/>
        <v>102.97760928221396</v>
      </c>
      <c r="I116" s="421">
        <f>$J116*'Other national data'!N435</f>
        <v>2.2788245114190389E-9</v>
      </c>
      <c r="J116" s="1495">
        <f>SUMIFS('Basel data'!E:E,'Basel data'!A:A,L116,'Basel data'!G:G,$B$1)+SUMIFS('Basel data'!F:F,'Basel data'!A:A,L116,'Basel data'!G:G,$B$1)+SUMIFS('Basel data'!E:E,'Basel data'!C:C,L116,'Basel data'!G:G,$B$1)+SUMIFS('Basel data'!F:F,'Basel data'!C:C,L116,'Basel data'!G:G,$B$1)</f>
        <v>227882.45114190388</v>
      </c>
      <c r="L116" s="121" t="s">
        <v>293</v>
      </c>
      <c r="O116" s="36" t="str">
        <f t="shared" si="3"/>
        <v>OK</v>
      </c>
      <c r="P116" s="1051"/>
      <c r="Q116" s="1051"/>
      <c r="R116" s="1051"/>
    </row>
    <row r="117" spans="2:20" x14ac:dyDescent="0.2">
      <c r="B117" s="7"/>
      <c r="C117" s="7"/>
      <c r="D117" s="7"/>
      <c r="E117" s="7"/>
      <c r="F117" s="139" t="s">
        <v>345</v>
      </c>
      <c r="G117" s="2541">
        <f>$J117*'Other national data'!K443</f>
        <v>163044.58811353229</v>
      </c>
      <c r="H117" s="2542">
        <f>J117-G117</f>
        <v>301260.73150975641</v>
      </c>
      <c r="I117" s="421">
        <f>$J117*'Other national data'!N436</f>
        <v>0</v>
      </c>
      <c r="J117" s="1495">
        <f>SUMIFS('Basel data'!E:E,'Basel data'!A:A,L117,'Basel data'!G:G,$B$1)+SUMIFS('Basel data'!F:F,'Basel data'!A:A,L117,'Basel data'!G:G,$B$1)+SUMIFS('Basel data'!E:E,'Basel data'!C:C,L117,'Basel data'!G:G,$B$1)+SUMIFS('Basel data'!F:F,'Basel data'!C:C,L117,'Basel data'!G:G,$B$1)-SUM(J115:J116)</f>
        <v>464305.3196232887</v>
      </c>
      <c r="K117" s="142" t="s">
        <v>27</v>
      </c>
      <c r="L117" s="121" t="s">
        <v>277</v>
      </c>
      <c r="O117" s="36" t="str">
        <f t="shared" si="3"/>
        <v>OK</v>
      </c>
      <c r="P117" s="1051"/>
      <c r="Q117" s="1051"/>
      <c r="R117" s="1051"/>
    </row>
    <row r="118" spans="2:20" x14ac:dyDescent="0.2">
      <c r="B118" s="7"/>
      <c r="C118" s="7"/>
      <c r="D118" s="7"/>
      <c r="E118" s="7"/>
      <c r="F118" s="138" t="s">
        <v>297</v>
      </c>
      <c r="G118" s="123">
        <f>$J118*IF(ISNUMBER('Other national data'!I437),'Other national data'!I437,'Other national data'!L437)</f>
        <v>29366.061497084611</v>
      </c>
      <c r="H118" s="420">
        <f t="shared" si="2"/>
        <v>9432.9804028190665</v>
      </c>
      <c r="I118" s="421">
        <f>$J118*'Other national data'!N437</f>
        <v>3.8799041899903679E-10</v>
      </c>
      <c r="J118" s="1495">
        <f>SUMIFS('Basel data'!E:E,'Basel data'!A:A,L118,'Basel data'!G:G,$B$1)+SUMIFS('Basel data'!F:F,'Basel data'!A:A,L118,'Basel data'!G:G,$B$1)+SUMIFS('Basel data'!E:E,'Basel data'!C:C,L118,'Basel data'!G:G,$B$1)+SUMIFS('Basel data'!F:F,'Basel data'!C:C,L118,'Basel data'!G:G,$B$1)</f>
        <v>38799.041899903677</v>
      </c>
      <c r="L118" s="121" t="s">
        <v>296</v>
      </c>
      <c r="O118" s="36" t="str">
        <f t="shared" si="3"/>
        <v>OK</v>
      </c>
      <c r="P118" s="1051"/>
      <c r="Q118" s="1051"/>
      <c r="R118" s="1051"/>
    </row>
    <row r="119" spans="2:20" x14ac:dyDescent="0.2">
      <c r="B119" s="7"/>
      <c r="C119" s="7"/>
      <c r="D119" s="7"/>
      <c r="E119" s="7"/>
      <c r="F119" s="1283" t="s">
        <v>39</v>
      </c>
      <c r="G119" s="123">
        <f>$J119*IF(ISNUMBER('Other national data'!I438),'Other national data'!I438,'Other national data'!L438)</f>
        <v>33841.508120266357</v>
      </c>
      <c r="H119" s="420">
        <f t="shared" si="2"/>
        <v>57790.618250279789</v>
      </c>
      <c r="I119" s="421">
        <f>$J119*'Other national data'!N438</f>
        <v>9.1632126370546146E-10</v>
      </c>
      <c r="J119" s="1495">
        <f>SUMIFS('Basel data'!E:E,'Basel data'!A:A,L119,'Basel data'!G:G,$B$1)+SUMIFS('Basel data'!F:F,'Basel data'!A:A,L119,'Basel data'!G:G,$B$1)+SUMIFS('Basel data'!E:E,'Basel data'!C:C,L119,'Basel data'!G:G,$B$1)+SUMIFS('Basel data'!F:F,'Basel data'!C:C,L119,'Basel data'!G:G,$B$1)</f>
        <v>91632.126370546146</v>
      </c>
      <c r="L119" s="1275" t="s">
        <v>309</v>
      </c>
      <c r="O119" s="36" t="str">
        <f t="shared" si="3"/>
        <v>OK</v>
      </c>
    </row>
    <row r="120" spans="2:20" x14ac:dyDescent="0.2">
      <c r="C120" s="7"/>
      <c r="D120" s="7"/>
      <c r="E120" s="7"/>
      <c r="F120" s="1283" t="s">
        <v>904</v>
      </c>
      <c r="G120" s="422">
        <f>$J120*IF(ISNUMBER('Other national data'!I439),'Other national data'!I439,'Other national data'!L439)</f>
        <v>296.24625307339585</v>
      </c>
      <c r="H120" s="423">
        <f t="shared" si="2"/>
        <v>1204.2690282063793</v>
      </c>
      <c r="I120" s="424">
        <f>$J120*'Other national data'!N439</f>
        <v>1.5005152812797749E-11</v>
      </c>
      <c r="J120" s="1495">
        <f>SUMIFS('Basel data'!E:E,'Basel data'!A:A,L120,'Basel data'!G:G,$B$1)+SUMIFS('Basel data'!F:F,'Basel data'!A:A,L120,'Basel data'!G:G,$B$1)+SUMIFS('Basel data'!E:E,'Basel data'!C:C,L120,'Basel data'!G:G,$B$1)+SUMIFS('Basel data'!F:F,'Basel data'!C:C,L120,'Basel data'!G:G,$B$1)-J119</f>
        <v>1500.5152812797751</v>
      </c>
      <c r="L120" s="121" t="s">
        <v>303</v>
      </c>
      <c r="O120" s="36" t="str">
        <f t="shared" si="3"/>
        <v>OK</v>
      </c>
    </row>
    <row r="121" spans="2:20" x14ac:dyDescent="0.25">
      <c r="J121" s="1318">
        <f>SUM(J104:J120)</f>
        <v>1946393.5583382309</v>
      </c>
      <c r="M121" s="35" t="str">
        <f>IF(SUM(SUMIF('Basel data'!E:E,B1,'Basel data'!C:C),SUMIF('Basel data'!E:E,B1,'Basel data'!D:D))=H121,"OK","Error")</f>
        <v>OK</v>
      </c>
      <c r="P121" s="1051"/>
      <c r="Q121" s="1051"/>
      <c r="R121" s="1051"/>
    </row>
    <row r="122" spans="2:20" x14ac:dyDescent="0.25">
      <c r="M122" s="19"/>
      <c r="P122" s="1051"/>
      <c r="Q122" s="1051"/>
      <c r="R122" s="1051"/>
      <c r="T122" s="1052"/>
    </row>
    <row r="123" spans="2:20" x14ac:dyDescent="0.25">
      <c r="K123" s="126"/>
      <c r="M123" s="19"/>
      <c r="P123" s="1051"/>
      <c r="Q123" s="1051"/>
      <c r="R123" s="1051"/>
    </row>
    <row r="124" spans="2:20" ht="15.75" x14ac:dyDescent="0.25">
      <c r="B124" s="143" t="s">
        <v>585</v>
      </c>
      <c r="F124" s="143" t="s">
        <v>586</v>
      </c>
      <c r="K124" s="126"/>
      <c r="M124" s="19"/>
      <c r="P124" s="1051"/>
      <c r="Q124" s="1051"/>
      <c r="R124" s="1051"/>
    </row>
    <row r="125" spans="2:20" x14ac:dyDescent="0.25">
      <c r="B125" s="2618" t="s">
        <v>1058</v>
      </c>
      <c r="C125" s="2619"/>
      <c r="D125" s="2620"/>
      <c r="E125" s="473"/>
      <c r="F125" s="2618"/>
      <c r="G125" s="2619"/>
      <c r="H125" s="2619"/>
      <c r="I125" s="2619"/>
      <c r="J125" s="2619"/>
      <c r="K125" s="2619"/>
      <c r="L125" s="2619"/>
      <c r="M125" s="2619"/>
      <c r="N125" s="2620"/>
      <c r="P125" s="1051"/>
      <c r="Q125" s="1051"/>
      <c r="R125" s="1051"/>
    </row>
    <row r="126" spans="2:20" x14ac:dyDescent="0.25">
      <c r="B126" s="2615"/>
      <c r="C126" s="2616"/>
      <c r="D126" s="2617"/>
      <c r="E126" s="473"/>
      <c r="F126" s="2615"/>
      <c r="G126" s="2616"/>
      <c r="H126" s="2616"/>
      <c r="I126" s="2616"/>
      <c r="J126" s="2616"/>
      <c r="K126" s="2616"/>
      <c r="L126" s="2616"/>
      <c r="M126" s="2616"/>
      <c r="N126" s="2617"/>
      <c r="P126" s="1051"/>
      <c r="Q126" s="1051"/>
      <c r="R126" s="1051"/>
      <c r="S126" s="7"/>
      <c r="T126" s="7"/>
    </row>
    <row r="127" spans="2:20" x14ac:dyDescent="0.25">
      <c r="B127" s="2615"/>
      <c r="C127" s="2616"/>
      <c r="D127" s="2617"/>
      <c r="E127" s="473"/>
      <c r="F127" s="2615"/>
      <c r="G127" s="2616"/>
      <c r="H127" s="2616"/>
      <c r="I127" s="2616"/>
      <c r="J127" s="2616"/>
      <c r="K127" s="2616"/>
      <c r="L127" s="2616"/>
      <c r="M127" s="2616"/>
      <c r="N127" s="2617"/>
      <c r="P127" s="1051"/>
      <c r="Q127" s="1051"/>
      <c r="R127" s="1051"/>
      <c r="S127" s="7"/>
      <c r="T127" s="7"/>
    </row>
    <row r="128" spans="2:20" x14ac:dyDescent="0.25">
      <c r="B128" s="2615"/>
      <c r="C128" s="2616"/>
      <c r="D128" s="2617"/>
      <c r="E128" s="473"/>
      <c r="F128" s="2615"/>
      <c r="G128" s="2616"/>
      <c r="H128" s="2616"/>
      <c r="I128" s="2616"/>
      <c r="J128" s="2616"/>
      <c r="K128" s="2616"/>
      <c r="L128" s="2616"/>
      <c r="M128" s="2616"/>
      <c r="N128" s="2617"/>
      <c r="P128" s="1051"/>
      <c r="Q128" s="1051"/>
      <c r="R128" s="1051"/>
      <c r="S128" s="7"/>
      <c r="T128" s="7"/>
    </row>
    <row r="129" spans="2:20" x14ac:dyDescent="0.25">
      <c r="B129" s="2615"/>
      <c r="C129" s="2616"/>
      <c r="D129" s="2617"/>
      <c r="E129" s="473"/>
      <c r="F129" s="2615"/>
      <c r="G129" s="2616"/>
      <c r="H129" s="2616"/>
      <c r="I129" s="2616"/>
      <c r="J129" s="2616"/>
      <c r="K129" s="2616"/>
      <c r="L129" s="2616"/>
      <c r="M129" s="2616"/>
      <c r="N129" s="2617"/>
      <c r="P129" s="1051"/>
      <c r="Q129" s="1051"/>
      <c r="R129" s="1051"/>
      <c r="S129" s="7"/>
      <c r="T129" s="7"/>
    </row>
    <row r="130" spans="2:20" x14ac:dyDescent="0.25">
      <c r="B130" s="2615"/>
      <c r="C130" s="2616"/>
      <c r="D130" s="2617"/>
      <c r="E130" s="473"/>
      <c r="F130" s="2615"/>
      <c r="G130" s="2616"/>
      <c r="H130" s="2616"/>
      <c r="I130" s="2616"/>
      <c r="J130" s="2616"/>
      <c r="K130" s="2616"/>
      <c r="L130" s="2616"/>
      <c r="M130" s="2616"/>
      <c r="N130" s="2617"/>
      <c r="P130" s="1051"/>
      <c r="Q130" s="1051"/>
      <c r="R130" s="1051"/>
      <c r="S130" s="7"/>
      <c r="T130" s="7"/>
    </row>
    <row r="131" spans="2:20" x14ac:dyDescent="0.25">
      <c r="B131" s="2615"/>
      <c r="C131" s="2616"/>
      <c r="D131" s="2617"/>
      <c r="E131" s="473"/>
      <c r="F131" s="2615"/>
      <c r="G131" s="2616"/>
      <c r="H131" s="2616"/>
      <c r="I131" s="2616"/>
      <c r="J131" s="2616"/>
      <c r="K131" s="2616"/>
      <c r="L131" s="2616"/>
      <c r="M131" s="2616"/>
      <c r="N131" s="2617"/>
      <c r="S131" s="7"/>
      <c r="T131" s="7"/>
    </row>
    <row r="132" spans="2:20" x14ac:dyDescent="0.25">
      <c r="B132" s="2615"/>
      <c r="C132" s="2616"/>
      <c r="D132" s="2617"/>
      <c r="E132" s="473"/>
      <c r="F132" s="2615"/>
      <c r="G132" s="2616"/>
      <c r="H132" s="2616"/>
      <c r="I132" s="2616"/>
      <c r="J132" s="2616"/>
      <c r="K132" s="2616"/>
      <c r="L132" s="2616"/>
      <c r="M132" s="2616"/>
      <c r="N132" s="2617"/>
      <c r="S132" s="7"/>
      <c r="T132" s="7"/>
    </row>
    <row r="133" spans="2:20" x14ac:dyDescent="0.25">
      <c r="B133" s="2615"/>
      <c r="C133" s="2616"/>
      <c r="D133" s="2617"/>
      <c r="E133" s="473"/>
      <c r="F133" s="2615"/>
      <c r="G133" s="2616"/>
      <c r="H133" s="2616"/>
      <c r="I133" s="2616"/>
      <c r="J133" s="2616"/>
      <c r="K133" s="2616"/>
      <c r="L133" s="2616"/>
      <c r="M133" s="2616"/>
      <c r="N133" s="2617"/>
      <c r="S133" s="7"/>
      <c r="T133" s="7"/>
    </row>
    <row r="134" spans="2:20" x14ac:dyDescent="0.25">
      <c r="B134" s="2615"/>
      <c r="C134" s="2616"/>
      <c r="D134" s="2617"/>
      <c r="E134" s="473"/>
      <c r="F134" s="2615"/>
      <c r="G134" s="2616"/>
      <c r="H134" s="2616"/>
      <c r="I134" s="2616"/>
      <c r="J134" s="2616"/>
      <c r="K134" s="2616"/>
      <c r="L134" s="2616"/>
      <c r="M134" s="2616"/>
      <c r="N134" s="2617"/>
      <c r="S134" s="7"/>
      <c r="T134" s="7"/>
    </row>
    <row r="135" spans="2:20" x14ac:dyDescent="0.25">
      <c r="B135" s="2615"/>
      <c r="C135" s="2616"/>
      <c r="D135" s="2617"/>
      <c r="E135" s="473"/>
      <c r="F135" s="2615"/>
      <c r="G135" s="2616"/>
      <c r="H135" s="2616"/>
      <c r="I135" s="2616"/>
      <c r="J135" s="2616"/>
      <c r="K135" s="2616"/>
      <c r="L135" s="2616"/>
      <c r="M135" s="2616"/>
      <c r="N135" s="2617"/>
      <c r="S135" s="7"/>
      <c r="T135" s="7"/>
    </row>
    <row r="136" spans="2:20" x14ac:dyDescent="0.25">
      <c r="B136" s="2615"/>
      <c r="C136" s="2616"/>
      <c r="D136" s="2617"/>
      <c r="E136" s="473"/>
      <c r="F136" s="2615"/>
      <c r="G136" s="2616"/>
      <c r="H136" s="2616"/>
      <c r="I136" s="2616"/>
      <c r="J136" s="2616"/>
      <c r="K136" s="2616"/>
      <c r="L136" s="2616"/>
      <c r="M136" s="2616"/>
      <c r="N136" s="2617"/>
      <c r="S136" s="7"/>
      <c r="T136" s="7"/>
    </row>
    <row r="137" spans="2:20" x14ac:dyDescent="0.25">
      <c r="B137" s="2615"/>
      <c r="C137" s="2616"/>
      <c r="D137" s="2617"/>
      <c r="E137" s="473"/>
      <c r="F137" s="2615"/>
      <c r="G137" s="2616"/>
      <c r="H137" s="2616"/>
      <c r="I137" s="2616"/>
      <c r="J137" s="2616"/>
      <c r="K137" s="2616"/>
      <c r="L137" s="2616"/>
      <c r="M137" s="2616"/>
      <c r="N137" s="2617"/>
      <c r="S137" s="7"/>
      <c r="T137" s="7"/>
    </row>
    <row r="138" spans="2:20" x14ac:dyDescent="0.25">
      <c r="B138" s="2615"/>
      <c r="C138" s="2616"/>
      <c r="D138" s="2617"/>
      <c r="E138" s="473"/>
      <c r="F138" s="2615"/>
      <c r="G138" s="2616"/>
      <c r="H138" s="2616"/>
      <c r="I138" s="2616"/>
      <c r="J138" s="2616"/>
      <c r="K138" s="2616"/>
      <c r="L138" s="2616"/>
      <c r="M138" s="2616"/>
      <c r="N138" s="2617"/>
      <c r="S138" s="7"/>
      <c r="T138" s="7"/>
    </row>
    <row r="139" spans="2:20" x14ac:dyDescent="0.25">
      <c r="B139" s="2615"/>
      <c r="C139" s="2616"/>
      <c r="D139" s="2617"/>
      <c r="E139" s="473"/>
      <c r="F139" s="2615"/>
      <c r="G139" s="2616"/>
      <c r="H139" s="2616"/>
      <c r="I139" s="2616"/>
      <c r="J139" s="2616"/>
      <c r="K139" s="2616"/>
      <c r="L139" s="2616"/>
      <c r="M139" s="2616"/>
      <c r="N139" s="2617"/>
      <c r="S139" s="7"/>
      <c r="T139" s="7"/>
    </row>
    <row r="140" spans="2:20" x14ac:dyDescent="0.25">
      <c r="B140" s="2615"/>
      <c r="C140" s="2616"/>
      <c r="D140" s="2617"/>
      <c r="E140" s="473"/>
      <c r="F140" s="2615"/>
      <c r="G140" s="2616"/>
      <c r="H140" s="2616"/>
      <c r="I140" s="2616"/>
      <c r="J140" s="2616"/>
      <c r="K140" s="2616"/>
      <c r="L140" s="2616"/>
      <c r="M140" s="2616"/>
      <c r="N140" s="2617"/>
      <c r="S140" s="7"/>
      <c r="T140" s="7"/>
    </row>
    <row r="141" spans="2:20" x14ac:dyDescent="0.25">
      <c r="B141" s="2615"/>
      <c r="C141" s="2616"/>
      <c r="D141" s="2617"/>
      <c r="E141" s="473"/>
      <c r="F141" s="2615"/>
      <c r="G141" s="2616"/>
      <c r="H141" s="2616"/>
      <c r="I141" s="2616"/>
      <c r="J141" s="2616"/>
      <c r="K141" s="2616"/>
      <c r="L141" s="2616"/>
      <c r="M141" s="2616"/>
      <c r="N141" s="2617"/>
      <c r="S141" s="7"/>
      <c r="T141" s="7"/>
    </row>
    <row r="142" spans="2:20" x14ac:dyDescent="0.25">
      <c r="B142" s="2615"/>
      <c r="C142" s="2616"/>
      <c r="D142" s="2617"/>
      <c r="E142" s="473"/>
      <c r="F142" s="2615"/>
      <c r="G142" s="2616"/>
      <c r="H142" s="2616"/>
      <c r="I142" s="2616"/>
      <c r="J142" s="2616"/>
      <c r="K142" s="2616"/>
      <c r="L142" s="2616"/>
      <c r="M142" s="2616"/>
      <c r="N142" s="2617"/>
      <c r="S142" s="7"/>
      <c r="T142" s="7"/>
    </row>
    <row r="143" spans="2:20" x14ac:dyDescent="0.25">
      <c r="B143" s="2615"/>
      <c r="C143" s="2616"/>
      <c r="D143" s="2617"/>
      <c r="E143" s="473"/>
      <c r="F143" s="2615"/>
      <c r="G143" s="2616"/>
      <c r="H143" s="2616"/>
      <c r="I143" s="2616"/>
      <c r="J143" s="2616"/>
      <c r="K143" s="2616"/>
      <c r="L143" s="2616"/>
      <c r="M143" s="2616"/>
      <c r="N143" s="2617"/>
      <c r="S143" s="7"/>
      <c r="T143" s="7"/>
    </row>
    <row r="144" spans="2:20" x14ac:dyDescent="0.25">
      <c r="B144" s="2615"/>
      <c r="C144" s="2616"/>
      <c r="D144" s="2617"/>
      <c r="E144" s="473"/>
      <c r="F144" s="2615"/>
      <c r="G144" s="2616"/>
      <c r="H144" s="2616"/>
      <c r="I144" s="2616"/>
      <c r="J144" s="2616"/>
      <c r="K144" s="2616"/>
      <c r="L144" s="2616"/>
      <c r="M144" s="2616"/>
      <c r="N144" s="2617"/>
      <c r="S144" s="7"/>
      <c r="T144" s="7"/>
    </row>
    <row r="145" spans="2:20" x14ac:dyDescent="0.25">
      <c r="B145" s="2615"/>
      <c r="C145" s="2616"/>
      <c r="D145" s="2617"/>
      <c r="E145" s="473"/>
      <c r="F145" s="2615"/>
      <c r="G145" s="2616"/>
      <c r="H145" s="2616"/>
      <c r="I145" s="2616"/>
      <c r="J145" s="2616"/>
      <c r="K145" s="2616"/>
      <c r="L145" s="2616"/>
      <c r="M145" s="2616"/>
      <c r="N145" s="2617"/>
      <c r="S145" s="7"/>
      <c r="T145" s="7"/>
    </row>
    <row r="146" spans="2:20" x14ac:dyDescent="0.25">
      <c r="B146" s="2615"/>
      <c r="C146" s="2616"/>
      <c r="D146" s="2617"/>
      <c r="E146" s="473"/>
      <c r="F146" s="2615"/>
      <c r="G146" s="2616"/>
      <c r="H146" s="2616"/>
      <c r="I146" s="2616"/>
      <c r="J146" s="2616"/>
      <c r="K146" s="2616"/>
      <c r="L146" s="2616"/>
      <c r="M146" s="2616"/>
      <c r="N146" s="2617"/>
      <c r="P146" s="1051"/>
      <c r="Q146" s="1051"/>
      <c r="R146" s="1051"/>
      <c r="S146" s="7"/>
      <c r="T146" s="7"/>
    </row>
    <row r="147" spans="2:20" x14ac:dyDescent="0.25">
      <c r="B147" s="2615"/>
      <c r="C147" s="2616"/>
      <c r="D147" s="2617"/>
      <c r="E147" s="473"/>
      <c r="F147" s="2615"/>
      <c r="G147" s="2616"/>
      <c r="H147" s="2616"/>
      <c r="I147" s="2616"/>
      <c r="J147" s="2616"/>
      <c r="K147" s="2616"/>
      <c r="L147" s="2616"/>
      <c r="M147" s="2616"/>
      <c r="N147" s="2617"/>
      <c r="S147" s="7"/>
      <c r="T147" s="7"/>
    </row>
    <row r="148" spans="2:20" x14ac:dyDescent="0.25">
      <c r="B148" s="2634"/>
      <c r="C148" s="2635"/>
      <c r="D148" s="2636"/>
      <c r="E148" s="473"/>
      <c r="F148" s="2634"/>
      <c r="G148" s="2635"/>
      <c r="H148" s="2635"/>
      <c r="I148" s="2635"/>
      <c r="J148" s="2635"/>
      <c r="K148" s="2635"/>
      <c r="L148" s="2635"/>
      <c r="M148" s="2635"/>
      <c r="N148" s="2636"/>
      <c r="S148" s="7"/>
      <c r="T148" s="7"/>
    </row>
    <row r="149" spans="2:20" x14ac:dyDescent="0.25">
      <c r="C149" s="14"/>
      <c r="D149" s="14"/>
      <c r="E149" s="14"/>
      <c r="F149" s="18"/>
      <c r="L149" s="14"/>
      <c r="N149" s="14"/>
      <c r="S149" s="7"/>
      <c r="T149" s="7"/>
    </row>
    <row r="150" spans="2:20" ht="15.75" x14ac:dyDescent="0.25">
      <c r="B150" s="143"/>
      <c r="C150" s="14"/>
      <c r="D150" s="14"/>
      <c r="E150" s="14"/>
      <c r="F150" s="18"/>
      <c r="L150" s="14"/>
      <c r="N150" s="14"/>
      <c r="S150" s="7"/>
      <c r="T150" s="7"/>
    </row>
    <row r="151" spans="2:20" x14ac:dyDescent="0.25">
      <c r="C151" s="14"/>
      <c r="D151" s="14"/>
      <c r="E151" s="14"/>
      <c r="F151" s="18"/>
      <c r="L151" s="14"/>
      <c r="N151" s="14"/>
      <c r="S151" s="7"/>
      <c r="T151" s="7"/>
    </row>
    <row r="152" spans="2:20" x14ac:dyDescent="0.25">
      <c r="C152" s="14"/>
      <c r="D152" s="14"/>
      <c r="E152" s="14"/>
      <c r="F152" s="18"/>
      <c r="L152" s="14"/>
      <c r="N152" s="14"/>
      <c r="S152" s="7"/>
      <c r="T152" s="7"/>
    </row>
    <row r="153" spans="2:20" x14ac:dyDescent="0.25">
      <c r="C153" s="14"/>
      <c r="D153" s="14"/>
      <c r="E153" s="14"/>
      <c r="F153" s="17"/>
      <c r="L153" s="14"/>
      <c r="N153" s="14"/>
      <c r="S153" s="7"/>
      <c r="T153" s="7"/>
    </row>
    <row r="154" spans="2:20" x14ac:dyDescent="0.25">
      <c r="S154" s="7"/>
      <c r="T154" s="7"/>
    </row>
    <row r="155" spans="2:20" x14ac:dyDescent="0.25">
      <c r="B155" s="7"/>
      <c r="S155" s="7"/>
      <c r="T155" s="7"/>
    </row>
    <row r="156" spans="2:20" x14ac:dyDescent="0.25">
      <c r="B156" s="7"/>
      <c r="S156" s="7"/>
      <c r="T156" s="7"/>
    </row>
    <row r="157" spans="2:20" x14ac:dyDescent="0.25">
      <c r="B157" s="7"/>
      <c r="S157" s="7"/>
      <c r="T157" s="7"/>
    </row>
    <row r="158" spans="2:20" x14ac:dyDescent="0.25">
      <c r="B158" s="7"/>
      <c r="P158" s="7"/>
      <c r="Q158" s="7"/>
      <c r="R158" s="7"/>
      <c r="S158" s="7"/>
      <c r="T158" s="7"/>
    </row>
    <row r="159" spans="2:20" x14ac:dyDescent="0.25">
      <c r="B159" s="7"/>
      <c r="P159" s="7"/>
      <c r="Q159" s="7"/>
      <c r="R159" s="7"/>
      <c r="S159" s="7"/>
      <c r="T159" s="7"/>
    </row>
    <row r="160" spans="2:20" x14ac:dyDescent="0.25">
      <c r="B160" s="7"/>
      <c r="P160" s="7"/>
      <c r="Q160" s="7"/>
      <c r="R160" s="7"/>
      <c r="S160" s="7"/>
      <c r="T160" s="7"/>
    </row>
    <row r="161" spans="2:20" x14ac:dyDescent="0.25">
      <c r="B161" s="7"/>
      <c r="P161" s="7"/>
      <c r="Q161" s="7"/>
      <c r="R161" s="7"/>
      <c r="S161" s="7"/>
      <c r="T161" s="7"/>
    </row>
    <row r="162" spans="2:20" x14ac:dyDescent="0.25">
      <c r="B162" s="7"/>
      <c r="P162" s="7"/>
      <c r="Q162" s="7"/>
      <c r="R162" s="7"/>
      <c r="S162" s="7"/>
      <c r="T162" s="7"/>
    </row>
    <row r="163" spans="2:20" x14ac:dyDescent="0.25">
      <c r="B163" s="7"/>
      <c r="P163" s="7"/>
      <c r="Q163" s="7"/>
      <c r="R163" s="7"/>
      <c r="S163" s="7"/>
      <c r="T163" s="7"/>
    </row>
    <row r="164" spans="2:20" x14ac:dyDescent="0.25">
      <c r="B164" s="7"/>
      <c r="P164" s="7"/>
      <c r="Q164" s="7"/>
      <c r="R164" s="7"/>
      <c r="S164" s="7"/>
      <c r="T164" s="7"/>
    </row>
    <row r="165" spans="2:20" x14ac:dyDescent="0.25">
      <c r="B165" s="7"/>
      <c r="P165" s="7"/>
      <c r="Q165" s="7"/>
      <c r="R165" s="7"/>
      <c r="S165" s="7"/>
      <c r="T165" s="7"/>
    </row>
    <row r="166" spans="2:20" x14ac:dyDescent="0.25">
      <c r="B166" s="7"/>
      <c r="P166" s="7"/>
      <c r="Q166" s="7"/>
      <c r="R166" s="7"/>
      <c r="S166" s="7"/>
      <c r="T166" s="7"/>
    </row>
    <row r="167" spans="2:20" x14ac:dyDescent="0.25">
      <c r="B167" s="7"/>
      <c r="P167" s="7"/>
      <c r="Q167" s="7"/>
      <c r="R167" s="7"/>
      <c r="S167" s="7"/>
      <c r="T167" s="7"/>
    </row>
    <row r="168" spans="2:20" x14ac:dyDescent="0.25">
      <c r="B168" s="7"/>
      <c r="C168" s="7"/>
      <c r="D168" s="7"/>
      <c r="E168" s="7"/>
      <c r="L168" s="7"/>
      <c r="M168" s="7"/>
      <c r="N168" s="7"/>
      <c r="P168" s="7"/>
      <c r="Q168" s="7"/>
      <c r="R168" s="7"/>
      <c r="S168" s="7"/>
      <c r="T168" s="7"/>
    </row>
    <row r="169" spans="2:20" x14ac:dyDescent="0.25">
      <c r="B169" s="7"/>
      <c r="C169" s="7"/>
      <c r="D169" s="7"/>
      <c r="E169" s="7"/>
      <c r="L169" s="7"/>
      <c r="M169" s="7"/>
      <c r="N169" s="7"/>
      <c r="P169" s="7"/>
      <c r="Q169" s="7"/>
      <c r="R169" s="7"/>
      <c r="S169" s="7"/>
      <c r="T169" s="7"/>
    </row>
    <row r="170" spans="2:20" x14ac:dyDescent="0.25">
      <c r="B170" s="7"/>
      <c r="C170" s="7"/>
      <c r="D170" s="7"/>
      <c r="E170" s="7"/>
      <c r="L170" s="7"/>
      <c r="M170" s="7"/>
      <c r="N170" s="7"/>
      <c r="P170" s="7"/>
      <c r="Q170" s="7"/>
      <c r="R170" s="7"/>
      <c r="S170" s="7"/>
      <c r="T170" s="7"/>
    </row>
    <row r="171" spans="2:20" x14ac:dyDescent="0.25">
      <c r="B171" s="7"/>
      <c r="C171" s="7"/>
      <c r="D171" s="7"/>
      <c r="E171" s="7"/>
      <c r="L171" s="7"/>
      <c r="M171" s="7"/>
      <c r="N171" s="7"/>
      <c r="P171" s="7"/>
      <c r="Q171" s="7"/>
      <c r="R171" s="7"/>
      <c r="S171" s="7"/>
      <c r="T171" s="7"/>
    </row>
    <row r="172" spans="2:20" x14ac:dyDescent="0.25">
      <c r="B172" s="7"/>
      <c r="C172" s="7"/>
      <c r="D172" s="7"/>
      <c r="E172" s="7"/>
      <c r="L172" s="7"/>
      <c r="M172" s="7"/>
      <c r="N172" s="7"/>
      <c r="P172" s="7"/>
      <c r="Q172" s="7"/>
      <c r="R172" s="7"/>
      <c r="S172" s="7"/>
      <c r="T172" s="7"/>
    </row>
    <row r="173" spans="2:20" x14ac:dyDescent="0.25">
      <c r="B173" s="7"/>
      <c r="C173" s="7"/>
      <c r="D173" s="7"/>
      <c r="E173" s="7"/>
      <c r="L173" s="7"/>
      <c r="M173" s="7"/>
      <c r="N173" s="7"/>
      <c r="P173" s="7"/>
      <c r="Q173" s="7"/>
      <c r="R173" s="7"/>
      <c r="S173" s="7"/>
      <c r="T173" s="7"/>
    </row>
    <row r="174" spans="2:20" x14ac:dyDescent="0.25">
      <c r="B174" s="7"/>
      <c r="C174" s="7"/>
      <c r="D174" s="7"/>
      <c r="E174" s="7"/>
      <c r="L174" s="7"/>
      <c r="M174" s="7"/>
      <c r="N174" s="7"/>
    </row>
    <row r="175" spans="2:20" x14ac:dyDescent="0.25">
      <c r="B175" s="7"/>
      <c r="C175" s="7"/>
      <c r="D175" s="7"/>
      <c r="E175" s="7"/>
      <c r="L175" s="7"/>
      <c r="M175" s="7"/>
      <c r="N175" s="7"/>
    </row>
    <row r="176" spans="2:20" x14ac:dyDescent="0.25">
      <c r="B176" s="7"/>
      <c r="C176" s="7"/>
      <c r="D176" s="7"/>
      <c r="E176" s="7"/>
      <c r="L176" s="7"/>
      <c r="M176" s="7"/>
      <c r="N176" s="7"/>
    </row>
    <row r="177" spans="2:20" x14ac:dyDescent="0.25">
      <c r="B177" s="7"/>
      <c r="C177" s="7"/>
      <c r="D177" s="7"/>
      <c r="E177" s="7"/>
      <c r="L177" s="7"/>
      <c r="M177" s="7"/>
      <c r="N177" s="7"/>
      <c r="P177" s="1051"/>
      <c r="Q177" s="1051"/>
      <c r="R177" s="1051"/>
    </row>
    <row r="178" spans="2:20" x14ac:dyDescent="0.25">
      <c r="B178" s="7"/>
      <c r="C178" s="7"/>
      <c r="D178" s="7"/>
      <c r="E178" s="7"/>
      <c r="L178" s="7"/>
      <c r="M178" s="7"/>
      <c r="N178" s="7"/>
    </row>
    <row r="179" spans="2:20" x14ac:dyDescent="0.25">
      <c r="B179" s="7"/>
      <c r="C179" s="7"/>
      <c r="D179" s="7"/>
      <c r="E179" s="7"/>
      <c r="L179" s="7"/>
      <c r="M179" s="7"/>
      <c r="N179" s="7"/>
    </row>
    <row r="180" spans="2:20" x14ac:dyDescent="0.25">
      <c r="B180" s="7"/>
      <c r="C180" s="7"/>
      <c r="D180" s="7"/>
      <c r="E180" s="7"/>
      <c r="L180" s="7"/>
      <c r="M180" s="7"/>
      <c r="N180" s="7"/>
    </row>
    <row r="181" spans="2:20" x14ac:dyDescent="0.25">
      <c r="B181" s="7"/>
      <c r="C181" s="7"/>
      <c r="D181" s="7"/>
      <c r="E181" s="7"/>
      <c r="L181" s="7"/>
      <c r="M181" s="7"/>
      <c r="N181" s="7"/>
    </row>
    <row r="182" spans="2:20" x14ac:dyDescent="0.25">
      <c r="B182" s="7"/>
      <c r="C182" s="7"/>
      <c r="D182" s="7"/>
      <c r="E182" s="7"/>
      <c r="L182" s="7"/>
      <c r="M182" s="7"/>
      <c r="N182" s="7"/>
    </row>
    <row r="183" spans="2:20" x14ac:dyDescent="0.25">
      <c r="B183" s="7"/>
      <c r="C183" s="7"/>
      <c r="D183" s="7"/>
      <c r="E183" s="7"/>
      <c r="L183" s="7"/>
      <c r="M183" s="7"/>
      <c r="N183" s="7"/>
      <c r="P183" s="302"/>
      <c r="Q183" s="302"/>
      <c r="R183" s="302"/>
      <c r="S183" s="302"/>
      <c r="T183" s="302"/>
    </row>
    <row r="184" spans="2:20" x14ac:dyDescent="0.25">
      <c r="B184" s="7"/>
      <c r="C184" s="7"/>
      <c r="D184" s="7"/>
      <c r="E184" s="7"/>
      <c r="L184" s="7"/>
      <c r="M184" s="7"/>
      <c r="N184" s="7"/>
    </row>
    <row r="185" spans="2:20" x14ac:dyDescent="0.25">
      <c r="B185" s="7"/>
      <c r="C185" s="7"/>
      <c r="D185" s="7"/>
      <c r="E185" s="7"/>
      <c r="L185" s="7"/>
      <c r="M185" s="7"/>
      <c r="N185" s="7"/>
    </row>
    <row r="186" spans="2:20" x14ac:dyDescent="0.25">
      <c r="B186" s="7"/>
      <c r="C186" s="7"/>
      <c r="D186" s="7"/>
      <c r="E186" s="7"/>
      <c r="L186" s="7"/>
      <c r="M186" s="7"/>
      <c r="N186" s="7"/>
    </row>
    <row r="187" spans="2:20" x14ac:dyDescent="0.25">
      <c r="B187" s="7"/>
      <c r="C187" s="7"/>
      <c r="D187" s="7"/>
      <c r="E187" s="7"/>
      <c r="L187" s="7"/>
      <c r="M187" s="7"/>
      <c r="N187" s="7"/>
    </row>
    <row r="188" spans="2:20" x14ac:dyDescent="0.25">
      <c r="B188" s="7"/>
      <c r="C188" s="7"/>
      <c r="D188" s="7"/>
      <c r="E188" s="7"/>
      <c r="L188" s="7"/>
      <c r="M188" s="7"/>
      <c r="N188" s="7"/>
    </row>
    <row r="189" spans="2:20" x14ac:dyDescent="0.25">
      <c r="B189" s="7"/>
      <c r="C189" s="7"/>
      <c r="D189" s="7"/>
      <c r="E189" s="7"/>
      <c r="L189" s="7"/>
      <c r="M189" s="7"/>
      <c r="N189" s="7"/>
    </row>
    <row r="190" spans="2:20" x14ac:dyDescent="0.25">
      <c r="B190" s="7"/>
      <c r="C190" s="7"/>
      <c r="D190" s="7"/>
      <c r="E190" s="7"/>
      <c r="L190" s="7"/>
      <c r="M190" s="7"/>
      <c r="N190" s="7"/>
      <c r="P190" s="7"/>
      <c r="Q190" s="7"/>
      <c r="R190" s="7"/>
      <c r="S190" s="7"/>
      <c r="T190" s="7"/>
    </row>
    <row r="191" spans="2:20" x14ac:dyDescent="0.25">
      <c r="B191" s="7"/>
      <c r="C191" s="7"/>
      <c r="D191" s="7"/>
      <c r="E191" s="7"/>
      <c r="L191" s="7"/>
      <c r="M191" s="7"/>
      <c r="N191" s="7"/>
      <c r="P191" s="7"/>
      <c r="Q191" s="7"/>
      <c r="R191" s="7"/>
      <c r="S191" s="7"/>
      <c r="T191" s="7"/>
    </row>
    <row r="192" spans="2:20" x14ac:dyDescent="0.25">
      <c r="B192" s="7"/>
      <c r="C192" s="7"/>
      <c r="D192" s="7"/>
      <c r="E192" s="7"/>
      <c r="L192" s="7"/>
      <c r="M192" s="7"/>
      <c r="N192" s="7"/>
      <c r="P192" s="7"/>
      <c r="Q192" s="7"/>
      <c r="R192" s="7"/>
      <c r="S192" s="7"/>
      <c r="T192" s="7"/>
    </row>
    <row r="193" spans="2:20" x14ac:dyDescent="0.25">
      <c r="B193" s="7"/>
      <c r="C193" s="7"/>
      <c r="D193" s="7"/>
      <c r="E193" s="7"/>
      <c r="L193" s="7"/>
      <c r="M193" s="7"/>
      <c r="N193" s="7"/>
      <c r="P193" s="7"/>
      <c r="Q193" s="7"/>
      <c r="R193" s="7"/>
      <c r="S193" s="7"/>
      <c r="T193" s="7"/>
    </row>
    <row r="194" spans="2:20" x14ac:dyDescent="0.25">
      <c r="B194" s="7"/>
      <c r="C194" s="7"/>
      <c r="D194" s="7"/>
      <c r="E194" s="7"/>
      <c r="L194" s="7"/>
      <c r="M194" s="7"/>
      <c r="N194" s="7"/>
      <c r="P194" s="7"/>
      <c r="Q194" s="7"/>
      <c r="R194" s="7"/>
      <c r="S194" s="7"/>
      <c r="T194" s="7"/>
    </row>
    <row r="195" spans="2:20" x14ac:dyDescent="0.25">
      <c r="B195" s="7"/>
      <c r="C195" s="7"/>
      <c r="D195" s="7"/>
      <c r="E195" s="7"/>
      <c r="L195" s="7"/>
      <c r="M195" s="7"/>
      <c r="N195" s="7"/>
      <c r="P195" s="7"/>
      <c r="Q195" s="7"/>
      <c r="R195" s="7"/>
      <c r="S195" s="7"/>
      <c r="T195" s="7"/>
    </row>
    <row r="196" spans="2:20" x14ac:dyDescent="0.25">
      <c r="B196" s="7"/>
      <c r="C196" s="7"/>
      <c r="D196" s="7"/>
      <c r="E196" s="7"/>
      <c r="L196" s="7"/>
      <c r="M196" s="7"/>
      <c r="N196" s="7"/>
      <c r="P196" s="7"/>
      <c r="Q196" s="7"/>
      <c r="R196" s="7"/>
      <c r="S196" s="7"/>
      <c r="T196" s="7"/>
    </row>
    <row r="197" spans="2:20" x14ac:dyDescent="0.25">
      <c r="B197" s="7"/>
      <c r="C197" s="7"/>
      <c r="D197" s="7"/>
      <c r="E197" s="7"/>
      <c r="L197" s="7"/>
      <c r="M197" s="7"/>
      <c r="N197" s="7"/>
      <c r="P197" s="7"/>
      <c r="Q197" s="7"/>
      <c r="R197" s="7"/>
      <c r="S197" s="7"/>
      <c r="T197" s="7"/>
    </row>
    <row r="198" spans="2:20" x14ac:dyDescent="0.25">
      <c r="B198" s="7"/>
      <c r="C198" s="7"/>
      <c r="D198" s="7"/>
      <c r="E198" s="7"/>
      <c r="L198" s="7"/>
      <c r="M198" s="7"/>
      <c r="N198" s="7"/>
      <c r="P198" s="7"/>
      <c r="Q198" s="7"/>
      <c r="R198" s="7"/>
      <c r="S198" s="7"/>
      <c r="T198" s="7"/>
    </row>
    <row r="199" spans="2:20" x14ac:dyDescent="0.25">
      <c r="B199" s="7"/>
      <c r="C199" s="7"/>
      <c r="D199" s="7"/>
      <c r="E199" s="7"/>
      <c r="L199" s="7"/>
      <c r="M199" s="7"/>
      <c r="N199" s="7"/>
      <c r="P199" s="7"/>
      <c r="Q199" s="7"/>
      <c r="R199" s="7"/>
      <c r="S199" s="7"/>
      <c r="T199" s="7"/>
    </row>
    <row r="200" spans="2:20" x14ac:dyDescent="0.25">
      <c r="B200" s="7"/>
      <c r="C200" s="7"/>
      <c r="D200" s="7"/>
      <c r="E200" s="7"/>
      <c r="L200" s="7"/>
      <c r="M200" s="7"/>
      <c r="N200" s="7"/>
      <c r="P200" s="7"/>
      <c r="Q200" s="7"/>
      <c r="R200" s="7"/>
      <c r="S200" s="7"/>
      <c r="T200" s="7"/>
    </row>
    <row r="201" spans="2:20" x14ac:dyDescent="0.25">
      <c r="B201" s="7"/>
      <c r="C201" s="7"/>
      <c r="D201" s="7"/>
      <c r="E201" s="7"/>
      <c r="L201" s="7"/>
      <c r="M201" s="7"/>
      <c r="N201" s="7"/>
      <c r="P201" s="7"/>
      <c r="Q201" s="7"/>
      <c r="R201" s="7"/>
      <c r="S201" s="7"/>
      <c r="T201" s="7"/>
    </row>
    <row r="202" spans="2:20" x14ac:dyDescent="0.25">
      <c r="B202" s="7"/>
      <c r="C202" s="7"/>
      <c r="D202" s="7"/>
      <c r="E202" s="7"/>
      <c r="L202" s="7"/>
      <c r="M202" s="7"/>
      <c r="N202" s="7"/>
      <c r="P202" s="7"/>
      <c r="Q202" s="7"/>
      <c r="R202" s="7"/>
      <c r="S202" s="7"/>
      <c r="T202" s="7"/>
    </row>
    <row r="203" spans="2:20" x14ac:dyDescent="0.25">
      <c r="B203" s="7"/>
      <c r="C203" s="7"/>
      <c r="D203" s="7"/>
      <c r="E203" s="7"/>
      <c r="L203" s="7"/>
      <c r="M203" s="7"/>
      <c r="N203" s="7"/>
      <c r="P203" s="7"/>
      <c r="Q203" s="7"/>
      <c r="R203" s="7"/>
      <c r="S203" s="7"/>
      <c r="T203" s="7"/>
    </row>
    <row r="204" spans="2:20" x14ac:dyDescent="0.25">
      <c r="B204" s="7"/>
      <c r="C204" s="7"/>
      <c r="D204" s="7"/>
      <c r="E204" s="7"/>
      <c r="L204" s="7"/>
      <c r="M204" s="7"/>
      <c r="N204" s="7"/>
      <c r="P204" s="7"/>
      <c r="Q204" s="7"/>
      <c r="R204" s="7"/>
      <c r="S204" s="7"/>
      <c r="T204" s="7"/>
    </row>
    <row r="205" spans="2:20" x14ac:dyDescent="0.25">
      <c r="B205" s="7"/>
      <c r="C205" s="7"/>
      <c r="D205" s="7"/>
      <c r="E205" s="7"/>
      <c r="L205" s="7"/>
      <c r="M205" s="7"/>
      <c r="N205" s="7"/>
      <c r="P205" s="7"/>
      <c r="Q205" s="7"/>
      <c r="R205" s="7"/>
      <c r="S205" s="7"/>
      <c r="T205" s="7"/>
    </row>
    <row r="206" spans="2:20" x14ac:dyDescent="0.25">
      <c r="B206" s="7"/>
      <c r="C206" s="7"/>
      <c r="D206" s="7"/>
      <c r="E206" s="7"/>
      <c r="L206" s="7"/>
      <c r="M206" s="7"/>
      <c r="N206" s="7"/>
      <c r="P206" s="7"/>
      <c r="Q206" s="7"/>
      <c r="R206" s="7"/>
      <c r="S206" s="7"/>
      <c r="T206" s="7"/>
    </row>
    <row r="207" spans="2:20" x14ac:dyDescent="0.25">
      <c r="B207" s="7"/>
      <c r="C207" s="7"/>
      <c r="D207" s="7"/>
      <c r="E207" s="7"/>
      <c r="L207" s="7"/>
      <c r="M207" s="7"/>
      <c r="N207" s="7"/>
      <c r="P207" s="7"/>
      <c r="Q207" s="7"/>
      <c r="R207" s="7"/>
      <c r="S207" s="7"/>
      <c r="T207" s="7"/>
    </row>
    <row r="208" spans="2:20" x14ac:dyDescent="0.25">
      <c r="B208" s="7"/>
      <c r="C208" s="7"/>
      <c r="D208" s="7"/>
      <c r="E208" s="7"/>
      <c r="L208" s="7"/>
      <c r="M208" s="7"/>
      <c r="N208" s="7"/>
      <c r="P208" s="7"/>
      <c r="Q208" s="7"/>
      <c r="R208" s="7"/>
      <c r="S208" s="7"/>
      <c r="T208" s="7"/>
    </row>
    <row r="209" spans="2:20" x14ac:dyDescent="0.25">
      <c r="B209" s="7"/>
      <c r="C209" s="7"/>
      <c r="D209" s="7"/>
      <c r="E209" s="7"/>
      <c r="L209" s="7"/>
      <c r="M209" s="7"/>
      <c r="N209" s="7"/>
      <c r="P209" s="7"/>
      <c r="Q209" s="7"/>
      <c r="R209" s="7"/>
      <c r="S209" s="7"/>
      <c r="T209" s="7"/>
    </row>
    <row r="210" spans="2:20" x14ac:dyDescent="0.25">
      <c r="B210" s="7"/>
      <c r="C210" s="7"/>
      <c r="D210" s="7"/>
      <c r="E210" s="7"/>
      <c r="L210" s="7"/>
      <c r="M210" s="7"/>
      <c r="N210" s="7"/>
      <c r="P210" s="7"/>
      <c r="Q210" s="7"/>
      <c r="R210" s="7"/>
      <c r="S210" s="7"/>
      <c r="T210" s="7"/>
    </row>
    <row r="211" spans="2:20" x14ac:dyDescent="0.25">
      <c r="B211" s="7"/>
      <c r="C211" s="7"/>
      <c r="D211" s="7"/>
      <c r="E211" s="7"/>
      <c r="L211" s="7"/>
      <c r="M211" s="7"/>
      <c r="N211" s="7"/>
      <c r="P211" s="7"/>
      <c r="Q211" s="7"/>
      <c r="R211" s="7"/>
      <c r="S211" s="7"/>
      <c r="T211" s="7"/>
    </row>
    <row r="212" spans="2:20" x14ac:dyDescent="0.25">
      <c r="B212" s="7"/>
      <c r="C212" s="7"/>
      <c r="D212" s="7"/>
      <c r="E212" s="7"/>
      <c r="L212" s="7"/>
      <c r="M212" s="7"/>
      <c r="N212" s="7"/>
      <c r="P212" s="7"/>
      <c r="Q212" s="7"/>
      <c r="R212" s="7"/>
      <c r="S212" s="7"/>
      <c r="T212" s="7"/>
    </row>
    <row r="213" spans="2:20" x14ac:dyDescent="0.25">
      <c r="B213" s="7"/>
      <c r="C213" s="7"/>
      <c r="D213" s="7"/>
      <c r="E213" s="7"/>
      <c r="L213" s="7"/>
      <c r="M213" s="7"/>
      <c r="N213" s="7"/>
      <c r="P213" s="7"/>
      <c r="Q213" s="7"/>
      <c r="R213" s="7"/>
      <c r="S213" s="7"/>
      <c r="T213" s="7"/>
    </row>
    <row r="214" spans="2:20" x14ac:dyDescent="0.25">
      <c r="B214" s="7"/>
      <c r="C214" s="7"/>
      <c r="D214" s="7"/>
      <c r="E214" s="7"/>
      <c r="L214" s="7"/>
      <c r="M214" s="7"/>
      <c r="N214" s="7"/>
      <c r="P214" s="7"/>
      <c r="Q214" s="7"/>
      <c r="R214" s="7"/>
      <c r="S214" s="7"/>
      <c r="T214" s="7"/>
    </row>
    <row r="215" spans="2:20" x14ac:dyDescent="0.25">
      <c r="B215" s="7"/>
      <c r="C215" s="7"/>
      <c r="D215" s="7"/>
      <c r="E215" s="7"/>
      <c r="L215" s="7"/>
      <c r="M215" s="7"/>
      <c r="N215" s="7"/>
      <c r="P215" s="7"/>
      <c r="Q215" s="7"/>
      <c r="R215" s="7"/>
      <c r="S215" s="7"/>
      <c r="T215" s="7"/>
    </row>
    <row r="216" spans="2:20" x14ac:dyDescent="0.25">
      <c r="B216" s="7"/>
      <c r="C216" s="7"/>
      <c r="D216" s="7"/>
      <c r="E216" s="7"/>
      <c r="L216" s="7"/>
      <c r="M216" s="7"/>
      <c r="N216" s="7"/>
      <c r="P216" s="7"/>
      <c r="Q216" s="7"/>
      <c r="R216" s="7"/>
      <c r="S216" s="7"/>
      <c r="T216" s="7"/>
    </row>
    <row r="217" spans="2:20" x14ac:dyDescent="0.25">
      <c r="B217" s="7"/>
      <c r="C217" s="7"/>
      <c r="D217" s="7"/>
      <c r="E217" s="7"/>
      <c r="L217" s="7"/>
      <c r="M217" s="7"/>
      <c r="N217" s="7"/>
      <c r="P217" s="7"/>
      <c r="Q217" s="7"/>
      <c r="R217" s="7"/>
      <c r="S217" s="7"/>
      <c r="T217" s="7"/>
    </row>
    <row r="218" spans="2:20" x14ac:dyDescent="0.25">
      <c r="B218" s="7"/>
      <c r="C218" s="7"/>
      <c r="D218" s="7"/>
      <c r="E218" s="7"/>
      <c r="L218" s="7"/>
      <c r="M218" s="7"/>
      <c r="N218" s="7"/>
      <c r="P218" s="7"/>
      <c r="Q218" s="7"/>
      <c r="R218" s="7"/>
      <c r="S218" s="7"/>
      <c r="T218" s="7"/>
    </row>
    <row r="219" spans="2:20" x14ac:dyDescent="0.25">
      <c r="B219" s="7"/>
      <c r="C219" s="7"/>
      <c r="D219" s="7"/>
      <c r="E219" s="7"/>
      <c r="L219" s="7"/>
      <c r="M219" s="7"/>
      <c r="N219" s="7"/>
      <c r="P219" s="7"/>
      <c r="Q219" s="7"/>
      <c r="R219" s="7"/>
      <c r="S219" s="7"/>
      <c r="T219" s="7"/>
    </row>
    <row r="220" spans="2:20" x14ac:dyDescent="0.25">
      <c r="B220" s="7"/>
      <c r="C220" s="7"/>
      <c r="D220" s="7"/>
      <c r="E220" s="7"/>
      <c r="L220" s="7"/>
      <c r="M220" s="7"/>
      <c r="N220" s="7"/>
      <c r="P220" s="7"/>
      <c r="Q220" s="7"/>
      <c r="R220" s="7"/>
      <c r="S220" s="7"/>
      <c r="T220" s="7"/>
    </row>
    <row r="221" spans="2:20" x14ac:dyDescent="0.25">
      <c r="B221" s="7"/>
      <c r="C221" s="7"/>
      <c r="D221" s="7"/>
      <c r="E221" s="7"/>
      <c r="L221" s="7"/>
      <c r="M221" s="7"/>
      <c r="N221" s="7"/>
      <c r="P221" s="7"/>
      <c r="Q221" s="7"/>
      <c r="R221" s="7"/>
      <c r="S221" s="7"/>
      <c r="T221" s="7"/>
    </row>
    <row r="222" spans="2:20" x14ac:dyDescent="0.25">
      <c r="B222" s="7"/>
      <c r="C222" s="7"/>
      <c r="D222" s="7"/>
      <c r="E222" s="7"/>
      <c r="L222" s="7"/>
      <c r="M222" s="7"/>
      <c r="N222" s="7"/>
      <c r="P222" s="7"/>
      <c r="Q222" s="7"/>
      <c r="R222" s="7"/>
      <c r="S222" s="7"/>
      <c r="T222" s="7"/>
    </row>
    <row r="223" spans="2:20" x14ac:dyDescent="0.25">
      <c r="B223" s="7"/>
      <c r="C223" s="7"/>
      <c r="D223" s="7"/>
      <c r="E223" s="7"/>
      <c r="L223" s="7"/>
      <c r="M223" s="7"/>
      <c r="N223" s="7"/>
      <c r="P223" s="7"/>
      <c r="Q223" s="7"/>
      <c r="R223" s="7"/>
      <c r="S223" s="7"/>
      <c r="T223" s="7"/>
    </row>
    <row r="224" spans="2:20" x14ac:dyDescent="0.25">
      <c r="B224" s="7"/>
      <c r="C224" s="7"/>
      <c r="D224" s="7"/>
      <c r="E224" s="7"/>
      <c r="L224" s="7"/>
      <c r="M224" s="7"/>
      <c r="N224" s="7"/>
      <c r="P224" s="7"/>
      <c r="Q224" s="7"/>
      <c r="R224" s="7"/>
      <c r="S224" s="7"/>
      <c r="T224" s="7"/>
    </row>
    <row r="225" spans="2:20" x14ac:dyDescent="0.25">
      <c r="B225" s="7"/>
      <c r="C225" s="7"/>
      <c r="D225" s="7"/>
      <c r="E225" s="7"/>
      <c r="L225" s="7"/>
      <c r="M225" s="7"/>
      <c r="N225" s="7"/>
      <c r="P225" s="7"/>
      <c r="Q225" s="7"/>
      <c r="R225" s="7"/>
      <c r="S225" s="7"/>
      <c r="T225" s="7"/>
    </row>
    <row r="226" spans="2:20" x14ac:dyDescent="0.25">
      <c r="B226" s="7"/>
      <c r="C226" s="7"/>
      <c r="D226" s="7"/>
      <c r="E226" s="7"/>
      <c r="L226" s="7"/>
      <c r="M226" s="7"/>
      <c r="N226" s="7"/>
      <c r="P226" s="7"/>
      <c r="Q226" s="7"/>
      <c r="R226" s="7"/>
      <c r="S226" s="7"/>
      <c r="T226" s="7"/>
    </row>
    <row r="227" spans="2:20" x14ac:dyDescent="0.25">
      <c r="B227" s="7"/>
      <c r="C227" s="7"/>
      <c r="D227" s="7"/>
      <c r="E227" s="7"/>
      <c r="L227" s="7"/>
      <c r="M227" s="7"/>
      <c r="N227" s="7"/>
      <c r="P227" s="7"/>
      <c r="Q227" s="7"/>
      <c r="R227" s="7"/>
      <c r="S227" s="7"/>
      <c r="T227" s="7"/>
    </row>
    <row r="228" spans="2:20" x14ac:dyDescent="0.25">
      <c r="B228" s="7"/>
      <c r="C228" s="7"/>
      <c r="D228" s="7"/>
      <c r="E228" s="7"/>
      <c r="L228" s="7"/>
      <c r="M228" s="7"/>
      <c r="N228" s="7"/>
      <c r="P228" s="7"/>
      <c r="Q228" s="7"/>
      <c r="R228" s="7"/>
      <c r="S228" s="7"/>
      <c r="T228" s="7"/>
    </row>
    <row r="229" spans="2:20" x14ac:dyDescent="0.25">
      <c r="B229" s="7"/>
      <c r="C229" s="7"/>
      <c r="D229" s="7"/>
      <c r="E229" s="7"/>
      <c r="L229" s="7"/>
      <c r="M229" s="7"/>
      <c r="N229" s="7"/>
      <c r="P229" s="7"/>
      <c r="Q229" s="7"/>
      <c r="R229" s="7"/>
      <c r="S229" s="7"/>
      <c r="T229" s="7"/>
    </row>
    <row r="230" spans="2:20" x14ac:dyDescent="0.25">
      <c r="B230" s="7"/>
      <c r="C230" s="7"/>
      <c r="D230" s="7"/>
      <c r="E230" s="7"/>
      <c r="L230" s="7"/>
      <c r="M230" s="7"/>
      <c r="N230" s="7"/>
      <c r="P230" s="7"/>
      <c r="Q230" s="7"/>
      <c r="R230" s="7"/>
      <c r="S230" s="7"/>
      <c r="T230" s="7"/>
    </row>
    <row r="231" spans="2:20" x14ac:dyDescent="0.25">
      <c r="B231" s="7"/>
      <c r="C231" s="7"/>
      <c r="D231" s="7"/>
      <c r="E231" s="7"/>
      <c r="L231" s="7"/>
      <c r="M231" s="7"/>
      <c r="N231" s="7"/>
      <c r="P231" s="7"/>
      <c r="Q231" s="7"/>
      <c r="R231" s="7"/>
      <c r="S231" s="7"/>
      <c r="T231" s="7"/>
    </row>
    <row r="232" spans="2:20" x14ac:dyDescent="0.25">
      <c r="B232" s="7"/>
      <c r="C232" s="7"/>
      <c r="D232" s="7"/>
      <c r="E232" s="7"/>
      <c r="L232" s="7"/>
      <c r="M232" s="7"/>
      <c r="N232" s="7"/>
      <c r="P232" s="7"/>
      <c r="Q232" s="7"/>
      <c r="R232" s="7"/>
      <c r="S232" s="7"/>
      <c r="T232" s="7"/>
    </row>
    <row r="233" spans="2:20" x14ac:dyDescent="0.25">
      <c r="B233" s="7"/>
      <c r="C233" s="7"/>
      <c r="D233" s="7"/>
      <c r="E233" s="7"/>
      <c r="L233" s="7"/>
      <c r="M233" s="7"/>
      <c r="N233" s="7"/>
      <c r="P233" s="7"/>
      <c r="Q233" s="7"/>
      <c r="R233" s="7"/>
      <c r="S233" s="7"/>
      <c r="T233" s="7"/>
    </row>
    <row r="234" spans="2:20" x14ac:dyDescent="0.25">
      <c r="B234" s="7"/>
      <c r="C234" s="7"/>
      <c r="D234" s="7"/>
      <c r="E234" s="7"/>
      <c r="L234" s="7"/>
      <c r="M234" s="7"/>
      <c r="N234" s="7"/>
      <c r="P234" s="7"/>
      <c r="Q234" s="7"/>
      <c r="R234" s="7"/>
      <c r="S234" s="7"/>
      <c r="T234" s="7"/>
    </row>
    <row r="235" spans="2:20" x14ac:dyDescent="0.25">
      <c r="B235" s="7"/>
      <c r="C235" s="7"/>
      <c r="D235" s="7"/>
      <c r="E235" s="7"/>
      <c r="L235" s="7"/>
      <c r="M235" s="7"/>
      <c r="N235" s="7"/>
      <c r="P235" s="7"/>
      <c r="Q235" s="7"/>
      <c r="R235" s="7"/>
      <c r="S235" s="7"/>
      <c r="T235" s="7"/>
    </row>
    <row r="236" spans="2:20" x14ac:dyDescent="0.25">
      <c r="B236" s="7"/>
      <c r="C236" s="7"/>
      <c r="D236" s="7"/>
      <c r="E236" s="7"/>
      <c r="L236" s="7"/>
      <c r="M236" s="7"/>
      <c r="N236" s="7"/>
      <c r="P236" s="7"/>
      <c r="Q236" s="7"/>
      <c r="R236" s="7"/>
      <c r="S236" s="7"/>
      <c r="T236" s="7"/>
    </row>
    <row r="237" spans="2:20" x14ac:dyDescent="0.25">
      <c r="B237" s="7"/>
      <c r="C237" s="7"/>
      <c r="D237" s="7"/>
      <c r="E237" s="7"/>
      <c r="L237" s="7"/>
      <c r="M237" s="7"/>
      <c r="N237" s="7"/>
      <c r="P237" s="7"/>
      <c r="Q237" s="7"/>
      <c r="R237" s="7"/>
      <c r="S237" s="7"/>
      <c r="T237" s="7"/>
    </row>
    <row r="238" spans="2:20" x14ac:dyDescent="0.25">
      <c r="B238" s="7"/>
      <c r="C238" s="7"/>
      <c r="D238" s="7"/>
      <c r="E238" s="7"/>
      <c r="L238" s="7"/>
      <c r="M238" s="7"/>
      <c r="N238" s="7"/>
      <c r="P238" s="7"/>
      <c r="Q238" s="7"/>
      <c r="R238" s="7"/>
      <c r="S238" s="7"/>
      <c r="T238" s="7"/>
    </row>
    <row r="239" spans="2:20" x14ac:dyDescent="0.25">
      <c r="B239" s="7"/>
      <c r="C239" s="7"/>
      <c r="D239" s="7"/>
      <c r="E239" s="7"/>
      <c r="L239" s="7"/>
      <c r="M239" s="7"/>
      <c r="N239" s="7"/>
      <c r="P239" s="7"/>
      <c r="Q239" s="7"/>
      <c r="R239" s="7"/>
      <c r="S239" s="7"/>
      <c r="T239" s="7"/>
    </row>
    <row r="240" spans="2:20" x14ac:dyDescent="0.25">
      <c r="B240" s="7"/>
      <c r="C240" s="7"/>
      <c r="D240" s="7"/>
      <c r="E240" s="7"/>
      <c r="L240" s="7"/>
      <c r="M240" s="7"/>
      <c r="N240" s="7"/>
      <c r="P240" s="7"/>
      <c r="Q240" s="7"/>
      <c r="R240" s="7"/>
      <c r="S240" s="7"/>
      <c r="T240" s="7"/>
    </row>
    <row r="241" spans="2:20" x14ac:dyDescent="0.25">
      <c r="B241" s="7"/>
      <c r="C241" s="7"/>
      <c r="D241" s="7"/>
      <c r="E241" s="7"/>
      <c r="L241" s="7"/>
      <c r="M241" s="7"/>
      <c r="N241" s="7"/>
      <c r="P241" s="7"/>
      <c r="Q241" s="7"/>
      <c r="R241" s="7"/>
      <c r="S241" s="7"/>
      <c r="T241" s="7"/>
    </row>
    <row r="242" spans="2:20" x14ac:dyDescent="0.25">
      <c r="B242" s="7"/>
      <c r="C242" s="7"/>
      <c r="D242" s="7"/>
      <c r="E242" s="7"/>
      <c r="L242" s="7"/>
      <c r="M242" s="7"/>
      <c r="N242" s="7"/>
      <c r="P242" s="7"/>
      <c r="Q242" s="7"/>
      <c r="R242" s="7"/>
      <c r="S242" s="7"/>
      <c r="T242" s="7"/>
    </row>
    <row r="243" spans="2:20" x14ac:dyDescent="0.25">
      <c r="B243" s="7"/>
      <c r="C243" s="7"/>
      <c r="D243" s="7"/>
      <c r="E243" s="7"/>
      <c r="L243" s="7"/>
      <c r="M243" s="7"/>
      <c r="N243" s="7"/>
      <c r="P243" s="7"/>
      <c r="Q243" s="7"/>
      <c r="R243" s="7"/>
      <c r="S243" s="7"/>
      <c r="T243" s="7"/>
    </row>
    <row r="244" spans="2:20" x14ac:dyDescent="0.25">
      <c r="B244" s="7"/>
      <c r="C244" s="7"/>
      <c r="D244" s="7"/>
      <c r="E244" s="7"/>
      <c r="L244" s="7"/>
      <c r="M244" s="7"/>
      <c r="N244" s="7"/>
      <c r="P244" s="7"/>
      <c r="Q244" s="7"/>
      <c r="R244" s="7"/>
      <c r="S244" s="7"/>
      <c r="T244" s="7"/>
    </row>
    <row r="245" spans="2:20" x14ac:dyDescent="0.25">
      <c r="B245" s="7"/>
      <c r="C245" s="7"/>
      <c r="D245" s="7"/>
      <c r="E245" s="7"/>
      <c r="L245" s="7"/>
      <c r="M245" s="7"/>
      <c r="N245" s="7"/>
      <c r="P245" s="7"/>
      <c r="Q245" s="7"/>
      <c r="R245" s="7"/>
      <c r="S245" s="7"/>
      <c r="T245" s="7"/>
    </row>
    <row r="246" spans="2:20" x14ac:dyDescent="0.25">
      <c r="B246" s="7"/>
      <c r="C246" s="7"/>
      <c r="D246" s="7"/>
      <c r="E246" s="7"/>
      <c r="L246" s="7"/>
      <c r="M246" s="7"/>
      <c r="N246" s="7"/>
      <c r="P246" s="7"/>
      <c r="Q246" s="7"/>
      <c r="R246" s="7"/>
      <c r="S246" s="7"/>
      <c r="T246" s="7"/>
    </row>
    <row r="247" spans="2:20" x14ac:dyDescent="0.25">
      <c r="B247" s="7"/>
      <c r="C247" s="7"/>
      <c r="D247" s="7"/>
      <c r="E247" s="7"/>
      <c r="L247" s="7"/>
      <c r="M247" s="7"/>
      <c r="N247" s="7"/>
      <c r="P247" s="7"/>
      <c r="Q247" s="7"/>
      <c r="R247" s="7"/>
      <c r="S247" s="7"/>
      <c r="T247" s="7"/>
    </row>
    <row r="248" spans="2:20" x14ac:dyDescent="0.25">
      <c r="B248" s="7"/>
      <c r="C248" s="7"/>
      <c r="D248" s="7"/>
      <c r="E248" s="7"/>
      <c r="L248" s="7"/>
      <c r="M248" s="7"/>
      <c r="N248" s="7"/>
      <c r="P248" s="7"/>
      <c r="Q248" s="7"/>
      <c r="R248" s="7"/>
      <c r="S248" s="7"/>
      <c r="T248" s="7"/>
    </row>
    <row r="249" spans="2:20" x14ac:dyDescent="0.25">
      <c r="B249" s="7"/>
      <c r="C249" s="7"/>
      <c r="D249" s="7"/>
      <c r="E249" s="7"/>
      <c r="L249" s="7"/>
      <c r="M249" s="7"/>
      <c r="N249" s="7"/>
      <c r="P249" s="7"/>
      <c r="Q249" s="7"/>
      <c r="R249" s="7"/>
      <c r="S249" s="7"/>
      <c r="T249" s="7"/>
    </row>
    <row r="250" spans="2:20" x14ac:dyDescent="0.25">
      <c r="B250" s="7"/>
      <c r="C250" s="7"/>
      <c r="D250" s="7"/>
      <c r="E250" s="7"/>
      <c r="L250" s="7"/>
      <c r="M250" s="7"/>
      <c r="N250" s="7"/>
      <c r="P250" s="7"/>
      <c r="Q250" s="7"/>
      <c r="R250" s="7"/>
      <c r="S250" s="7"/>
      <c r="T250" s="7"/>
    </row>
    <row r="251" spans="2:20" x14ac:dyDescent="0.25">
      <c r="B251" s="7"/>
      <c r="C251" s="7"/>
      <c r="D251" s="7"/>
      <c r="E251" s="7"/>
      <c r="L251" s="7"/>
      <c r="M251" s="7"/>
      <c r="N251" s="7"/>
      <c r="P251" s="7"/>
      <c r="Q251" s="7"/>
      <c r="R251" s="7"/>
      <c r="S251" s="7"/>
      <c r="T251" s="7"/>
    </row>
    <row r="252" spans="2:20" x14ac:dyDescent="0.25">
      <c r="B252" s="7"/>
      <c r="C252" s="7"/>
      <c r="D252" s="7"/>
      <c r="E252" s="7"/>
      <c r="L252" s="7"/>
      <c r="M252" s="7"/>
      <c r="N252" s="7"/>
      <c r="P252" s="7"/>
      <c r="Q252" s="7"/>
      <c r="R252" s="7"/>
      <c r="S252" s="7"/>
      <c r="T252" s="7"/>
    </row>
    <row r="253" spans="2:20" x14ac:dyDescent="0.25">
      <c r="B253" s="7"/>
      <c r="C253" s="7"/>
      <c r="D253" s="7"/>
      <c r="E253" s="7"/>
      <c r="L253" s="7"/>
      <c r="M253" s="7"/>
      <c r="N253" s="7"/>
      <c r="P253" s="7"/>
      <c r="Q253" s="7"/>
      <c r="R253" s="7"/>
      <c r="S253" s="7"/>
      <c r="T253" s="7"/>
    </row>
    <row r="254" spans="2:20" x14ac:dyDescent="0.25">
      <c r="B254" s="7"/>
      <c r="C254" s="7"/>
      <c r="D254" s="7"/>
      <c r="E254" s="7"/>
      <c r="L254" s="7"/>
      <c r="M254" s="7"/>
      <c r="N254" s="7"/>
      <c r="P254" s="7"/>
      <c r="Q254" s="7"/>
      <c r="R254" s="7"/>
      <c r="S254" s="7"/>
      <c r="T254" s="7"/>
    </row>
  </sheetData>
  <sheetProtection sheet="1" objects="1" scenarios="1"/>
  <mergeCells count="78">
    <mergeCell ref="B131:D131"/>
    <mergeCell ref="F131:N131"/>
    <mergeCell ref="B132:D132"/>
    <mergeCell ref="F132:N132"/>
    <mergeCell ref="B133:D133"/>
    <mergeCell ref="F133:N133"/>
    <mergeCell ref="B134:D134"/>
    <mergeCell ref="F134:N134"/>
    <mergeCell ref="B135:D135"/>
    <mergeCell ref="F135:N135"/>
    <mergeCell ref="B136:D136"/>
    <mergeCell ref="F136:N136"/>
    <mergeCell ref="B142:D142"/>
    <mergeCell ref="F142:N142"/>
    <mergeCell ref="B137:D137"/>
    <mergeCell ref="F137:N137"/>
    <mergeCell ref="B138:D138"/>
    <mergeCell ref="F138:N138"/>
    <mergeCell ref="B139:D139"/>
    <mergeCell ref="F139:N139"/>
    <mergeCell ref="B141:D141"/>
    <mergeCell ref="F141:N141"/>
    <mergeCell ref="B140:D140"/>
    <mergeCell ref="F140:N140"/>
    <mergeCell ref="B148:D148"/>
    <mergeCell ref="F148:N148"/>
    <mergeCell ref="B143:D143"/>
    <mergeCell ref="F143:N143"/>
    <mergeCell ref="B144:D144"/>
    <mergeCell ref="F144:N144"/>
    <mergeCell ref="B145:D145"/>
    <mergeCell ref="F145:N145"/>
    <mergeCell ref="B146:D146"/>
    <mergeCell ref="F146:N146"/>
    <mergeCell ref="B147:D147"/>
    <mergeCell ref="F147:N147"/>
    <mergeCell ref="F130:N130"/>
    <mergeCell ref="B125:D125"/>
    <mergeCell ref="F125:N125"/>
    <mergeCell ref="B126:D126"/>
    <mergeCell ref="F126:N126"/>
    <mergeCell ref="B127:D127"/>
    <mergeCell ref="F127:N127"/>
    <mergeCell ref="B128:D128"/>
    <mergeCell ref="F128:N128"/>
    <mergeCell ref="B129:D129"/>
    <mergeCell ref="F129:N129"/>
    <mergeCell ref="B130:D130"/>
    <mergeCell ref="N8:N10"/>
    <mergeCell ref="D10:I10"/>
    <mergeCell ref="D11:I11"/>
    <mergeCell ref="J11:M11"/>
    <mergeCell ref="D12:I12"/>
    <mergeCell ref="J12:M12"/>
    <mergeCell ref="N34:N36"/>
    <mergeCell ref="C73:C74"/>
    <mergeCell ref="M47:M49"/>
    <mergeCell ref="N47:N49"/>
    <mergeCell ref="C71:C72"/>
    <mergeCell ref="C66:C67"/>
    <mergeCell ref="C62:C63"/>
    <mergeCell ref="C37:C39"/>
    <mergeCell ref="M34:M36"/>
    <mergeCell ref="N92:N94"/>
    <mergeCell ref="N70:N73"/>
    <mergeCell ref="C64:C65"/>
    <mergeCell ref="M85:M86"/>
    <mergeCell ref="N85:N86"/>
    <mergeCell ref="C75:C76"/>
    <mergeCell ref="C77:C78"/>
    <mergeCell ref="C80:C82"/>
    <mergeCell ref="C93:C94"/>
    <mergeCell ref="C20:C21"/>
    <mergeCell ref="C28:C29"/>
    <mergeCell ref="D4:E4"/>
    <mergeCell ref="J4:K4"/>
    <mergeCell ref="D13:I13"/>
    <mergeCell ref="J13:M13"/>
  </mergeCells>
  <conditionalFormatting sqref="N8:N9">
    <cfRule type="expression" dxfId="233" priority="106">
      <formula>AND(ISNUMBER($D$9),$O$14&gt;0)</formula>
    </cfRule>
  </conditionalFormatting>
  <conditionalFormatting sqref="N11">
    <cfRule type="expression" dxfId="232" priority="105">
      <formula>AND(ISNUMBER($D$9),O11&gt;0)</formula>
    </cfRule>
  </conditionalFormatting>
  <conditionalFormatting sqref="J8:M10">
    <cfRule type="expression" dxfId="231" priority="104">
      <formula>$P$14&lt;0</formula>
    </cfRule>
  </conditionalFormatting>
  <conditionalFormatting sqref="J11:M13">
    <cfRule type="expression" dxfId="230" priority="103">
      <formula>P11&lt;0</formula>
    </cfRule>
  </conditionalFormatting>
  <conditionalFormatting sqref="B10:C10">
    <cfRule type="expression" dxfId="229" priority="102">
      <formula>$D$9&gt;0</formula>
    </cfRule>
  </conditionalFormatting>
  <conditionalFormatting sqref="B12:I13">
    <cfRule type="expression" dxfId="228" priority="101">
      <formula>$D$9=3</formula>
    </cfRule>
  </conditionalFormatting>
  <conditionalFormatting sqref="B12:I12">
    <cfRule type="expression" dxfId="227" priority="100">
      <formula>$D$9=2</formula>
    </cfRule>
  </conditionalFormatting>
  <conditionalFormatting sqref="D12:I12">
    <cfRule type="expression" dxfId="226" priority="96">
      <formula>$D$9&lt;2</formula>
    </cfRule>
  </conditionalFormatting>
  <conditionalFormatting sqref="D13:I13">
    <cfRule type="expression" dxfId="225" priority="95">
      <formula>$D$9&lt;3</formula>
    </cfRule>
  </conditionalFormatting>
  <conditionalFormatting sqref="N12">
    <cfRule type="expression" dxfId="224" priority="94">
      <formula>AND($D$9&gt;1,O12&gt;0)</formula>
    </cfRule>
  </conditionalFormatting>
  <conditionalFormatting sqref="N13">
    <cfRule type="expression" dxfId="223" priority="93">
      <formula>AND($D$9&gt;2,O13&gt;0)</formula>
    </cfRule>
  </conditionalFormatting>
  <conditionalFormatting sqref="G70:I80">
    <cfRule type="expression" dxfId="222" priority="90">
      <formula>AND($P$14=0,$Q$14&gt;0)</formula>
    </cfRule>
  </conditionalFormatting>
  <conditionalFormatting sqref="D10:I10">
    <cfRule type="expression" dxfId="221" priority="80">
      <formula>$D$9&gt;0</formula>
    </cfRule>
  </conditionalFormatting>
  <conditionalFormatting sqref="G28:H28">
    <cfRule type="expression" dxfId="220" priority="67">
      <formula>AND($P$14=0,$Q$14&gt;0)</formula>
    </cfRule>
  </conditionalFormatting>
  <conditionalFormatting sqref="I28">
    <cfRule type="expression" dxfId="219" priority="66">
      <formula>AND($P$14=0,$Q$14&gt;0)</formula>
    </cfRule>
  </conditionalFormatting>
  <conditionalFormatting sqref="D4:E4">
    <cfRule type="expression" dxfId="218" priority="48">
      <formula>COUNTIF(P16:T498,1)&gt;0</formula>
    </cfRule>
  </conditionalFormatting>
  <conditionalFormatting sqref="J4:K4">
    <cfRule type="expression" dxfId="217" priority="47">
      <formula>COUNTIF(P16:T498,-1)&gt;0</formula>
    </cfRule>
  </conditionalFormatting>
  <conditionalFormatting sqref="G28:I28 G77:I80 G70:I75">
    <cfRule type="expression" dxfId="216" priority="49">
      <formula>P28=1</formula>
    </cfRule>
    <cfRule type="expression" dxfId="215" priority="50">
      <formula>P28=-1</formula>
    </cfRule>
  </conditionalFormatting>
  <conditionalFormatting sqref="B11:I11">
    <cfRule type="expression" dxfId="214" priority="36">
      <formula>$D$9=3</formula>
    </cfRule>
  </conditionalFormatting>
  <conditionalFormatting sqref="B11:I11">
    <cfRule type="expression" dxfId="213" priority="35">
      <formula>$D$9=2</formula>
    </cfRule>
  </conditionalFormatting>
  <conditionalFormatting sqref="B11:I11">
    <cfRule type="expression" dxfId="212" priority="34">
      <formula>$D$9=1</formula>
    </cfRule>
  </conditionalFormatting>
  <conditionalFormatting sqref="D11:I11">
    <cfRule type="expression" dxfId="211" priority="33">
      <formula>ISBLANK($D$9)</formula>
    </cfRule>
  </conditionalFormatting>
  <conditionalFormatting sqref="G19:H19 H22">
    <cfRule type="expression" dxfId="210" priority="32">
      <formula>AND($P$14=0,$Q$14&gt;0)</formula>
    </cfRule>
  </conditionalFormatting>
  <conditionalFormatting sqref="I19">
    <cfRule type="expression" dxfId="209" priority="31">
      <formula>AND($P$14=0,$Q$14&gt;0)</formula>
    </cfRule>
  </conditionalFormatting>
  <conditionalFormatting sqref="G19:I19 H22">
    <cfRule type="expression" dxfId="208" priority="30">
      <formula>P19=-1</formula>
    </cfRule>
  </conditionalFormatting>
  <conditionalFormatting sqref="G19:I19 H22">
    <cfRule type="expression" dxfId="207" priority="29">
      <formula>P19=1</formula>
    </cfRule>
  </conditionalFormatting>
  <conditionalFormatting sqref="G27:H27">
    <cfRule type="expression" dxfId="206" priority="28">
      <formula>AND($P$14=0,$Q$14&gt;0)</formula>
    </cfRule>
  </conditionalFormatting>
  <conditionalFormatting sqref="I27">
    <cfRule type="expression" dxfId="205" priority="27">
      <formula>AND($P$14=0,$Q$14&gt;0)</formula>
    </cfRule>
  </conditionalFormatting>
  <conditionalFormatting sqref="G27:I27">
    <cfRule type="expression" dxfId="204" priority="26">
      <formula>P27=-1</formula>
    </cfRule>
  </conditionalFormatting>
  <conditionalFormatting sqref="G27:I27">
    <cfRule type="expression" dxfId="203" priority="25">
      <formula>P27=1</formula>
    </cfRule>
  </conditionalFormatting>
  <conditionalFormatting sqref="N20:N23">
    <cfRule type="expression" dxfId="202" priority="24">
      <formula>$B$14=$R$15</formula>
    </cfRule>
  </conditionalFormatting>
  <conditionalFormatting sqref="N28:N29 N31">
    <cfRule type="expression" dxfId="201" priority="23">
      <formula>$B$14=$R$15</formula>
    </cfRule>
  </conditionalFormatting>
  <conditionalFormatting sqref="N30">
    <cfRule type="expression" dxfId="200" priority="22">
      <formula>$B$14=$R$15</formula>
    </cfRule>
  </conditionalFormatting>
  <conditionalFormatting sqref="J70:J80">
    <cfRule type="expression" dxfId="199" priority="21">
      <formula>AND($P$14=0,$Q$14&gt;0)</formula>
    </cfRule>
  </conditionalFormatting>
  <conditionalFormatting sqref="J70:J75 J77:J80">
    <cfRule type="expression" dxfId="198" priority="20">
      <formula>S70=-1</formula>
    </cfRule>
  </conditionalFormatting>
  <conditionalFormatting sqref="J70:J75 J77:J80">
    <cfRule type="expression" dxfId="197" priority="19">
      <formula>S70=1</formula>
    </cfRule>
  </conditionalFormatting>
  <conditionalFormatting sqref="N75 N77">
    <cfRule type="expression" dxfId="196" priority="18">
      <formula>AND($P$14=0,$Q$14&gt;0)</formula>
    </cfRule>
  </conditionalFormatting>
  <conditionalFormatting sqref="N76">
    <cfRule type="expression" dxfId="195" priority="17">
      <formula>$B$14=$R$15</formula>
    </cfRule>
  </conditionalFormatting>
  <conditionalFormatting sqref="N78">
    <cfRule type="expression" dxfId="194" priority="16">
      <formula>$B$14=$R$15</formula>
    </cfRule>
  </conditionalFormatting>
  <conditionalFormatting sqref="H82">
    <cfRule type="expression" dxfId="193" priority="15">
      <formula>AND($P$14=0,$Q$14&gt;0)</formula>
    </cfRule>
  </conditionalFormatting>
  <conditionalFormatting sqref="H82">
    <cfRule type="expression" dxfId="192" priority="14">
      <formula>Q82=-1</formula>
    </cfRule>
  </conditionalFormatting>
  <conditionalFormatting sqref="H82">
    <cfRule type="expression" dxfId="191" priority="13">
      <formula>Q82=1</formula>
    </cfRule>
  </conditionalFormatting>
  <conditionalFormatting sqref="G93:H94">
    <cfRule type="expression" dxfId="190" priority="12">
      <formula>AND($P$14=0,$Q$14&gt;0)</formula>
    </cfRule>
  </conditionalFormatting>
  <conditionalFormatting sqref="G93:H94">
    <cfRule type="expression" dxfId="189" priority="11">
      <formula>P93=-1</formula>
    </cfRule>
  </conditionalFormatting>
  <conditionalFormatting sqref="G93:H94">
    <cfRule type="expression" dxfId="188" priority="10">
      <formula>P93=1</formula>
    </cfRule>
  </conditionalFormatting>
  <conditionalFormatting sqref="N96">
    <cfRule type="expression" dxfId="187" priority="8">
      <formula>$B$14=$R$15</formula>
    </cfRule>
  </conditionalFormatting>
  <conditionalFormatting sqref="N98">
    <cfRule type="expression" dxfId="186" priority="7">
      <formula>$B$14=$R$15</formula>
    </cfRule>
  </conditionalFormatting>
  <conditionalFormatting sqref="N97">
    <cfRule type="expression" dxfId="185" priority="6">
      <formula>$B$14=$R$15</formula>
    </cfRule>
  </conditionalFormatting>
  <conditionalFormatting sqref="N99">
    <cfRule type="expression" dxfId="184" priority="5">
      <formula>$B$14=$R$15</formula>
    </cfRule>
  </conditionalFormatting>
  <conditionalFormatting sqref="M121">
    <cfRule type="cellIs" dxfId="183" priority="4" operator="equal">
      <formula>"Error"</formula>
    </cfRule>
  </conditionalFormatting>
  <conditionalFormatting sqref="O104:O120">
    <cfRule type="cellIs" dxfId="182" priority="3" operator="equal">
      <formula>"Error"</formula>
    </cfRule>
  </conditionalFormatting>
  <conditionalFormatting sqref="N81">
    <cfRule type="expression" dxfId="181" priority="2">
      <formula>AND($P$14=0,$Q$14&gt;0)</formula>
    </cfRule>
  </conditionalFormatting>
  <conditionalFormatting sqref="N82">
    <cfRule type="expression" dxfId="180" priority="1">
      <formula>$B$14=$R$15</formula>
    </cfRule>
  </conditionalFormatting>
  <dataValidations count="3">
    <dataValidation type="list" allowBlank="1" showInputMessage="1" showErrorMessage="1" error="Please either leave this cell blank or, if you have updated the relevant data, confirm this by clicking on the small arrow to the right of this cell and selecting the available text " sqref="N11:N13">
      <formula1>$R$13</formula1>
    </dataValidation>
    <dataValidation type="list" allowBlank="1" showInputMessage="1" showErrorMessage="1" sqref="D9">
      <formula1>"1,2,3"</formula1>
    </dataValidation>
    <dataValidation type="list" allowBlank="1" showInputMessage="1" showErrorMessage="1" error="Please select from the two possible options by clicking on the small triangle to the right of this cell" sqref="D11:I13">
      <formula1>$R$11:$R$12</formula1>
    </dataValidation>
  </dataValidations>
  <hyperlinks>
    <hyperlink ref="B3" location="Comments_Qld" display="Link to the areas for providing general comments or footnotes"/>
    <hyperlink ref="F5" location="Qld!B153" display="Qld!B153"/>
    <hyperlink ref="M5" location="Data_validn_explan" display="Data_validn_explan"/>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142" operator="equal" id="{527BCB35-B577-421A-AD17-F5546401315B}">
            <xm:f>Intro!$B$37</xm:f>
            <x14:dxf>
              <font>
                <color rgb="FFFF0000"/>
              </font>
            </x14:dxf>
          </x14:cfRule>
          <xm:sqref>D12:I13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U359"/>
  <sheetViews>
    <sheetView zoomScale="80" zoomScaleNormal="80" workbookViewId="0">
      <pane ySplit="6" topLeftCell="A7" activePane="bottomLeft" state="frozen"/>
      <selection activeCell="A7" sqref="A7"/>
      <selection pane="bottomLeft" activeCell="A7" sqref="A7"/>
    </sheetView>
  </sheetViews>
  <sheetFormatPr defaultColWidth="9.140625" defaultRowHeight="12.75" x14ac:dyDescent="0.25"/>
  <cols>
    <col min="1" max="1" width="1.7109375" style="7" customWidth="1"/>
    <col min="2" max="2" width="35" style="5" customWidth="1"/>
    <col min="3" max="3" width="67.140625" style="10" customWidth="1"/>
    <col min="4" max="4" width="8.42578125" style="10" customWidth="1"/>
    <col min="5" max="5" width="2.85546875" style="10" customWidth="1"/>
    <col min="6" max="6" width="24.140625" style="7" customWidth="1"/>
    <col min="7" max="8" width="12.5703125" style="7" customWidth="1"/>
    <col min="9" max="9" width="13.140625" style="7" customWidth="1"/>
    <col min="10" max="11" width="12.5703125" style="7" customWidth="1"/>
    <col min="12" max="12" width="2.5703125" style="10" customWidth="1"/>
    <col min="13" max="13" width="22.42578125" style="5" customWidth="1"/>
    <col min="14" max="14" width="44.85546875" style="10" customWidth="1"/>
    <col min="15" max="15" width="2.42578125" style="7" customWidth="1"/>
    <col min="16" max="20" width="3.5703125" style="36" customWidth="1"/>
    <col min="21" max="21" width="9.140625" style="7"/>
    <col min="22" max="22" width="10.7109375" style="7" customWidth="1"/>
    <col min="23" max="24" width="9.140625" style="7"/>
    <col min="25" max="25" width="11" style="7" customWidth="1"/>
    <col min="26" max="16384" width="9.140625" style="7"/>
  </cols>
  <sheetData>
    <row r="1" spans="1:21" s="1702" customFormat="1" ht="18.75" x14ac:dyDescent="0.25">
      <c r="A1" s="1700"/>
      <c r="B1" s="1700" t="s">
        <v>335</v>
      </c>
      <c r="C1" s="1701" t="s">
        <v>958</v>
      </c>
      <c r="D1" s="1701"/>
      <c r="E1" s="1701"/>
      <c r="L1" s="1701"/>
      <c r="M1" s="1700"/>
      <c r="N1" s="1701"/>
      <c r="P1" s="1703"/>
      <c r="Q1" s="1703"/>
      <c r="R1" s="1703"/>
      <c r="S1" s="1703"/>
      <c r="T1" s="1703"/>
    </row>
    <row r="2" spans="1:21" x14ac:dyDescent="0.25">
      <c r="C2" s="6" t="s">
        <v>12</v>
      </c>
      <c r="E2" s="124" t="s">
        <v>13</v>
      </c>
      <c r="F2" s="126" t="s">
        <v>362</v>
      </c>
      <c r="H2" s="624" t="s">
        <v>708</v>
      </c>
      <c r="I2" s="623" t="s">
        <v>709</v>
      </c>
      <c r="L2" s="7"/>
      <c r="M2" s="989" t="s">
        <v>855</v>
      </c>
      <c r="N2" s="126" t="s">
        <v>364</v>
      </c>
    </row>
    <row r="3" spans="1:21" ht="15" x14ac:dyDescent="0.25">
      <c r="B3" s="329" t="s">
        <v>584</v>
      </c>
      <c r="E3" s="125" t="s">
        <v>14</v>
      </c>
      <c r="F3" s="126" t="s">
        <v>363</v>
      </c>
      <c r="H3" s="9" t="s">
        <v>15</v>
      </c>
      <c r="I3" s="126" t="s">
        <v>365</v>
      </c>
      <c r="L3" s="7"/>
      <c r="M3" s="676" t="s">
        <v>366</v>
      </c>
      <c r="N3" s="140" t="s">
        <v>367</v>
      </c>
    </row>
    <row r="4" spans="1:21" s="1055" customFormat="1" ht="18.75" x14ac:dyDescent="0.3">
      <c r="B4" s="1056"/>
      <c r="C4" s="1057"/>
      <c r="D4" s="2605" t="str">
        <f>IF(COUNTIF(P16:T500,1)&gt;0,"Red outline","")</f>
        <v/>
      </c>
      <c r="E4" s="2605"/>
      <c r="F4" s="1058" t="str">
        <f>IF(COUNTIF(P16:T500,1)&gt;0,": The data input value is surprisingly high - please check","")</f>
        <v/>
      </c>
      <c r="J4" s="2605" t="str">
        <f>IF(COUNTIF(P16:T500,-1)&gt;0,"Dotted red outline","")</f>
        <v>Dotted red outline</v>
      </c>
      <c r="K4" s="2605"/>
      <c r="L4" s="1058" t="str">
        <f>IF(COUNTIF(P16:T500,-1)&gt;0,": The data input value is surprisingly low - please check","")</f>
        <v>: The data input value is surprisingly low - please check</v>
      </c>
      <c r="O4" s="1059"/>
      <c r="P4" s="1060"/>
      <c r="Q4" s="1060"/>
      <c r="R4" s="1060"/>
      <c r="S4" s="1060"/>
      <c r="T4" s="1060"/>
      <c r="U4" s="1060"/>
    </row>
    <row r="5" spans="1:21" ht="15" x14ac:dyDescent="0.25">
      <c r="C5" s="14"/>
      <c r="D5" s="14"/>
      <c r="E5" s="14"/>
      <c r="F5" s="1220" t="str">
        <f>IF(COUNTIF(P16:T500,1)&gt;0,"Click here for an explanation","")</f>
        <v/>
      </c>
      <c r="L5" s="7"/>
      <c r="M5" s="83" t="str">
        <f>IF(COUNTIF(P16:T500,-1)&gt;0,"Click here for an explanation","")</f>
        <v>Click here for an explanation</v>
      </c>
      <c r="N5" s="14"/>
      <c r="U5" s="36"/>
    </row>
    <row r="6" spans="1:21" s="105" customFormat="1" ht="15.75" x14ac:dyDescent="0.2">
      <c r="A6" s="103"/>
      <c r="B6" s="3" t="s">
        <v>322</v>
      </c>
      <c r="C6" s="4"/>
      <c r="D6" s="4"/>
      <c r="E6" s="104"/>
      <c r="F6" s="136" t="s">
        <v>328</v>
      </c>
      <c r="G6" s="73"/>
      <c r="H6" s="73"/>
      <c r="I6" s="73"/>
      <c r="J6" s="73"/>
      <c r="K6" s="73"/>
      <c r="L6" s="73"/>
      <c r="M6" s="154" t="s">
        <v>321</v>
      </c>
      <c r="N6" s="73"/>
      <c r="P6" s="1060"/>
      <c r="Q6" s="1060"/>
      <c r="R6" s="1060"/>
      <c r="S6" s="1060"/>
      <c r="T6" s="1060"/>
    </row>
    <row r="7" spans="1:21" x14ac:dyDescent="0.25">
      <c r="C7" s="7"/>
      <c r="D7" s="7"/>
      <c r="E7" s="7"/>
      <c r="L7" s="7"/>
      <c r="N7" s="7"/>
    </row>
    <row r="8" spans="1:21" ht="15.75" x14ac:dyDescent="0.25">
      <c r="B8" s="146" t="s">
        <v>641</v>
      </c>
      <c r="C8" s="127"/>
      <c r="D8" s="127"/>
      <c r="E8" s="127"/>
      <c r="F8" s="127"/>
      <c r="G8" s="129"/>
      <c r="H8" s="129"/>
      <c r="I8" s="127"/>
      <c r="J8" s="147"/>
      <c r="K8" s="147"/>
      <c r="L8" s="147"/>
      <c r="M8" s="147"/>
      <c r="N8" s="2607" t="s">
        <v>360</v>
      </c>
      <c r="P8" s="1050"/>
      <c r="Q8" s="1050"/>
      <c r="R8" s="1050"/>
      <c r="S8" s="1050"/>
      <c r="T8" s="1050"/>
    </row>
    <row r="9" spans="1:21" s="126" customFormat="1" ht="18.75" x14ac:dyDescent="0.25">
      <c r="B9" s="149"/>
      <c r="C9" s="150" t="s">
        <v>357</v>
      </c>
      <c r="D9" s="1319"/>
      <c r="E9" s="128"/>
      <c r="F9" s="455" t="str">
        <f>IF(AND(D9&gt;0,P14=0,O14&lt;D9),"Please fill in the white boxes below","")</f>
        <v/>
      </c>
      <c r="G9" s="129"/>
      <c r="H9" s="129"/>
      <c r="I9" s="128"/>
      <c r="J9" s="147"/>
      <c r="K9" s="147"/>
      <c r="L9" s="147"/>
      <c r="M9" s="147"/>
      <c r="N9" s="2607"/>
      <c r="P9" s="36"/>
      <c r="Q9" s="36"/>
      <c r="R9" s="36"/>
      <c r="S9" s="36"/>
      <c r="T9" s="36"/>
    </row>
    <row r="10" spans="1:21" x14ac:dyDescent="0.25">
      <c r="B10" s="469" t="s">
        <v>99</v>
      </c>
      <c r="C10" s="469" t="s">
        <v>351</v>
      </c>
      <c r="D10" s="2608" t="s">
        <v>640</v>
      </c>
      <c r="E10" s="2608"/>
      <c r="F10" s="2608"/>
      <c r="G10" s="2608"/>
      <c r="H10" s="2608"/>
      <c r="I10" s="2608"/>
      <c r="J10" s="147" t="s">
        <v>320</v>
      </c>
      <c r="K10" s="147"/>
      <c r="L10" s="147"/>
      <c r="M10" s="147"/>
      <c r="N10" s="2607"/>
      <c r="O10" s="302" t="s">
        <v>458</v>
      </c>
    </row>
    <row r="11" spans="1:21" ht="41.25" customHeight="1" x14ac:dyDescent="0.25">
      <c r="B11" s="1545"/>
      <c r="C11" s="1546"/>
      <c r="D11" s="2601"/>
      <c r="E11" s="2601"/>
      <c r="F11" s="2601"/>
      <c r="G11" s="2601"/>
      <c r="H11" s="2601"/>
      <c r="I11" s="2601"/>
      <c r="J11" s="2602"/>
      <c r="K11" s="2602"/>
      <c r="L11" s="2602"/>
      <c r="M11" s="2602"/>
      <c r="N11" s="1324"/>
      <c r="O11" s="36">
        <f>IF(AND(D11=Validated,OR(D9=1,D9=2,D9=3)),1,0)</f>
        <v>0</v>
      </c>
      <c r="P11" s="36">
        <f>IF(AND(D11=Not_validated,OR(D9=1,D9=2,D9=3)),-1,0)</f>
        <v>0</v>
      </c>
      <c r="Q11" s="36">
        <f>IF(AND(O11=1,ISBLANK(N11)),1,0)</f>
        <v>0</v>
      </c>
      <c r="R11" s="36" t="str">
        <f>Validated</f>
        <v>Yes, I believe the calculation steps, assumptions &amp; classifications below reasonably convert our waste data for this year to the form required for the national waste data set.</v>
      </c>
    </row>
    <row r="12" spans="1:21" ht="36.75" customHeight="1" x14ac:dyDescent="0.25">
      <c r="B12" s="1321"/>
      <c r="C12" s="1320"/>
      <c r="D12" s="2601"/>
      <c r="E12" s="2601"/>
      <c r="F12" s="2601"/>
      <c r="G12" s="2601"/>
      <c r="H12" s="2601"/>
      <c r="I12" s="2601"/>
      <c r="J12" s="2602"/>
      <c r="K12" s="2602"/>
      <c r="L12" s="2602"/>
      <c r="M12" s="2602"/>
      <c r="N12" s="457"/>
      <c r="O12" s="36">
        <f>IF(AND(D12=Validated,OR(D9=2,D9=3)),1,0)</f>
        <v>0</v>
      </c>
      <c r="P12" s="36">
        <f>IF(AND(D12=Not_validated,OR(D9=2,D9=3)),-1,0)</f>
        <v>0</v>
      </c>
      <c r="Q12" s="36">
        <f>IF(AND(O12=1,ISBLANK(N12)),1,0)</f>
        <v>0</v>
      </c>
      <c r="R12" s="36" t="str">
        <f>Not_validated</f>
        <v>No, I don't believe the calculation steps, assumptions &amp; classifications below reasonably convert our waste data for this year to the form required for the national waste data set.</v>
      </c>
    </row>
    <row r="13" spans="1:21" ht="36.75" customHeight="1" x14ac:dyDescent="0.25">
      <c r="B13" s="1322"/>
      <c r="C13" s="1323"/>
      <c r="D13" s="2601"/>
      <c r="E13" s="2601"/>
      <c r="F13" s="2601"/>
      <c r="G13" s="2601"/>
      <c r="H13" s="2601"/>
      <c r="I13" s="2601"/>
      <c r="J13" s="2602"/>
      <c r="K13" s="2602"/>
      <c r="L13" s="2602"/>
      <c r="M13" s="2602"/>
      <c r="N13" s="457"/>
      <c r="O13" s="36">
        <f>IF(AND(D13=Validated,D9=3),1,0)</f>
        <v>0</v>
      </c>
      <c r="P13" s="148">
        <f>IF(AND(D13=Not_validated,D9=3),-1,0)</f>
        <v>0</v>
      </c>
      <c r="Q13" s="148">
        <f>IF(AND(O13=1,ISBLANK(N13)),1,0)</f>
        <v>0</v>
      </c>
      <c r="R13" s="36" t="str">
        <f>Intro!B38</f>
        <v>Yes, I have updated all relevant data in the white cells below</v>
      </c>
    </row>
    <row r="14" spans="1:21" ht="26.25" x14ac:dyDescent="0.25">
      <c r="B14" s="152" t="str">
        <f>IF(P14&lt;0,R14,IF(Q14&gt;0,R15,""))</f>
        <v/>
      </c>
      <c r="C14" s="151"/>
      <c r="D14" s="151"/>
      <c r="E14" s="151"/>
      <c r="F14" s="151"/>
      <c r="G14" s="151"/>
      <c r="H14" s="151"/>
      <c r="I14" s="151"/>
      <c r="J14" s="151"/>
      <c r="K14" s="151"/>
      <c r="L14" s="151"/>
      <c r="M14" s="151"/>
      <c r="N14" s="151"/>
      <c r="O14" s="36">
        <f>SUM(O11:O13)</f>
        <v>0</v>
      </c>
      <c r="P14" s="148">
        <f>SUM(P11:P13)</f>
        <v>0</v>
      </c>
      <c r="Q14" s="148">
        <f>SUM(Q11:Q13)</f>
        <v>0</v>
      </c>
      <c r="R14" s="36" t="s">
        <v>807</v>
      </c>
    </row>
    <row r="15" spans="1:21" x14ac:dyDescent="0.25">
      <c r="C15" s="7"/>
      <c r="D15" s="7"/>
      <c r="E15" s="7"/>
      <c r="L15" s="7"/>
      <c r="N15" s="7"/>
      <c r="P15" s="148"/>
      <c r="Q15" s="148"/>
      <c r="R15" s="36" t="s">
        <v>561</v>
      </c>
    </row>
    <row r="16" spans="1:21" ht="15.75" x14ac:dyDescent="0.25">
      <c r="A16" s="130"/>
      <c r="B16" s="130" t="s">
        <v>438</v>
      </c>
      <c r="C16" s="362" t="s">
        <v>643</v>
      </c>
      <c r="D16" s="130"/>
      <c r="E16" s="130"/>
      <c r="F16" s="130"/>
      <c r="G16" s="130"/>
      <c r="H16" s="130"/>
      <c r="I16" s="130"/>
      <c r="J16" s="130"/>
      <c r="K16" s="130"/>
      <c r="L16" s="130"/>
      <c r="M16" s="130"/>
      <c r="N16" s="130"/>
      <c r="O16" s="130"/>
      <c r="P16" s="148"/>
      <c r="Q16" s="148"/>
    </row>
    <row r="17" spans="1:20" s="188" customFormat="1" x14ac:dyDescent="0.25">
      <c r="A17" s="185"/>
      <c r="O17" s="185"/>
      <c r="P17" s="36"/>
      <c r="Q17" s="36"/>
      <c r="R17" s="36"/>
      <c r="S17" s="36"/>
      <c r="T17" s="36"/>
    </row>
    <row r="18" spans="1:20" s="191" customFormat="1" x14ac:dyDescent="0.25">
      <c r="A18" s="185"/>
      <c r="B18" s="470" t="s">
        <v>125</v>
      </c>
      <c r="C18" s="366" t="s">
        <v>933</v>
      </c>
      <c r="D18" s="11"/>
      <c r="E18" s="11"/>
      <c r="F18" s="488" t="s">
        <v>342</v>
      </c>
      <c r="G18" s="1355">
        <f>904085-180273</f>
        <v>723812</v>
      </c>
      <c r="H18" s="188"/>
      <c r="I18" s="188"/>
      <c r="J18" s="188"/>
      <c r="K18" s="11"/>
      <c r="L18" s="11"/>
      <c r="M18" s="113" t="s">
        <v>104</v>
      </c>
      <c r="N18" s="37" t="s">
        <v>754</v>
      </c>
      <c r="O18" s="185"/>
      <c r="P18" s="1051">
        <f>IF(AND(ISNUMBER(G18),'Validn data - hide'!C243&gt;0),IF(G18/'Validn data - hide'!C243-1&gt;'Validn data - hide'!$L243,1,IF(G18/'Validn data - hide'!C243-1&lt;-'Validn data - hide'!$L243,-1,0)),0)</f>
        <v>-1</v>
      </c>
      <c r="Q18" s="36"/>
      <c r="R18" s="36"/>
      <c r="S18" s="36"/>
      <c r="T18" s="36"/>
    </row>
    <row r="19" spans="1:20" s="191" customFormat="1" x14ac:dyDescent="0.25">
      <c r="A19" s="185"/>
      <c r="B19" s="113" t="s">
        <v>714</v>
      </c>
      <c r="C19" s="816" t="s">
        <v>937</v>
      </c>
      <c r="D19" s="11"/>
      <c r="E19" s="11"/>
      <c r="F19" s="11"/>
      <c r="H19" s="188"/>
      <c r="I19" s="188"/>
      <c r="J19" s="188"/>
      <c r="K19" s="11"/>
      <c r="L19" s="11"/>
      <c r="M19" s="113" t="s">
        <v>100</v>
      </c>
      <c r="N19" s="37" t="s">
        <v>102</v>
      </c>
      <c r="O19" s="185"/>
      <c r="P19" s="36"/>
      <c r="Q19" s="36"/>
      <c r="R19" s="36"/>
      <c r="S19" s="36"/>
      <c r="T19" s="36"/>
    </row>
    <row r="20" spans="1:20" s="191" customFormat="1" x14ac:dyDescent="0.25">
      <c r="A20" s="185"/>
      <c r="B20" s="193"/>
      <c r="C20" s="188"/>
      <c r="D20" s="11"/>
      <c r="E20" s="11"/>
      <c r="F20" s="488" t="s">
        <v>869</v>
      </c>
      <c r="G20" s="1390">
        <v>0</v>
      </c>
      <c r="H20" s="188"/>
      <c r="I20" s="188"/>
      <c r="J20" s="188"/>
      <c r="K20" s="11"/>
      <c r="L20" s="11"/>
      <c r="M20" s="113" t="s">
        <v>10</v>
      </c>
      <c r="N20" s="1328"/>
      <c r="O20" s="185"/>
      <c r="P20" s="1051">
        <f>IF(AND(ISNUMBER(G20),'Validn data - hide'!C245&gt;0),IF(G20/'Validn data - hide'!C245-1&gt;'Validn data - hide'!$L245,1,IF(G20/'Validn data - hide'!C245-1&lt;-'Validn data - hide'!$L245,-1,0)),0)</f>
        <v>0</v>
      </c>
      <c r="Q20" s="1051"/>
      <c r="R20" s="1051"/>
      <c r="S20" s="1051"/>
      <c r="T20" s="1051"/>
    </row>
    <row r="21" spans="1:20" s="191" customFormat="1" x14ac:dyDescent="0.25">
      <c r="A21" s="185"/>
      <c r="B21" s="193"/>
      <c r="C21" s="188"/>
      <c r="D21" s="12"/>
      <c r="E21" s="12"/>
      <c r="F21" s="12"/>
      <c r="G21" s="12"/>
      <c r="H21" s="12"/>
      <c r="I21" s="12"/>
      <c r="J21" s="12"/>
      <c r="K21" s="12"/>
      <c r="L21" s="12"/>
      <c r="M21" s="113" t="s">
        <v>352</v>
      </c>
      <c r="N21" s="1329" t="s">
        <v>1317</v>
      </c>
      <c r="O21" s="185"/>
      <c r="P21" s="1051"/>
      <c r="Q21" s="1051"/>
      <c r="R21" s="1051"/>
      <c r="S21" s="1051"/>
      <c r="T21" s="1051"/>
    </row>
    <row r="22" spans="1:20" s="191" customFormat="1" ht="21" customHeight="1" x14ac:dyDescent="0.25">
      <c r="A22" s="185"/>
      <c r="B22" s="193"/>
      <c r="C22" s="193"/>
      <c r="D22" s="193"/>
      <c r="E22" s="193"/>
      <c r="F22" s="193"/>
      <c r="G22" s="193"/>
      <c r="H22" s="193"/>
      <c r="I22" s="193"/>
      <c r="J22" s="193"/>
      <c r="K22" s="193"/>
      <c r="L22" s="12"/>
      <c r="M22" s="113" t="s">
        <v>99</v>
      </c>
      <c r="N22" s="1329"/>
      <c r="O22" s="185"/>
      <c r="P22" s="1051"/>
      <c r="Q22" s="1051"/>
      <c r="R22" s="1051"/>
      <c r="S22" s="1051"/>
      <c r="T22" s="1051"/>
    </row>
    <row r="23" spans="1:20" s="191" customFormat="1" ht="21" customHeight="1" x14ac:dyDescent="0.25">
      <c r="A23" s="185"/>
      <c r="B23" s="193"/>
      <c r="C23" s="193"/>
      <c r="D23" s="193"/>
      <c r="E23" s="193"/>
      <c r="F23" s="193"/>
      <c r="G23" s="193"/>
      <c r="H23" s="193"/>
      <c r="I23" s="193"/>
      <c r="J23" s="193"/>
      <c r="K23" s="193"/>
      <c r="L23" s="12"/>
      <c r="M23" s="113" t="s">
        <v>658</v>
      </c>
      <c r="N23" s="1328"/>
      <c r="O23" s="185"/>
      <c r="P23" s="1051"/>
      <c r="Q23" s="1051"/>
      <c r="R23" s="1051"/>
      <c r="S23" s="1051"/>
      <c r="T23" s="1051"/>
    </row>
    <row r="24" spans="1:20" s="191" customFormat="1" x14ac:dyDescent="0.25">
      <c r="A24" s="185"/>
      <c r="B24" s="193"/>
      <c r="C24" s="188"/>
      <c r="D24" s="12"/>
      <c r="E24" s="12"/>
      <c r="F24" s="12"/>
      <c r="G24" s="12"/>
      <c r="H24" s="12"/>
      <c r="I24" s="12"/>
      <c r="J24" s="12"/>
      <c r="K24" s="12"/>
      <c r="L24" s="12"/>
      <c r="M24" s="99"/>
      <c r="N24" s="12"/>
      <c r="O24" s="185"/>
      <c r="P24" s="1051"/>
      <c r="Q24" s="1051"/>
      <c r="R24" s="1051"/>
      <c r="S24" s="1051"/>
      <c r="T24" s="1051"/>
    </row>
    <row r="25" spans="1:20" s="188" customFormat="1" x14ac:dyDescent="0.25">
      <c r="A25" s="185"/>
      <c r="B25" s="98"/>
      <c r="C25" s="196"/>
      <c r="D25" s="196"/>
      <c r="E25" s="196"/>
      <c r="F25" s="187"/>
      <c r="G25" s="92"/>
      <c r="H25" s="93"/>
      <c r="I25" s="187"/>
      <c r="J25" s="187"/>
      <c r="K25" s="187"/>
      <c r="L25" s="196"/>
      <c r="M25" s="98"/>
      <c r="N25" s="196"/>
      <c r="O25" s="185"/>
      <c r="P25" s="1051"/>
      <c r="Q25" s="1051"/>
      <c r="R25" s="1051"/>
      <c r="S25" s="1051"/>
      <c r="T25" s="1051"/>
    </row>
    <row r="26" spans="1:20" s="188" customFormat="1" ht="12.75" customHeight="1" x14ac:dyDescent="0.2">
      <c r="A26" s="185"/>
      <c r="B26" s="1571" t="s">
        <v>126</v>
      </c>
      <c r="C26" s="1597" t="s">
        <v>994</v>
      </c>
      <c r="D26" s="196"/>
      <c r="E26" s="196"/>
      <c r="F26" s="765" t="s">
        <v>746</v>
      </c>
      <c r="G26" s="1391"/>
      <c r="H26" s="679"/>
      <c r="I26" s="679"/>
      <c r="J26" s="187"/>
      <c r="K26" s="187"/>
      <c r="L26" s="196"/>
      <c r="M26" s="114" t="s">
        <v>104</v>
      </c>
      <c r="N26" s="94" t="s">
        <v>745</v>
      </c>
      <c r="O26" s="185"/>
      <c r="P26" s="1051">
        <f>IF(AND(ISNUMBER(G26),'Validn data - hide'!C248&gt;0),IF(G26/'Validn data - hide'!C248-1&gt;'Validn data - hide'!$L248,1,IF(G26/'Validn data - hide'!C248-1&lt;-'Validn data - hide'!$L248,-1,0)),0)</f>
        <v>0</v>
      </c>
      <c r="Q26" s="1051"/>
      <c r="R26" s="1051"/>
      <c r="S26" s="1051"/>
      <c r="T26" s="1051"/>
    </row>
    <row r="27" spans="1:20" s="188" customFormat="1" x14ac:dyDescent="0.2">
      <c r="A27" s="185"/>
      <c r="B27" s="1598"/>
      <c r="C27" s="1599" t="s">
        <v>995</v>
      </c>
      <c r="D27" s="190"/>
      <c r="E27" s="190"/>
      <c r="F27" s="765" t="s">
        <v>747</v>
      </c>
      <c r="G27" s="1391"/>
      <c r="H27" s="679"/>
      <c r="I27" s="679"/>
      <c r="J27" s="187"/>
      <c r="K27" s="187"/>
      <c r="L27" s="190"/>
      <c r="M27" s="114" t="s">
        <v>100</v>
      </c>
      <c r="N27" s="210" t="s">
        <v>102</v>
      </c>
      <c r="O27" s="185"/>
      <c r="P27" s="1051">
        <f>IF(AND(ISNUMBER(G27),'Validn data - hide'!C249&gt;0),IF(G27/'Validn data - hide'!C249-1&gt;'Validn data - hide'!$L249,1,IF(G27/'Validn data - hide'!C249-1&lt;-'Validn data - hide'!$L249,-1,0)),0)</f>
        <v>0</v>
      </c>
      <c r="Q27" s="36"/>
      <c r="R27" s="36"/>
      <c r="S27" s="36"/>
      <c r="T27" s="36"/>
    </row>
    <row r="28" spans="1:20" s="188" customFormat="1" x14ac:dyDescent="0.2">
      <c r="A28" s="185"/>
      <c r="B28" s="1572" t="s">
        <v>714</v>
      </c>
      <c r="C28" s="2628" t="s">
        <v>996</v>
      </c>
      <c r="D28" s="190"/>
      <c r="E28" s="190"/>
      <c r="F28" s="187"/>
      <c r="G28" s="187"/>
      <c r="H28" s="679"/>
      <c r="I28" s="679"/>
      <c r="J28" s="187"/>
      <c r="K28" s="187"/>
      <c r="L28" s="190"/>
      <c r="M28" s="114" t="s">
        <v>10</v>
      </c>
      <c r="N28" s="1350"/>
      <c r="O28" s="185"/>
      <c r="P28" s="36"/>
      <c r="Q28" s="36"/>
      <c r="R28" s="36"/>
      <c r="S28" s="36"/>
      <c r="T28" s="36"/>
    </row>
    <row r="29" spans="1:20" s="188" customFormat="1" x14ac:dyDescent="0.2">
      <c r="A29" s="185"/>
      <c r="B29" s="1600"/>
      <c r="C29" s="2629"/>
      <c r="D29" s="190"/>
      <c r="E29" s="190"/>
      <c r="F29" s="681" t="s">
        <v>103</v>
      </c>
      <c r="G29" s="741">
        <f>G18-G26+G27</f>
        <v>723812</v>
      </c>
      <c r="H29" s="679"/>
      <c r="I29" s="679"/>
      <c r="J29" s="187"/>
      <c r="K29" s="187"/>
      <c r="L29" s="190"/>
      <c r="M29" s="114" t="s">
        <v>352</v>
      </c>
      <c r="N29" s="1330"/>
      <c r="O29" s="185"/>
      <c r="P29" s="1051"/>
      <c r="Q29" s="1051"/>
      <c r="R29" s="36"/>
      <c r="S29" s="36"/>
      <c r="T29" s="36"/>
    </row>
    <row r="30" spans="1:20" s="188" customFormat="1" x14ac:dyDescent="0.2">
      <c r="A30" s="185"/>
      <c r="B30" s="189"/>
      <c r="C30" s="187"/>
      <c r="D30" s="190"/>
      <c r="E30" s="190"/>
      <c r="F30" s="195"/>
      <c r="G30" s="308"/>
      <c r="H30" s="679"/>
      <c r="I30" s="679"/>
      <c r="J30" s="680"/>
      <c r="K30" s="187"/>
      <c r="L30" s="190"/>
      <c r="M30" s="114" t="s">
        <v>99</v>
      </c>
      <c r="N30" s="1330"/>
      <c r="O30" s="185"/>
      <c r="P30" s="1051"/>
      <c r="Q30" s="1051"/>
      <c r="R30" s="36"/>
      <c r="S30" s="36"/>
      <c r="T30" s="36"/>
    </row>
    <row r="31" spans="1:20" s="191" customFormat="1" x14ac:dyDescent="0.25">
      <c r="A31" s="185"/>
      <c r="B31" s="189"/>
      <c r="C31" s="187"/>
      <c r="D31" s="307"/>
      <c r="E31" s="307"/>
      <c r="F31" s="195"/>
      <c r="G31" s="308"/>
      <c r="H31" s="308"/>
      <c r="I31" s="195"/>
      <c r="J31" s="195"/>
      <c r="K31" s="195"/>
      <c r="L31" s="307"/>
      <c r="M31" s="114" t="s">
        <v>658</v>
      </c>
      <c r="N31" s="1331"/>
      <c r="O31" s="185"/>
      <c r="P31" s="36"/>
      <c r="Q31" s="36"/>
      <c r="R31" s="36"/>
      <c r="S31" s="36"/>
      <c r="T31" s="36"/>
    </row>
    <row r="32" spans="1:20" s="191" customFormat="1" x14ac:dyDescent="0.25">
      <c r="A32" s="185"/>
      <c r="B32" s="189"/>
      <c r="C32" s="187"/>
      <c r="D32" s="307"/>
      <c r="E32" s="307"/>
      <c r="F32" s="195"/>
      <c r="G32" s="308"/>
      <c r="H32" s="308"/>
      <c r="I32" s="195"/>
      <c r="J32" s="195"/>
      <c r="K32" s="195"/>
      <c r="L32" s="307"/>
      <c r="M32" s="98"/>
      <c r="N32" s="307"/>
      <c r="O32" s="185"/>
      <c r="P32" s="36"/>
      <c r="Q32" s="36"/>
      <c r="R32" s="36"/>
      <c r="S32" s="36"/>
      <c r="T32" s="36"/>
    </row>
    <row r="33" spans="1:20" s="188" customFormat="1" x14ac:dyDescent="0.25">
      <c r="A33" s="185"/>
      <c r="B33" s="99"/>
      <c r="C33" s="197"/>
      <c r="D33" s="197"/>
      <c r="E33" s="197"/>
      <c r="F33" s="197"/>
      <c r="G33" s="197"/>
      <c r="H33" s="197"/>
      <c r="I33" s="197"/>
      <c r="J33" s="197"/>
      <c r="K33" s="197"/>
      <c r="L33" s="197"/>
      <c r="M33" s="197"/>
      <c r="N33" s="197"/>
      <c r="O33" s="185"/>
      <c r="P33" s="1051"/>
      <c r="Q33" s="1051"/>
      <c r="R33" s="1051"/>
      <c r="S33" s="1051"/>
      <c r="T33" s="1051"/>
    </row>
    <row r="34" spans="1:20" s="188" customFormat="1" x14ac:dyDescent="0.25">
      <c r="A34" s="185"/>
      <c r="B34" s="97" t="s">
        <v>127</v>
      </c>
      <c r="C34" s="656" t="s">
        <v>590</v>
      </c>
      <c r="D34" s="197"/>
      <c r="E34" s="197"/>
      <c r="F34" s="708" t="s">
        <v>592</v>
      </c>
      <c r="G34" s="1355">
        <v>0</v>
      </c>
      <c r="H34" s="197"/>
      <c r="I34" s="197"/>
      <c r="J34" s="197"/>
      <c r="K34" s="197"/>
      <c r="L34" s="197"/>
      <c r="M34" s="113" t="s">
        <v>104</v>
      </c>
      <c r="N34" s="37" t="s">
        <v>591</v>
      </c>
      <c r="O34" s="185"/>
      <c r="P34" s="1051">
        <f>IF(AND(ISNUMBER(G34),'Validn data - hide'!C252&gt;0),IF(G34/'Validn data - hide'!C252-1&gt;'Validn data - hide'!$L252,1,IF(G34/'Validn data - hide'!C252-1&lt;-'Validn data - hide'!$L252,-1,0)),0)</f>
        <v>-1</v>
      </c>
      <c r="Q34" s="1051"/>
      <c r="R34" s="1051"/>
      <c r="S34" s="1051"/>
      <c r="T34" s="1051"/>
    </row>
    <row r="35" spans="1:20" s="188" customFormat="1" x14ac:dyDescent="0.25">
      <c r="A35" s="185"/>
      <c r="B35" s="487"/>
      <c r="C35" s="591"/>
      <c r="D35" s="199"/>
      <c r="E35" s="199"/>
      <c r="F35" s="199"/>
      <c r="G35" s="199"/>
      <c r="H35" s="199"/>
      <c r="I35" s="199"/>
      <c r="J35" s="199"/>
      <c r="K35" s="199"/>
      <c r="L35" s="199"/>
      <c r="M35" s="113" t="s">
        <v>100</v>
      </c>
      <c r="N35" s="37" t="s">
        <v>102</v>
      </c>
      <c r="O35" s="185"/>
      <c r="P35" s="36"/>
      <c r="Q35" s="36"/>
      <c r="R35" s="36"/>
      <c r="S35" s="36"/>
      <c r="T35" s="36"/>
    </row>
    <row r="36" spans="1:20" s="188" customFormat="1" x14ac:dyDescent="0.25">
      <c r="A36" s="185"/>
      <c r="B36" s="194"/>
      <c r="C36" s="709"/>
      <c r="D36" s="199"/>
      <c r="E36" s="199"/>
      <c r="F36" s="63" t="s">
        <v>103</v>
      </c>
      <c r="G36" s="710">
        <f>G18-G34</f>
        <v>723812</v>
      </c>
      <c r="H36" s="199"/>
      <c r="I36" s="199"/>
      <c r="J36" s="199"/>
      <c r="K36" s="199"/>
      <c r="L36" s="199"/>
      <c r="M36" s="113" t="s">
        <v>10</v>
      </c>
      <c r="N36" s="1328"/>
      <c r="O36" s="185"/>
      <c r="P36" s="36"/>
      <c r="Q36" s="36"/>
      <c r="R36" s="36"/>
      <c r="S36" s="36"/>
      <c r="T36" s="36"/>
    </row>
    <row r="37" spans="1:20" s="188" customFormat="1" x14ac:dyDescent="0.25">
      <c r="A37" s="185"/>
      <c r="B37" s="193"/>
      <c r="D37" s="199"/>
      <c r="E37" s="199"/>
      <c r="F37" s="199"/>
      <c r="G37" s="199"/>
      <c r="H37" s="199"/>
      <c r="I37" s="199"/>
      <c r="J37" s="199"/>
      <c r="K37" s="199"/>
      <c r="L37" s="199"/>
      <c r="M37" s="113" t="s">
        <v>352</v>
      </c>
      <c r="N37" s="1329" t="s">
        <v>1317</v>
      </c>
      <c r="O37" s="185"/>
      <c r="P37" s="36"/>
      <c r="Q37" s="1051"/>
      <c r="R37" s="1051"/>
      <c r="S37" s="36"/>
      <c r="T37" s="36"/>
    </row>
    <row r="38" spans="1:20" s="188" customFormat="1" x14ac:dyDescent="0.25">
      <c r="A38" s="185"/>
      <c r="B38" s="193"/>
      <c r="D38" s="199"/>
      <c r="E38" s="199"/>
      <c r="F38" s="199"/>
      <c r="G38" s="199"/>
      <c r="H38" s="199"/>
      <c r="I38" s="199"/>
      <c r="J38" s="199"/>
      <c r="K38" s="199"/>
      <c r="L38" s="199"/>
      <c r="M38" s="113" t="s">
        <v>99</v>
      </c>
      <c r="N38" s="1329"/>
      <c r="O38" s="185"/>
      <c r="P38" s="36"/>
      <c r="Q38" s="36"/>
      <c r="R38" s="36"/>
      <c r="S38" s="36"/>
      <c r="T38" s="36"/>
    </row>
    <row r="39" spans="1:20" s="188" customFormat="1" x14ac:dyDescent="0.25">
      <c r="A39" s="185"/>
      <c r="B39" s="193"/>
      <c r="D39" s="199"/>
      <c r="E39" s="199"/>
      <c r="F39" s="199"/>
      <c r="G39" s="199"/>
      <c r="H39" s="199"/>
      <c r="I39" s="199"/>
      <c r="J39" s="199"/>
      <c r="K39" s="199"/>
      <c r="L39" s="199"/>
      <c r="M39" s="113" t="s">
        <v>658</v>
      </c>
      <c r="N39" s="1328"/>
      <c r="O39" s="185"/>
      <c r="P39" s="36"/>
      <c r="Q39" s="36"/>
      <c r="R39" s="36"/>
      <c r="S39" s="36"/>
      <c r="T39" s="36"/>
    </row>
    <row r="40" spans="1:20" s="188" customFormat="1" x14ac:dyDescent="0.25">
      <c r="A40" s="185"/>
      <c r="B40" s="193"/>
      <c r="D40" s="199"/>
      <c r="E40" s="199"/>
      <c r="F40" s="199"/>
      <c r="G40" s="199"/>
      <c r="H40" s="199"/>
      <c r="I40" s="199"/>
      <c r="J40" s="199"/>
      <c r="K40" s="199"/>
      <c r="L40" s="199"/>
      <c r="M40" s="99"/>
      <c r="N40" s="590"/>
      <c r="O40" s="185"/>
      <c r="P40" s="36"/>
      <c r="Q40" s="36"/>
      <c r="R40" s="36"/>
      <c r="S40" s="36"/>
      <c r="T40" s="36"/>
    </row>
    <row r="41" spans="1:20" s="188" customFormat="1" x14ac:dyDescent="0.25">
      <c r="A41" s="185"/>
      <c r="B41" s="189"/>
      <c r="C41" s="187"/>
      <c r="D41" s="190"/>
      <c r="E41" s="190"/>
      <c r="F41" s="190"/>
      <c r="G41" s="190"/>
      <c r="H41" s="190"/>
      <c r="I41" s="190"/>
      <c r="J41" s="190"/>
      <c r="K41" s="190"/>
      <c r="L41" s="190"/>
      <c r="M41" s="186"/>
      <c r="N41" s="190"/>
      <c r="O41" s="185"/>
      <c r="P41" s="36"/>
      <c r="Q41" s="36"/>
      <c r="R41" s="36"/>
      <c r="S41" s="36"/>
      <c r="T41" s="36"/>
    </row>
    <row r="42" spans="1:20" s="188" customFormat="1" x14ac:dyDescent="0.25">
      <c r="A42" s="185"/>
      <c r="B42" s="100" t="s">
        <v>128</v>
      </c>
      <c r="C42" s="94" t="s">
        <v>750</v>
      </c>
      <c r="D42" s="190"/>
      <c r="E42" s="190"/>
      <c r="F42" s="190"/>
      <c r="G42" s="693" t="s">
        <v>16</v>
      </c>
      <c r="H42" s="693" t="s">
        <v>17</v>
      </c>
      <c r="I42" s="693" t="s">
        <v>18</v>
      </c>
      <c r="J42" s="190"/>
      <c r="K42" s="190"/>
      <c r="L42" s="190"/>
      <c r="M42" s="186"/>
      <c r="N42" s="190"/>
      <c r="O42" s="185"/>
      <c r="P42" s="36"/>
      <c r="Q42" s="36"/>
      <c r="R42" s="36"/>
      <c r="S42" s="36"/>
      <c r="T42" s="36"/>
    </row>
    <row r="43" spans="1:20" s="188" customFormat="1" x14ac:dyDescent="0.25">
      <c r="A43" s="185"/>
      <c r="B43" s="189"/>
      <c r="C43" s="187"/>
      <c r="D43" s="190"/>
      <c r="E43" s="190"/>
      <c r="F43" s="190"/>
      <c r="G43" s="592">
        <f>$G$36*'Other national data'!G204</f>
        <v>260572.31999999998</v>
      </c>
      <c r="H43" s="593">
        <f>$G$36*'Other national data'!H204</f>
        <v>137524.28</v>
      </c>
      <c r="I43" s="594">
        <f>$G$36*'Other national data'!I204</f>
        <v>325715.40000000002</v>
      </c>
      <c r="J43" s="190"/>
      <c r="K43" s="190"/>
      <c r="L43" s="190"/>
      <c r="M43" s="114" t="s">
        <v>100</v>
      </c>
      <c r="N43" s="94" t="s">
        <v>102</v>
      </c>
      <c r="O43" s="185"/>
      <c r="P43" s="36"/>
      <c r="Q43" s="36"/>
      <c r="R43" s="36"/>
      <c r="S43" s="36"/>
      <c r="T43" s="36"/>
    </row>
    <row r="44" spans="1:20" s="188" customFormat="1" x14ac:dyDescent="0.25">
      <c r="A44" s="185"/>
      <c r="B44" s="189"/>
      <c r="C44" s="187"/>
      <c r="D44" s="190"/>
      <c r="E44" s="190"/>
      <c r="F44" s="190"/>
      <c r="G44" s="190"/>
      <c r="H44" s="190"/>
      <c r="I44" s="190"/>
      <c r="J44" s="190"/>
      <c r="K44" s="190"/>
      <c r="L44" s="190"/>
      <c r="M44" s="187"/>
      <c r="N44" s="187"/>
      <c r="O44" s="185"/>
      <c r="P44" s="36"/>
      <c r="Q44" s="36"/>
      <c r="R44" s="36"/>
      <c r="S44" s="36"/>
      <c r="T44" s="36"/>
    </row>
    <row r="45" spans="1:20" s="188" customFormat="1" x14ac:dyDescent="0.25">
      <c r="A45" s="185"/>
      <c r="B45" s="194"/>
      <c r="M45" s="194"/>
      <c r="O45" s="185"/>
      <c r="P45" s="1051"/>
      <c r="Q45" s="1051"/>
      <c r="R45" s="1051"/>
      <c r="S45" s="36"/>
      <c r="T45" s="36"/>
    </row>
    <row r="46" spans="1:20" s="188" customFormat="1" x14ac:dyDescent="0.25">
      <c r="A46" s="185"/>
      <c r="B46" s="97" t="s">
        <v>130</v>
      </c>
      <c r="C46" s="37" t="s">
        <v>607</v>
      </c>
      <c r="F46" s="711"/>
      <c r="G46" s="712" t="s">
        <v>593</v>
      </c>
      <c r="H46" s="713" t="s">
        <v>594</v>
      </c>
      <c r="I46" s="2688" t="s">
        <v>603</v>
      </c>
      <c r="J46" s="2688" t="s">
        <v>604</v>
      </c>
      <c r="K46" s="714"/>
      <c r="M46" s="113" t="s">
        <v>104</v>
      </c>
      <c r="N46" s="37" t="s">
        <v>756</v>
      </c>
      <c r="O46" s="185"/>
      <c r="P46" s="1051"/>
      <c r="Q46" s="1051"/>
      <c r="R46" s="1051"/>
      <c r="S46" s="36"/>
      <c r="T46" s="36"/>
    </row>
    <row r="47" spans="1:20" s="188" customFormat="1" x14ac:dyDescent="0.25">
      <c r="A47" s="185"/>
      <c r="B47" s="801" t="s">
        <v>323</v>
      </c>
      <c r="C47" s="2596" t="s">
        <v>602</v>
      </c>
      <c r="E47" s="11"/>
      <c r="I47" s="2689"/>
      <c r="J47" s="2689"/>
      <c r="L47" s="11"/>
      <c r="M47" s="113" t="s">
        <v>100</v>
      </c>
      <c r="N47" s="37" t="s">
        <v>605</v>
      </c>
      <c r="O47" s="185"/>
      <c r="P47" s="1051"/>
      <c r="Q47" s="1051"/>
      <c r="R47" s="1051"/>
      <c r="S47" s="36"/>
      <c r="T47" s="36"/>
    </row>
    <row r="48" spans="1:20" s="188" customFormat="1" ht="12.75" customHeight="1" x14ac:dyDescent="0.25">
      <c r="A48" s="185"/>
      <c r="B48" s="236"/>
      <c r="C48" s="2691"/>
      <c r="D48" s="503">
        <v>0.95</v>
      </c>
      <c r="E48" s="11"/>
      <c r="F48" s="715" t="s">
        <v>25</v>
      </c>
      <c r="G48" s="1392">
        <v>0.16700000000000001</v>
      </c>
      <c r="H48" s="1393">
        <v>0.185</v>
      </c>
      <c r="I48" s="716">
        <f t="shared" ref="I48:I60" si="0">$D$51*G48+(1-$D$51)*H48</f>
        <v>0.16790000000000002</v>
      </c>
      <c r="J48" s="717">
        <f>I48/($I$61-SUM($I$59:$I$60))</f>
        <v>1.5856451422500296E-2</v>
      </c>
      <c r="L48" s="11"/>
      <c r="M48" s="588" t="s">
        <v>10</v>
      </c>
      <c r="N48" s="2598" t="s">
        <v>599</v>
      </c>
      <c r="O48" s="185"/>
      <c r="P48" s="1051"/>
      <c r="Q48" s="1051"/>
      <c r="R48" s="1051"/>
      <c r="S48" s="1051">
        <f>IF(AND(ISNUMBER(J48),'Validn data - hide'!F258&gt;0),IF(J48/'Validn data - hide'!F258-1&gt;'Validn data - hide'!$L258,1,IF(J48/'Validn data - hide'!F258-1&lt;-'Validn data - hide'!$L258,-1,0)),0)</f>
        <v>0</v>
      </c>
      <c r="T48" s="36"/>
    </row>
    <row r="49" spans="1:20" s="188" customFormat="1" x14ac:dyDescent="0.25">
      <c r="A49" s="185"/>
      <c r="B49" s="236"/>
      <c r="C49" s="2596" t="s">
        <v>600</v>
      </c>
      <c r="E49" s="11"/>
      <c r="F49" s="489" t="s">
        <v>28</v>
      </c>
      <c r="G49" s="1394">
        <f>0.34+0.047</f>
        <v>0.38700000000000001</v>
      </c>
      <c r="H49" s="1395">
        <f>0.172+0.041</f>
        <v>0.21299999999999999</v>
      </c>
      <c r="I49" s="718">
        <f t="shared" si="0"/>
        <v>0.37829999999999997</v>
      </c>
      <c r="J49" s="719">
        <f t="shared" ref="J49:J58" si="1">I49/($I$61-SUM($I$59:$I$60))</f>
        <v>3.5726596623775225E-2</v>
      </c>
      <c r="L49" s="11"/>
      <c r="M49" s="236"/>
      <c r="N49" s="2599"/>
      <c r="O49" s="185"/>
      <c r="P49" s="1051"/>
      <c r="Q49" s="1051"/>
      <c r="R49" s="1051"/>
      <c r="S49" s="1051">
        <f>IF(AND(ISNUMBER(J49),'Validn data - hide'!F259&gt;0),IF(J49/'Validn data - hide'!F259-1&gt;'Validn data - hide'!$L259,1,IF(J49/'Validn data - hide'!F259-1&lt;-'Validn data - hide'!$L259,-1,0)),0)</f>
        <v>0</v>
      </c>
      <c r="T49" s="36"/>
    </row>
    <row r="50" spans="1:20" s="188" customFormat="1" x14ac:dyDescent="0.25">
      <c r="A50" s="185"/>
      <c r="B50" s="236"/>
      <c r="C50" s="2630"/>
      <c r="E50" s="11"/>
      <c r="F50" s="715" t="s">
        <v>595</v>
      </c>
      <c r="G50" s="1396">
        <v>5.3040000000000003</v>
      </c>
      <c r="H50" s="1397">
        <f>1.988+0.05</f>
        <v>2.0379999999999998</v>
      </c>
      <c r="I50" s="718">
        <f t="shared" si="0"/>
        <v>5.1406999999999998</v>
      </c>
      <c r="J50" s="719">
        <f t="shared" si="1"/>
        <v>0.48548695549521892</v>
      </c>
      <c r="L50" s="64"/>
      <c r="M50" s="236"/>
      <c r="N50" s="2599"/>
      <c r="O50" s="185"/>
      <c r="P50" s="1051"/>
      <c r="Q50" s="1051"/>
      <c r="R50" s="1051"/>
      <c r="S50" s="1051">
        <f>IF(AND(ISNUMBER(J50),'Validn data - hide'!F260&gt;0),IF(J50/'Validn data - hide'!F260-1&gt;'Validn data - hide'!$L260,1,IF(J50/'Validn data - hide'!F260-1&lt;-'Validn data - hide'!$L260,-1,0)),0)</f>
        <v>0</v>
      </c>
      <c r="T50" s="36"/>
    </row>
    <row r="51" spans="1:20" s="188" customFormat="1" x14ac:dyDescent="0.25">
      <c r="A51" s="185"/>
      <c r="B51" s="236"/>
      <c r="C51" s="720" t="s">
        <v>601</v>
      </c>
      <c r="D51" s="721">
        <f>95%</f>
        <v>0.95</v>
      </c>
      <c r="E51" s="11"/>
      <c r="F51" s="715" t="s">
        <v>63</v>
      </c>
      <c r="G51" s="1396">
        <f>0.229+0.144+0.167+0.318</f>
        <v>0.8580000000000001</v>
      </c>
      <c r="H51" s="1397">
        <f>0.072+0.066+0.017+0.056</f>
        <v>0.21100000000000002</v>
      </c>
      <c r="I51" s="718">
        <f t="shared" si="0"/>
        <v>0.82565000000000011</v>
      </c>
      <c r="J51" s="719">
        <f t="shared" si="1"/>
        <v>7.7974265139889032E-2</v>
      </c>
      <c r="L51" s="64"/>
      <c r="M51" s="113" t="s">
        <v>352</v>
      </c>
      <c r="N51" s="1329" t="s">
        <v>356</v>
      </c>
      <c r="O51" s="185"/>
      <c r="P51" s="1051"/>
      <c r="Q51" s="1051"/>
      <c r="R51" s="1051"/>
      <c r="S51" s="1051">
        <f>IF(AND(ISNUMBER(J51),'Validn data - hide'!F261&gt;0),IF(J51/'Validn data - hide'!F261-1&gt;'Validn data - hide'!$L261,1,IF(J51/'Validn data - hide'!F261-1&lt;-'Validn data - hide'!$L261,-1,0)),0)</f>
        <v>0</v>
      </c>
      <c r="T51" s="36"/>
    </row>
    <row r="52" spans="1:20" s="188" customFormat="1" x14ac:dyDescent="0.25">
      <c r="A52" s="185"/>
      <c r="B52" s="722"/>
      <c r="C52" s="2606" t="s">
        <v>606</v>
      </c>
      <c r="D52" s="64"/>
      <c r="E52" s="370"/>
      <c r="F52" s="715" t="s">
        <v>67</v>
      </c>
      <c r="G52" s="1396">
        <v>0.17199999999999999</v>
      </c>
      <c r="H52" s="1397">
        <v>0.123</v>
      </c>
      <c r="I52" s="718">
        <f t="shared" si="0"/>
        <v>0.16955000000000001</v>
      </c>
      <c r="J52" s="719">
        <f t="shared" si="1"/>
        <v>1.6012277180970369E-2</v>
      </c>
      <c r="L52" s="64"/>
      <c r="M52" s="113" t="s">
        <v>99</v>
      </c>
      <c r="N52" s="1328">
        <v>2013</v>
      </c>
      <c r="O52" s="185"/>
      <c r="P52" s="1051"/>
      <c r="Q52" s="1051"/>
      <c r="R52" s="1051"/>
      <c r="S52" s="1051">
        <f>IF(AND(ISNUMBER(J52),'Validn data - hide'!F262&gt;0),IF(J52/'Validn data - hide'!F262-1&gt;'Validn data - hide'!$L262,1,IF(J52/'Validn data - hide'!F262-1&lt;-'Validn data - hide'!$L262,-1,0)),0)</f>
        <v>0</v>
      </c>
      <c r="T52" s="36"/>
    </row>
    <row r="53" spans="1:20" s="188" customFormat="1" x14ac:dyDescent="0.25">
      <c r="A53" s="185"/>
      <c r="B53" s="723"/>
      <c r="C53" s="2606"/>
      <c r="D53" s="11"/>
      <c r="E53" s="370"/>
      <c r="F53" s="715" t="s">
        <v>596</v>
      </c>
      <c r="G53" s="1396">
        <f>0.081+0.558</f>
        <v>0.63900000000000001</v>
      </c>
      <c r="H53" s="1397">
        <f>0.112+0.459</f>
        <v>0.57100000000000006</v>
      </c>
      <c r="I53" s="718">
        <f t="shared" si="0"/>
        <v>0.63560000000000005</v>
      </c>
      <c r="J53" s="719">
        <f t="shared" si="1"/>
        <v>6.0025970959745011E-2</v>
      </c>
      <c r="L53" s="64"/>
      <c r="M53" s="113" t="s">
        <v>658</v>
      </c>
      <c r="N53" s="1328" t="s">
        <v>681</v>
      </c>
      <c r="O53" s="185"/>
      <c r="P53" s="1051"/>
      <c r="Q53" s="1051"/>
      <c r="R53" s="1051"/>
      <c r="S53" s="1051">
        <f>IF(AND(ISNUMBER(J53),'Validn data - hide'!F263&gt;0),IF(J53/'Validn data - hide'!F263-1&gt;'Validn data - hide'!$L263,1,IF(J53/'Validn data - hide'!F263-1&lt;-'Validn data - hide'!$L263,-1,0)),0)</f>
        <v>0</v>
      </c>
      <c r="T53" s="36"/>
    </row>
    <row r="54" spans="1:20" s="188" customFormat="1" x14ac:dyDescent="0.25">
      <c r="A54" s="185"/>
      <c r="B54" s="1271" t="s">
        <v>714</v>
      </c>
      <c r="C54" s="816" t="s">
        <v>907</v>
      </c>
      <c r="F54" s="489" t="s">
        <v>20</v>
      </c>
      <c r="G54" s="1394">
        <f>0.27+0.233+0.319+0.208+0.465+0.026</f>
        <v>1.5210000000000001</v>
      </c>
      <c r="H54" s="1395">
        <f>0.142+0.178+0.179+0.11+0.663+0.021</f>
        <v>1.2929999999999999</v>
      </c>
      <c r="I54" s="718">
        <f t="shared" si="0"/>
        <v>1.5096000000000001</v>
      </c>
      <c r="J54" s="719">
        <f t="shared" si="1"/>
        <v>0.14256640302207529</v>
      </c>
      <c r="L54" s="64"/>
      <c r="M54" s="194"/>
      <c r="N54" s="199"/>
      <c r="O54" s="185"/>
      <c r="P54" s="1051"/>
      <c r="Q54" s="1051"/>
      <c r="R54" s="1051"/>
      <c r="S54" s="1051">
        <f>IF(AND(ISNUMBER(J54),'Validn data - hide'!F265&gt;0),IF(J54/'Validn data - hide'!F265-1&gt;'Validn data - hide'!$L265,1,IF(J54/'Validn data - hide'!F265-1&lt;-'Validn data - hide'!$L265,-1,0)),0)</f>
        <v>0</v>
      </c>
      <c r="T54" s="36"/>
    </row>
    <row r="55" spans="1:20" s="188" customFormat="1" x14ac:dyDescent="0.25">
      <c r="A55" s="185"/>
      <c r="F55" s="489" t="s">
        <v>597</v>
      </c>
      <c r="G55" s="1394">
        <v>0.94099999999999995</v>
      </c>
      <c r="H55" s="1395">
        <v>0.78600000000000003</v>
      </c>
      <c r="I55" s="718">
        <f t="shared" si="0"/>
        <v>0.93324999999999991</v>
      </c>
      <c r="J55" s="719">
        <f t="shared" si="1"/>
        <v>8.8135993389210229E-2</v>
      </c>
      <c r="L55" s="64"/>
      <c r="M55" s="194"/>
      <c r="N55" s="199"/>
      <c r="O55" s="185"/>
      <c r="P55" s="1051"/>
      <c r="Q55" s="1051"/>
      <c r="R55" s="1051"/>
      <c r="S55" s="1051">
        <f>IF(AND(ISNUMBER(J55),'Validn data - hide'!F266&gt;0),IF(J55/'Validn data - hide'!F266-1&gt;'Validn data - hide'!$L266,1,IF(J55/'Validn data - hide'!F266-1&lt;-'Validn data - hide'!$L266,-1,0)),0)</f>
        <v>0</v>
      </c>
      <c r="T55" s="36"/>
    </row>
    <row r="56" spans="1:20" s="188" customFormat="1" x14ac:dyDescent="0.25">
      <c r="A56" s="185"/>
      <c r="F56" s="715" t="s">
        <v>30</v>
      </c>
      <c r="G56" s="1396">
        <v>0.41299999999999998</v>
      </c>
      <c r="H56" s="1397">
        <v>0.314</v>
      </c>
      <c r="I56" s="718">
        <f t="shared" si="0"/>
        <v>0.40804999999999997</v>
      </c>
      <c r="J56" s="719">
        <f t="shared" si="1"/>
        <v>3.8536182268917474E-2</v>
      </c>
      <c r="L56" s="64"/>
      <c r="M56" s="194"/>
      <c r="N56" s="199"/>
      <c r="O56" s="185"/>
      <c r="P56" s="1051"/>
      <c r="Q56" s="1051"/>
      <c r="R56" s="1051"/>
      <c r="S56" s="1051">
        <f>IF(AND(ISNUMBER(J56),'Validn data - hide'!F267&gt;0),IF(J56/'Validn data - hide'!F267-1&gt;'Validn data - hide'!$L267,1,IF(J56/'Validn data - hide'!F267-1&lt;-'Validn data - hide'!$L267,-1,0)),0)</f>
        <v>0</v>
      </c>
      <c r="T56" s="36"/>
    </row>
    <row r="57" spans="1:20" s="188" customFormat="1" x14ac:dyDescent="0.25">
      <c r="A57" s="185"/>
      <c r="F57" s="715" t="s">
        <v>83</v>
      </c>
      <c r="G57" s="1396">
        <f>0.425</f>
        <v>0.42499999999999999</v>
      </c>
      <c r="H57" s="1397">
        <v>0.32800000000000001</v>
      </c>
      <c r="I57" s="718">
        <f t="shared" si="0"/>
        <v>0.42015000000000002</v>
      </c>
      <c r="J57" s="719">
        <f t="shared" si="1"/>
        <v>3.967890449769803E-2</v>
      </c>
      <c r="L57" s="64"/>
      <c r="M57" s="194"/>
      <c r="N57" s="199"/>
      <c r="O57" s="185"/>
      <c r="P57" s="1051"/>
      <c r="Q57" s="1051"/>
      <c r="R57" s="1051"/>
      <c r="S57" s="1051">
        <f>IF(AND(ISNUMBER(J57),'Validn data - hide'!F268&gt;0),IF(J57/'Validn data - hide'!F268-1&gt;'Validn data - hide'!$L268,1,IF(J57/'Validn data - hide'!F268-1&lt;-'Validn data - hide'!$L268,-1,0)),0)</f>
        <v>0</v>
      </c>
      <c r="T57" s="36"/>
    </row>
    <row r="58" spans="1:20" s="188" customFormat="1" x14ac:dyDescent="0.25">
      <c r="A58" s="185"/>
      <c r="F58" s="715" t="s">
        <v>80</v>
      </c>
      <c r="G58" s="1396">
        <v>0</v>
      </c>
      <c r="H58" s="1397">
        <v>0</v>
      </c>
      <c r="I58" s="718">
        <f t="shared" si="0"/>
        <v>0</v>
      </c>
      <c r="J58" s="719">
        <f t="shared" si="1"/>
        <v>0</v>
      </c>
      <c r="L58" s="64"/>
      <c r="M58" s="194"/>
      <c r="N58" s="199"/>
      <c r="O58" s="185"/>
      <c r="P58" s="1051"/>
      <c r="Q58" s="1051"/>
      <c r="R58" s="36"/>
      <c r="S58" s="1051">
        <f>IF(AND(ISNUMBER(J58),'Validn data - hide'!F269&gt;0),IF(J58/'Validn data - hide'!F269-1&gt;'Validn data - hide'!$L269,1,IF(J58/'Validn data - hide'!F269-1&lt;-'Validn data - hide'!$L269,-1,0)),0)</f>
        <v>0</v>
      </c>
      <c r="T58" s="36"/>
    </row>
    <row r="59" spans="1:20" s="188" customFormat="1" x14ac:dyDescent="0.25">
      <c r="A59" s="185"/>
      <c r="F59" s="715" t="s">
        <v>35</v>
      </c>
      <c r="G59" s="1396">
        <f>0.616-0.558</f>
        <v>5.799999999999994E-2</v>
      </c>
      <c r="H59" s="1397">
        <f>0.524-0.459</f>
        <v>6.5000000000000002E-2</v>
      </c>
      <c r="I59" s="718">
        <f t="shared" si="0"/>
        <v>5.8349999999999944E-2</v>
      </c>
      <c r="J59" s="724"/>
      <c r="L59" s="64"/>
      <c r="M59" s="194"/>
      <c r="N59" s="199"/>
      <c r="O59" s="185"/>
      <c r="P59" s="1051"/>
      <c r="Q59" s="1051"/>
      <c r="R59" s="36"/>
      <c r="S59" s="36"/>
      <c r="T59" s="36"/>
    </row>
    <row r="60" spans="1:20" s="188" customFormat="1" x14ac:dyDescent="0.25">
      <c r="A60" s="185"/>
      <c r="B60" s="194"/>
      <c r="C60" s="64"/>
      <c r="D60" s="64"/>
      <c r="F60" s="715" t="s">
        <v>598</v>
      </c>
      <c r="G60" s="1398">
        <f>0.028+0.328</f>
        <v>0.35600000000000004</v>
      </c>
      <c r="H60" s="1399">
        <f>0.165</f>
        <v>0.16500000000000001</v>
      </c>
      <c r="I60" s="725">
        <f t="shared" si="0"/>
        <v>0.34645000000000004</v>
      </c>
      <c r="J60" s="726"/>
      <c r="L60" s="64"/>
      <c r="M60" s="194"/>
      <c r="O60" s="185"/>
      <c r="P60" s="1051"/>
      <c r="Q60" s="1051"/>
      <c r="R60" s="36"/>
      <c r="S60" s="36"/>
      <c r="T60" s="36"/>
    </row>
    <row r="61" spans="1:20" s="493" customFormat="1" x14ac:dyDescent="0.25">
      <c r="A61" s="185"/>
      <c r="B61" s="494"/>
      <c r="C61" s="64"/>
      <c r="D61" s="11"/>
      <c r="E61" s="11"/>
      <c r="F61" s="11"/>
      <c r="G61" s="11"/>
      <c r="H61" s="11"/>
      <c r="I61" s="834">
        <f>SUM(I48:I60)</f>
        <v>10.993550000000001</v>
      </c>
      <c r="J61" s="497">
        <f>SUM(J48:J58)</f>
        <v>0.99999999999999989</v>
      </c>
      <c r="K61" s="11"/>
      <c r="L61" s="11"/>
      <c r="M61" s="11"/>
      <c r="N61" s="11"/>
      <c r="O61" s="185"/>
      <c r="P61" s="36"/>
      <c r="Q61" s="36"/>
      <c r="R61" s="36"/>
      <c r="S61" s="36"/>
      <c r="T61" s="36"/>
    </row>
    <row r="62" spans="1:20" s="493" customFormat="1" x14ac:dyDescent="0.25">
      <c r="A62" s="185"/>
      <c r="B62" s="491"/>
      <c r="C62" s="325"/>
      <c r="D62" s="88"/>
      <c r="E62" s="88"/>
      <c r="F62" s="88"/>
      <c r="G62" s="88"/>
      <c r="H62" s="88"/>
      <c r="I62" s="88"/>
      <c r="J62" s="88"/>
      <c r="K62" s="88"/>
      <c r="L62" s="88"/>
      <c r="M62" s="88"/>
      <c r="N62" s="88"/>
      <c r="O62" s="185"/>
      <c r="P62" s="36"/>
      <c r="Q62" s="36"/>
      <c r="R62" s="36"/>
      <c r="S62" s="36"/>
      <c r="T62" s="36"/>
    </row>
    <row r="63" spans="1:20" s="493" customFormat="1" x14ac:dyDescent="0.2">
      <c r="A63" s="185"/>
      <c r="B63" s="806" t="s">
        <v>132</v>
      </c>
      <c r="C63" s="2612" t="s">
        <v>712</v>
      </c>
      <c r="D63" s="88"/>
      <c r="E63" s="88"/>
      <c r="F63" s="727"/>
      <c r="G63" s="728"/>
      <c r="H63" s="496" t="s">
        <v>17</v>
      </c>
      <c r="I63" s="496" t="s">
        <v>18</v>
      </c>
      <c r="J63" s="88"/>
      <c r="K63" s="88"/>
      <c r="L63" s="88"/>
      <c r="M63" s="114" t="s">
        <v>104</v>
      </c>
      <c r="N63" s="94" t="s">
        <v>589</v>
      </c>
      <c r="O63" s="185"/>
      <c r="P63" s="36"/>
      <c r="Q63" s="36"/>
      <c r="R63" s="36"/>
      <c r="S63" s="36"/>
      <c r="T63" s="36"/>
    </row>
    <row r="64" spans="1:20" s="493" customFormat="1" x14ac:dyDescent="0.2">
      <c r="A64" s="185"/>
      <c r="B64" s="730"/>
      <c r="C64" s="2614"/>
      <c r="D64" s="88"/>
      <c r="E64" s="88"/>
      <c r="F64" s="727"/>
      <c r="G64" s="729" t="s">
        <v>611</v>
      </c>
      <c r="H64" s="1400">
        <v>0.3201</v>
      </c>
      <c r="I64" s="1401"/>
      <c r="J64" s="88"/>
      <c r="K64" s="88"/>
      <c r="L64" s="88"/>
      <c r="M64" s="114" t="s">
        <v>100</v>
      </c>
      <c r="N64" s="94" t="s">
        <v>102</v>
      </c>
      <c r="O64" s="185"/>
      <c r="P64" s="36"/>
      <c r="Q64" s="1051">
        <f>IF(AND(ISNUMBER(H64),'Validn data - hide'!D273&gt;0),IF(H64/'Validn data - hide'!D273-1&gt;'Validn data - hide'!$L273,1,IF(H64/'Validn data - hide'!D273-1&lt;-'Validn data - hide'!$L273,-1,0)),0)</f>
        <v>0</v>
      </c>
      <c r="R64" s="1051">
        <f>IF(AND(ISNUMBER(I64),'Validn data - hide'!E273&gt;0),IF(I64/'Validn data - hide'!E273-1&gt;'Validn data - hide'!$L273,1,IF(I64/'Validn data - hide'!E273-1&lt;-'Validn data - hide'!$L273,-1,0)),0)</f>
        <v>0</v>
      </c>
      <c r="S64" s="36"/>
      <c r="T64" s="36"/>
    </row>
    <row r="65" spans="1:20" s="493" customFormat="1" x14ac:dyDescent="0.2">
      <c r="A65" s="185"/>
      <c r="B65" s="805" t="s">
        <v>323</v>
      </c>
      <c r="C65" s="2603" t="s">
        <v>608</v>
      </c>
      <c r="D65" s="88"/>
      <c r="E65" s="88"/>
      <c r="F65" s="727"/>
      <c r="G65" s="729" t="s">
        <v>612</v>
      </c>
      <c r="H65" s="1402">
        <v>8.6699999999999999E-2</v>
      </c>
      <c r="I65" s="1403">
        <v>1.4E-3</v>
      </c>
      <c r="J65" s="88"/>
      <c r="K65" s="88"/>
      <c r="L65" s="88"/>
      <c r="M65" s="742" t="s">
        <v>10</v>
      </c>
      <c r="N65" s="2685" t="s">
        <v>638</v>
      </c>
      <c r="O65" s="185"/>
      <c r="P65" s="36"/>
      <c r="Q65" s="1051">
        <f>IF(AND(ISNUMBER(H65),'Validn data - hide'!D274&gt;0),IF(H65/'Validn data - hide'!D274-1&gt;'Validn data - hide'!$L274,1,IF(H65/'Validn data - hide'!D274-1&lt;-'Validn data - hide'!$L274,-1,0)),0)</f>
        <v>0</v>
      </c>
      <c r="R65" s="1051">
        <f>IF(AND(ISNUMBER(I65),'Validn data - hide'!E274&gt;0),IF(I65/'Validn data - hide'!E274-1&gt;'Validn data - hide'!$L274,1,IF(I65/'Validn data - hide'!E274-1&lt;-'Validn data - hide'!$L274,-1,0)),0)</f>
        <v>0</v>
      </c>
      <c r="S65" s="36"/>
      <c r="T65" s="36"/>
    </row>
    <row r="66" spans="1:20" s="493" customFormat="1" x14ac:dyDescent="0.2">
      <c r="A66" s="185"/>
      <c r="B66" s="833"/>
      <c r="C66" s="2604"/>
      <c r="D66" s="88"/>
      <c r="E66" s="88"/>
      <c r="F66" s="727"/>
      <c r="G66" s="729" t="s">
        <v>74</v>
      </c>
      <c r="H66" s="1402">
        <v>8.1099999999999992E-2</v>
      </c>
      <c r="I66" s="1403">
        <v>3.8E-3</v>
      </c>
      <c r="J66" s="88"/>
      <c r="K66" s="88"/>
      <c r="L66" s="88"/>
      <c r="M66" s="743"/>
      <c r="N66" s="2686"/>
      <c r="O66" s="185"/>
      <c r="P66" s="36"/>
      <c r="Q66" s="1051">
        <f>IF(AND(ISNUMBER(H66),'Validn data - hide'!D275&gt;0),IF(H66/'Validn data - hide'!D275-1&gt;'Validn data - hide'!$L275,1,IF(H66/'Validn data - hide'!D275-1&lt;-'Validn data - hide'!$L275,-1,0)),0)</f>
        <v>0</v>
      </c>
      <c r="R66" s="1051">
        <f>IF(AND(ISNUMBER(I66),'Validn data - hide'!E275&gt;0),IF(I66/'Validn data - hide'!E275-1&gt;'Validn data - hide'!$L275,1,IF(I66/'Validn data - hide'!E275-1&lt;-'Validn data - hide'!$L275,-1,0)),0)</f>
        <v>0</v>
      </c>
      <c r="S66" s="36"/>
      <c r="T66" s="36"/>
    </row>
    <row r="67" spans="1:20" s="493" customFormat="1" x14ac:dyDescent="0.2">
      <c r="A67" s="185"/>
      <c r="B67" s="833"/>
      <c r="C67" s="804" t="s">
        <v>610</v>
      </c>
      <c r="D67" s="88"/>
      <c r="E67" s="88"/>
      <c r="F67" s="727"/>
      <c r="G67" s="729" t="s">
        <v>613</v>
      </c>
      <c r="H67" s="1402">
        <v>7.9399999999999998E-2</v>
      </c>
      <c r="I67" s="1403">
        <v>7.6700000000000004E-2</v>
      </c>
      <c r="J67" s="88"/>
      <c r="K67" s="88"/>
      <c r="L67" s="88"/>
      <c r="M67" s="743"/>
      <c r="N67" s="2686"/>
      <c r="O67" s="185"/>
      <c r="P67" s="36"/>
      <c r="Q67" s="1051">
        <f>IF(AND(ISNUMBER(H67),'Validn data - hide'!D276&gt;0),IF(H67/'Validn data - hide'!D276-1&gt;'Validn data - hide'!$L276,1,IF(H67/'Validn data - hide'!D276-1&lt;-'Validn data - hide'!$L276,-1,0)),0)</f>
        <v>0</v>
      </c>
      <c r="R67" s="1051">
        <f>IF(AND(ISNUMBER(I67),'Validn data - hide'!E276&gt;0),IF(I67/'Validn data - hide'!E276-1&gt;'Validn data - hide'!$L276,1,IF(I67/'Validn data - hide'!E276-1&lt;-'Validn data - hide'!$L276,-1,0)),0)</f>
        <v>0</v>
      </c>
      <c r="S67" s="36"/>
      <c r="T67" s="36"/>
    </row>
    <row r="68" spans="1:20" s="493" customFormat="1" x14ac:dyDescent="0.2">
      <c r="A68" s="185"/>
      <c r="B68" s="833"/>
      <c r="C68" s="438" t="s">
        <v>534</v>
      </c>
      <c r="D68" s="88"/>
      <c r="E68" s="88"/>
      <c r="F68" s="727"/>
      <c r="G68" s="729" t="s">
        <v>614</v>
      </c>
      <c r="H68" s="1402">
        <v>6.4199999999999993E-2</v>
      </c>
      <c r="I68" s="1403">
        <v>1.5E-3</v>
      </c>
      <c r="J68" s="88"/>
      <c r="K68" s="88"/>
      <c r="L68" s="88"/>
      <c r="M68" s="744"/>
      <c r="N68" s="2687"/>
      <c r="O68" s="185"/>
      <c r="P68" s="36"/>
      <c r="Q68" s="1051">
        <f>IF(AND(ISNUMBER(H68),'Validn data - hide'!D277&gt;0),IF(H68/'Validn data - hide'!D277-1&gt;'Validn data - hide'!$L277,1,IF(H68/'Validn data - hide'!D277-1&lt;-'Validn data - hide'!$L277,-1,0)),0)</f>
        <v>0</v>
      </c>
      <c r="R68" s="1051">
        <f>IF(AND(ISNUMBER(I68),'Validn data - hide'!E277&gt;0),IF(I68/'Validn data - hide'!E277-1&gt;'Validn data - hide'!$L277,1,IF(I68/'Validn data - hide'!E277-1&lt;-'Validn data - hide'!$L277,-1,0)),0)</f>
        <v>0</v>
      </c>
      <c r="S68" s="36"/>
      <c r="T68" s="36"/>
    </row>
    <row r="69" spans="1:20" s="493" customFormat="1" x14ac:dyDescent="0.2">
      <c r="A69" s="185"/>
      <c r="B69" s="833"/>
      <c r="C69" s="2595" t="s">
        <v>533</v>
      </c>
      <c r="D69" s="88"/>
      <c r="E69" s="88"/>
      <c r="F69" s="727"/>
      <c r="G69" s="729" t="s">
        <v>615</v>
      </c>
      <c r="H69" s="1402">
        <v>4.5899999999999996E-2</v>
      </c>
      <c r="I69" s="1403">
        <v>1.84E-2</v>
      </c>
      <c r="J69" s="88"/>
      <c r="K69" s="88"/>
      <c r="L69" s="88"/>
      <c r="M69" s="114" t="s">
        <v>352</v>
      </c>
      <c r="N69" s="1330" t="s">
        <v>356</v>
      </c>
      <c r="O69" s="185"/>
      <c r="P69" s="36"/>
      <c r="Q69" s="1051">
        <f>IF(AND(ISNUMBER(H69),'Validn data - hide'!D278&gt;0),IF(H69/'Validn data - hide'!D278-1&gt;'Validn data - hide'!$L278,1,IF(H69/'Validn data - hide'!D278-1&lt;-'Validn data - hide'!$L278,-1,0)),0)</f>
        <v>0</v>
      </c>
      <c r="R69" s="1051">
        <f>IF(AND(ISNUMBER(I69),'Validn data - hide'!E278&gt;0),IF(I69/'Validn data - hide'!E278-1&gt;'Validn data - hide'!$L278,1,IF(I69/'Validn data - hide'!E278-1&lt;-'Validn data - hide'!$L278,-1,0)),0)</f>
        <v>0</v>
      </c>
      <c r="S69" s="36"/>
      <c r="T69" s="36"/>
    </row>
    <row r="70" spans="1:20" s="493" customFormat="1" x14ac:dyDescent="0.2">
      <c r="A70" s="185"/>
      <c r="B70" s="730"/>
      <c r="C70" s="2595"/>
      <c r="D70" s="88"/>
      <c r="E70" s="88"/>
      <c r="F70" s="727"/>
      <c r="G70" s="729" t="s">
        <v>616</v>
      </c>
      <c r="H70" s="1402">
        <v>4.5499999999999999E-2</v>
      </c>
      <c r="I70" s="1403">
        <v>9.7000000000000003E-3</v>
      </c>
      <c r="J70" s="88"/>
      <c r="K70" s="88"/>
      <c r="L70" s="88"/>
      <c r="M70" s="114" t="s">
        <v>99</v>
      </c>
      <c r="N70" s="1331">
        <v>2013</v>
      </c>
      <c r="O70" s="185"/>
      <c r="P70" s="36"/>
      <c r="Q70" s="1051">
        <f>IF(AND(ISNUMBER(H70),'Validn data - hide'!D279&gt;0),IF(H70/'Validn data - hide'!D279-1&gt;'Validn data - hide'!$L279,1,IF(H70/'Validn data - hide'!D279-1&lt;-'Validn data - hide'!$L279,-1,0)),0)</f>
        <v>0</v>
      </c>
      <c r="R70" s="1051">
        <f>IF(AND(ISNUMBER(I70),'Validn data - hide'!E279&gt;0),IF(I70/'Validn data - hide'!E279-1&gt;'Validn data - hide'!$L279,1,IF(I70/'Validn data - hide'!E279-1&lt;-'Validn data - hide'!$L279,-1,0)),0)</f>
        <v>0</v>
      </c>
      <c r="S70" s="36"/>
      <c r="T70" s="36"/>
    </row>
    <row r="71" spans="1:20" s="493" customFormat="1" x14ac:dyDescent="0.2">
      <c r="A71" s="185"/>
      <c r="B71" s="731" t="s">
        <v>636</v>
      </c>
      <c r="C71" s="732" t="s">
        <v>122</v>
      </c>
      <c r="D71" s="88"/>
      <c r="E71" s="88"/>
      <c r="F71" s="727"/>
      <c r="G71" s="729" t="s">
        <v>493</v>
      </c>
      <c r="H71" s="1402">
        <v>4.4400000000000002E-2</v>
      </c>
      <c r="I71" s="1403">
        <v>0.4612</v>
      </c>
      <c r="J71" s="88"/>
      <c r="K71" s="88"/>
      <c r="L71" s="88"/>
      <c r="M71" s="114" t="s">
        <v>658</v>
      </c>
      <c r="N71" s="1331" t="s">
        <v>681</v>
      </c>
      <c r="O71" s="185"/>
      <c r="P71" s="36"/>
      <c r="Q71" s="1051">
        <f>IF(AND(ISNUMBER(H71),'Validn data - hide'!D280&gt;0),IF(H71/'Validn data - hide'!D280-1&gt;'Validn data - hide'!$L280,1,IF(H71/'Validn data - hide'!D280-1&lt;-'Validn data - hide'!$L280,-1,0)),0)</f>
        <v>0</v>
      </c>
      <c r="R71" s="1051">
        <f>IF(AND(ISNUMBER(I71),'Validn data - hide'!E280&gt;0),IF(I71/'Validn data - hide'!E280-1&gt;'Validn data - hide'!$L280,1,IF(I71/'Validn data - hide'!E280-1&lt;-'Validn data - hide'!$L280,-1,0)),0)</f>
        <v>0</v>
      </c>
      <c r="S71" s="36"/>
      <c r="T71" s="36"/>
    </row>
    <row r="72" spans="1:20" s="493" customFormat="1" x14ac:dyDescent="0.2">
      <c r="A72" s="185"/>
      <c r="B72" s="733" t="s">
        <v>611</v>
      </c>
      <c r="C72" s="734" t="s">
        <v>61</v>
      </c>
      <c r="D72" s="88"/>
      <c r="E72" s="88"/>
      <c r="F72" s="727"/>
      <c r="G72" s="729" t="s">
        <v>27</v>
      </c>
      <c r="H72" s="1402">
        <v>4.0999999999999995E-2</v>
      </c>
      <c r="I72" s="1403">
        <v>1.1999999999999999E-3</v>
      </c>
      <c r="J72" s="88"/>
      <c r="K72" s="88"/>
      <c r="L72" s="88"/>
      <c r="M72" s="88"/>
      <c r="N72" s="88"/>
      <c r="O72" s="185"/>
      <c r="P72" s="36"/>
      <c r="Q72" s="1051">
        <f>IF(AND(ISNUMBER(H72),'Validn data - hide'!D281&gt;0),IF(H72/'Validn data - hide'!D281-1&gt;'Validn data - hide'!$L281,1,IF(H72/'Validn data - hide'!D281-1&lt;-'Validn data - hide'!$L281,-1,0)),0)</f>
        <v>0</v>
      </c>
      <c r="R72" s="1051">
        <f>IF(AND(ISNUMBER(I72),'Validn data - hide'!E281&gt;0),IF(I72/'Validn data - hide'!E281-1&gt;'Validn data - hide'!$L281,1,IF(I72/'Validn data - hide'!E281-1&lt;-'Validn data - hide'!$L281,-1,0)),0)</f>
        <v>0</v>
      </c>
      <c r="S72" s="36"/>
      <c r="T72" s="36"/>
    </row>
    <row r="73" spans="1:20" s="493" customFormat="1" x14ac:dyDescent="0.2">
      <c r="A73" s="185"/>
      <c r="B73" s="733" t="s">
        <v>612</v>
      </c>
      <c r="C73" s="734" t="s">
        <v>20</v>
      </c>
      <c r="D73" s="88"/>
      <c r="E73" s="88"/>
      <c r="F73" s="727"/>
      <c r="G73" s="729" t="s">
        <v>617</v>
      </c>
      <c r="H73" s="1402">
        <v>3.5400000000000001E-2</v>
      </c>
      <c r="I73" s="1403">
        <v>3.8999999999999998E-3</v>
      </c>
      <c r="J73" s="88"/>
      <c r="K73" s="88"/>
      <c r="L73" s="88"/>
      <c r="M73" s="88"/>
      <c r="N73" s="88"/>
      <c r="O73" s="185"/>
      <c r="P73" s="36"/>
      <c r="Q73" s="1051">
        <f>IF(AND(ISNUMBER(H73),'Validn data - hide'!D282&gt;0),IF(H73/'Validn data - hide'!D282-1&gt;'Validn data - hide'!$L282,1,IF(H73/'Validn data - hide'!D282-1&lt;-'Validn data - hide'!$L282,-1,0)),0)</f>
        <v>0</v>
      </c>
      <c r="R73" s="1051">
        <f>IF(AND(ISNUMBER(I73),'Validn data - hide'!E282&gt;0),IF(I73/'Validn data - hide'!E282-1&gt;'Validn data - hide'!$L282,1,IF(I73/'Validn data - hide'!E282-1&lt;-'Validn data - hide'!$L282,-1,0)),0)</f>
        <v>0</v>
      </c>
      <c r="S73" s="36"/>
      <c r="T73" s="36"/>
    </row>
    <row r="74" spans="1:20" s="493" customFormat="1" x14ac:dyDescent="0.2">
      <c r="A74" s="185"/>
      <c r="B74" s="733" t="s">
        <v>74</v>
      </c>
      <c r="C74" s="734" t="s">
        <v>20</v>
      </c>
      <c r="D74" s="88"/>
      <c r="E74" s="88"/>
      <c r="F74" s="727"/>
      <c r="G74" s="729" t="s">
        <v>618</v>
      </c>
      <c r="H74" s="1402">
        <v>3.3500000000000002E-2</v>
      </c>
      <c r="I74" s="1403">
        <v>4.0000000000000002E-4</v>
      </c>
      <c r="J74" s="88"/>
      <c r="K74" s="88"/>
      <c r="L74" s="88"/>
      <c r="M74" s="88"/>
      <c r="N74" s="88"/>
      <c r="O74" s="185"/>
      <c r="P74" s="36"/>
      <c r="Q74" s="1051">
        <f>IF(AND(ISNUMBER(H74),'Validn data - hide'!D283&gt;0),IF(H74/'Validn data - hide'!D283-1&gt;'Validn data - hide'!$L283,1,IF(H74/'Validn data - hide'!D283-1&lt;-'Validn data - hide'!$L283,-1,0)),0)</f>
        <v>0</v>
      </c>
      <c r="R74" s="1051">
        <f>IF(AND(ISNUMBER(I74),'Validn data - hide'!E283&gt;0),IF(I74/'Validn data - hide'!E283-1&gt;'Validn data - hide'!$L283,1,IF(I74/'Validn data - hide'!E283-1&lt;-'Validn data - hide'!$L283,-1,0)),0)</f>
        <v>0</v>
      </c>
      <c r="S74" s="36"/>
      <c r="T74" s="36"/>
    </row>
    <row r="75" spans="1:20" s="493" customFormat="1" x14ac:dyDescent="0.2">
      <c r="A75" s="185"/>
      <c r="B75" s="733" t="s">
        <v>613</v>
      </c>
      <c r="C75" s="735" t="s">
        <v>67</v>
      </c>
      <c r="D75" s="88"/>
      <c r="E75" s="88"/>
      <c r="F75" s="727"/>
      <c r="G75" s="729" t="s">
        <v>619</v>
      </c>
      <c r="H75" s="1402">
        <v>2.0400000000000001E-2</v>
      </c>
      <c r="I75" s="1403">
        <v>6.83E-2</v>
      </c>
      <c r="J75" s="88"/>
      <c r="K75" s="88"/>
      <c r="L75" s="88"/>
      <c r="M75" s="88"/>
      <c r="N75" s="88"/>
      <c r="O75" s="185"/>
      <c r="P75" s="36"/>
      <c r="Q75" s="1051">
        <f>IF(AND(ISNUMBER(H75),'Validn data - hide'!D284&gt;0),IF(H75/'Validn data - hide'!D284-1&gt;'Validn data - hide'!$L284,1,IF(H75/'Validn data - hide'!D284-1&lt;-'Validn data - hide'!$L284,-1,0)),0)</f>
        <v>0</v>
      </c>
      <c r="R75" s="1051">
        <f>IF(AND(ISNUMBER(I75),'Validn data - hide'!E284&gt;0),IF(I75/'Validn data - hide'!E284-1&gt;'Validn data - hide'!$L284,1,IF(I75/'Validn data - hide'!E284-1&lt;-'Validn data - hide'!$L284,-1,0)),0)</f>
        <v>0</v>
      </c>
      <c r="S75" s="36"/>
      <c r="T75" s="36"/>
    </row>
    <row r="76" spans="1:20" s="493" customFormat="1" x14ac:dyDescent="0.2">
      <c r="A76" s="185"/>
      <c r="B76" s="733" t="s">
        <v>614</v>
      </c>
      <c r="C76" s="734" t="s">
        <v>32</v>
      </c>
      <c r="D76" s="88"/>
      <c r="E76" s="88"/>
      <c r="F76" s="727"/>
      <c r="G76" s="729" t="s">
        <v>620</v>
      </c>
      <c r="H76" s="1402">
        <v>1.9299999999999998E-2</v>
      </c>
      <c r="I76" s="1403">
        <v>6.9999999999999999E-4</v>
      </c>
      <c r="J76" s="88"/>
      <c r="K76" s="88"/>
      <c r="L76" s="88"/>
      <c r="M76" s="88"/>
      <c r="N76" s="88"/>
      <c r="O76" s="185"/>
      <c r="P76" s="36"/>
      <c r="Q76" s="1051">
        <f>IF(AND(ISNUMBER(H76),'Validn data - hide'!D285&gt;0),IF(H76/'Validn data - hide'!D285-1&gt;'Validn data - hide'!$L285,1,IF(H76/'Validn data - hide'!D285-1&lt;-'Validn data - hide'!$L285,-1,0)),0)</f>
        <v>0</v>
      </c>
      <c r="R76" s="1051">
        <f>IF(AND(ISNUMBER(I76),'Validn data - hide'!E285&gt;0),IF(I76/'Validn data - hide'!E285-1&gt;'Validn data - hide'!$L285,1,IF(I76/'Validn data - hide'!E285-1&lt;-'Validn data - hide'!$L285,-1,0)),0)</f>
        <v>0</v>
      </c>
      <c r="S76" s="36"/>
      <c r="T76" s="36"/>
    </row>
    <row r="77" spans="1:20" s="493" customFormat="1" x14ac:dyDescent="0.2">
      <c r="A77" s="185"/>
      <c r="B77" s="733" t="s">
        <v>615</v>
      </c>
      <c r="C77" s="734" t="s">
        <v>63</v>
      </c>
      <c r="D77" s="88"/>
      <c r="E77" s="88"/>
      <c r="F77" s="727"/>
      <c r="G77" s="729" t="s">
        <v>621</v>
      </c>
      <c r="H77" s="1402">
        <v>1.9199999999999998E-2</v>
      </c>
      <c r="I77" s="1403">
        <v>5.0000000000000001E-4</v>
      </c>
      <c r="J77" s="88"/>
      <c r="K77" s="88"/>
      <c r="L77" s="88"/>
      <c r="M77" s="88"/>
      <c r="N77" s="88"/>
      <c r="O77" s="185"/>
      <c r="P77" s="36"/>
      <c r="Q77" s="1051">
        <f>IF(AND(ISNUMBER(H77),'Validn data - hide'!D286&gt;0),IF(H77/'Validn data - hide'!D286-1&gt;'Validn data - hide'!$L286,1,IF(H77/'Validn data - hide'!D286-1&lt;-'Validn data - hide'!$L286,-1,0)),0)</f>
        <v>0</v>
      </c>
      <c r="R77" s="1051">
        <f>IF(AND(ISNUMBER(I77),'Validn data - hide'!E286&gt;0),IF(I77/'Validn data - hide'!E286-1&gt;'Validn data - hide'!$L286,1,IF(I77/'Validn data - hide'!E286-1&lt;-'Validn data - hide'!$L286,-1,0)),0)</f>
        <v>0</v>
      </c>
      <c r="S77" s="36"/>
      <c r="T77" s="36"/>
    </row>
    <row r="78" spans="1:20" s="493" customFormat="1" x14ac:dyDescent="0.2">
      <c r="A78" s="185"/>
      <c r="B78" s="733" t="s">
        <v>616</v>
      </c>
      <c r="C78" s="734" t="s">
        <v>27</v>
      </c>
      <c r="D78" s="88"/>
      <c r="E78" s="88"/>
      <c r="F78" s="727"/>
      <c r="G78" s="729" t="s">
        <v>30</v>
      </c>
      <c r="H78" s="1402">
        <v>1.11E-2</v>
      </c>
      <c r="I78" s="1403">
        <v>8.0000000000000004E-4</v>
      </c>
      <c r="J78" s="88"/>
      <c r="K78" s="88"/>
      <c r="L78" s="88"/>
      <c r="M78" s="88"/>
      <c r="N78" s="88"/>
      <c r="O78" s="185"/>
      <c r="P78" s="36"/>
      <c r="Q78" s="1051">
        <f>IF(AND(ISNUMBER(H78),'Validn data - hide'!D287&gt;0),IF(H78/'Validn data - hide'!D287-1&gt;'Validn data - hide'!$L287,1,IF(H78/'Validn data - hide'!D287-1&lt;-'Validn data - hide'!$L287,-1,0)),0)</f>
        <v>0</v>
      </c>
      <c r="R78" s="1051">
        <f>IF(AND(ISNUMBER(I78),'Validn data - hide'!E287&gt;0),IF(I78/'Validn data - hide'!E287-1&gt;'Validn data - hide'!$L287,1,IF(I78/'Validn data - hide'!E287-1&lt;-'Validn data - hide'!$L287,-1,0)),0)</f>
        <v>0</v>
      </c>
      <c r="S78" s="36"/>
      <c r="T78" s="36"/>
    </row>
    <row r="79" spans="1:20" s="493" customFormat="1" x14ac:dyDescent="0.2">
      <c r="A79" s="185"/>
      <c r="B79" s="733" t="s">
        <v>493</v>
      </c>
      <c r="C79" s="391" t="s">
        <v>532</v>
      </c>
      <c r="D79" s="88"/>
      <c r="E79" s="88"/>
      <c r="F79" s="727"/>
      <c r="G79" s="729" t="s">
        <v>622</v>
      </c>
      <c r="H79" s="1402">
        <v>1.0500000000000001E-2</v>
      </c>
      <c r="I79" s="1403">
        <v>9.7000000000000003E-3</v>
      </c>
      <c r="J79" s="88"/>
      <c r="K79" s="88"/>
      <c r="L79" s="88"/>
      <c r="M79" s="88"/>
      <c r="N79" s="88"/>
      <c r="O79" s="185"/>
      <c r="P79" s="36"/>
      <c r="Q79" s="1051">
        <f>IF(AND(ISNUMBER(H79),'Validn data - hide'!D288&gt;0),IF(H79/'Validn data - hide'!D288-1&gt;'Validn data - hide'!$L288,1,IF(H79/'Validn data - hide'!D288-1&lt;-'Validn data - hide'!$L288,-1,0)),0)</f>
        <v>0</v>
      </c>
      <c r="R79" s="1051">
        <f>IF(AND(ISNUMBER(I79),'Validn data - hide'!E288&gt;0),IF(I79/'Validn data - hide'!E288-1&gt;'Validn data - hide'!$L288,1,IF(I79/'Validn data - hide'!E288-1&lt;-'Validn data - hide'!$L288,-1,0)),0)</f>
        <v>0</v>
      </c>
      <c r="S79" s="36"/>
      <c r="T79" s="36"/>
    </row>
    <row r="80" spans="1:20" s="493" customFormat="1" x14ac:dyDescent="0.2">
      <c r="A80" s="185"/>
      <c r="B80" s="733" t="s">
        <v>27</v>
      </c>
      <c r="C80" s="391" t="s">
        <v>107</v>
      </c>
      <c r="D80" s="88"/>
      <c r="E80" s="88"/>
      <c r="F80" s="727"/>
      <c r="G80" s="729" t="s">
        <v>623</v>
      </c>
      <c r="H80" s="1402">
        <v>7.0999999999999995E-3</v>
      </c>
      <c r="I80" s="1403">
        <v>5.0000000000000001E-4</v>
      </c>
      <c r="J80" s="88"/>
      <c r="K80" s="88"/>
      <c r="L80" s="88"/>
      <c r="M80" s="88"/>
      <c r="N80" s="88"/>
      <c r="O80" s="185"/>
      <c r="P80" s="36"/>
      <c r="Q80" s="1051">
        <f>IF(AND(ISNUMBER(H80),'Validn data - hide'!D289&gt;0),IF(H80/'Validn data - hide'!D289-1&gt;'Validn data - hide'!$L289,1,IF(H80/'Validn data - hide'!D289-1&lt;-'Validn data - hide'!$L289,-1,0)),0)</f>
        <v>0</v>
      </c>
      <c r="R80" s="1051">
        <f>IF(AND(ISNUMBER(I80),'Validn data - hide'!E289&gt;0),IF(I80/'Validn data - hide'!E289-1&gt;'Validn data - hide'!$L289,1,IF(I80/'Validn data - hide'!E289-1&lt;-'Validn data - hide'!$L289,-1,0)),0)</f>
        <v>0</v>
      </c>
      <c r="S80" s="36"/>
      <c r="T80" s="36"/>
    </row>
    <row r="81" spans="1:20" s="493" customFormat="1" x14ac:dyDescent="0.2">
      <c r="A81" s="185"/>
      <c r="B81" s="733" t="s">
        <v>617</v>
      </c>
      <c r="C81" s="734" t="s">
        <v>32</v>
      </c>
      <c r="D81" s="88"/>
      <c r="E81" s="88"/>
      <c r="F81" s="727"/>
      <c r="G81" s="729" t="s">
        <v>46</v>
      </c>
      <c r="H81" s="1402">
        <v>5.6000000000000008E-3</v>
      </c>
      <c r="I81" s="1403">
        <v>6.1899999999999997E-2</v>
      </c>
      <c r="J81" s="88"/>
      <c r="K81" s="88"/>
      <c r="L81" s="88"/>
      <c r="M81" s="88"/>
      <c r="N81" s="88"/>
      <c r="O81" s="185"/>
      <c r="P81" s="36"/>
      <c r="Q81" s="1051">
        <f>IF(AND(ISNUMBER(H81),'Validn data - hide'!D290&gt;0),IF(H81/'Validn data - hide'!D290-1&gt;'Validn data - hide'!$L290,1,IF(H81/'Validn data - hide'!D290-1&lt;-'Validn data - hide'!$L290,-1,0)),0)</f>
        <v>0</v>
      </c>
      <c r="R81" s="1051">
        <f>IF(AND(ISNUMBER(I81),'Validn data - hide'!E290&gt;0),IF(I81/'Validn data - hide'!E290-1&gt;'Validn data - hide'!$L290,1,IF(I81/'Validn data - hide'!E290-1&lt;-'Validn data - hide'!$L290,-1,0)),0)</f>
        <v>0</v>
      </c>
      <c r="S81" s="36"/>
      <c r="T81" s="36"/>
    </row>
    <row r="82" spans="1:20" s="493" customFormat="1" x14ac:dyDescent="0.2">
      <c r="A82" s="185"/>
      <c r="B82" s="733" t="s">
        <v>618</v>
      </c>
      <c r="C82" s="734" t="s">
        <v>25</v>
      </c>
      <c r="D82" s="88"/>
      <c r="E82" s="88"/>
      <c r="F82" s="727"/>
      <c r="G82" s="729" t="s">
        <v>485</v>
      </c>
      <c r="H82" s="1402">
        <v>4.8999999999999998E-3</v>
      </c>
      <c r="I82" s="1403">
        <v>1E-4</v>
      </c>
      <c r="J82" s="88"/>
      <c r="K82" s="88"/>
      <c r="L82" s="88"/>
      <c r="M82" s="88"/>
      <c r="N82" s="88"/>
      <c r="O82" s="185"/>
      <c r="P82" s="36"/>
      <c r="Q82" s="1051">
        <f>IF(AND(ISNUMBER(H82),'Validn data - hide'!D291&gt;0),IF(H82/'Validn data - hide'!D291-1&gt;'Validn data - hide'!$L291,1,IF(H82/'Validn data - hide'!D291-1&lt;-'Validn data - hide'!$L291,-1,0)),0)</f>
        <v>0</v>
      </c>
      <c r="R82" s="1051">
        <f>IF(AND(ISNUMBER(I82),'Validn data - hide'!E291&gt;0),IF(I82/'Validn data - hide'!E291-1&gt;'Validn data - hide'!$L291,1,IF(I82/'Validn data - hide'!E291-1&lt;-'Validn data - hide'!$L291,-1,0)),0)</f>
        <v>0</v>
      </c>
      <c r="S82" s="36"/>
      <c r="T82" s="36"/>
    </row>
    <row r="83" spans="1:20" s="493" customFormat="1" x14ac:dyDescent="0.2">
      <c r="A83" s="185"/>
      <c r="B83" s="733" t="s">
        <v>619</v>
      </c>
      <c r="C83" s="734" t="s">
        <v>25</v>
      </c>
      <c r="D83" s="88"/>
      <c r="E83" s="88"/>
      <c r="F83" s="727"/>
      <c r="G83" s="729" t="s">
        <v>492</v>
      </c>
      <c r="H83" s="1402">
        <v>4.0999999999999995E-3</v>
      </c>
      <c r="I83" s="1403">
        <v>2.1000000000000001E-2</v>
      </c>
      <c r="J83" s="88"/>
      <c r="K83" s="88"/>
      <c r="L83" s="88"/>
      <c r="M83" s="88"/>
      <c r="N83" s="88"/>
      <c r="O83" s="185"/>
      <c r="P83" s="36"/>
      <c r="Q83" s="1051">
        <f>IF(AND(ISNUMBER(H83),'Validn data - hide'!D292&gt;0),IF(H83/'Validn data - hide'!D292-1&gt;'Validn data - hide'!$L292,1,IF(H83/'Validn data - hide'!D292-1&lt;-'Validn data - hide'!$L292,-1,0)),0)</f>
        <v>0</v>
      </c>
      <c r="R83" s="1051">
        <f>IF(AND(ISNUMBER(I83),'Validn data - hide'!E292&gt;0),IF(I83/'Validn data - hide'!E292-1&gt;'Validn data - hide'!$L292,1,IF(I83/'Validn data - hide'!E292-1&lt;-'Validn data - hide'!$L292,-1,0)),0)</f>
        <v>0</v>
      </c>
      <c r="S83" s="36"/>
      <c r="T83" s="36"/>
    </row>
    <row r="84" spans="1:20" s="493" customFormat="1" x14ac:dyDescent="0.2">
      <c r="A84" s="185"/>
      <c r="B84" s="733" t="s">
        <v>620</v>
      </c>
      <c r="C84" s="734" t="s">
        <v>65</v>
      </c>
      <c r="D84" s="88"/>
      <c r="E84" s="88"/>
      <c r="F84" s="727"/>
      <c r="G84" s="729" t="s">
        <v>624</v>
      </c>
      <c r="H84" s="1402">
        <v>3.7000000000000002E-3</v>
      </c>
      <c r="I84" s="1403">
        <v>2E-3</v>
      </c>
      <c r="J84" s="88"/>
      <c r="K84" s="88"/>
      <c r="L84" s="88"/>
      <c r="M84" s="88"/>
      <c r="N84" s="88"/>
      <c r="O84" s="185"/>
      <c r="P84" s="36"/>
      <c r="Q84" s="1051">
        <f>IF(AND(ISNUMBER(H84),'Validn data - hide'!D293&gt;0),IF(H84/'Validn data - hide'!D293-1&gt;'Validn data - hide'!$L293,1,IF(H84/'Validn data - hide'!D293-1&lt;-'Validn data - hide'!$L293,-1,0)),0)</f>
        <v>0</v>
      </c>
      <c r="R84" s="1051">
        <f>IF(AND(ISNUMBER(I84),'Validn data - hide'!E293&gt;0),IF(I84/'Validn data - hide'!E293-1&gt;'Validn data - hide'!$L293,1,IF(I84/'Validn data - hide'!E293-1&lt;-'Validn data - hide'!$L293,-1,0)),0)</f>
        <v>0</v>
      </c>
      <c r="S84" s="36"/>
      <c r="T84" s="36"/>
    </row>
    <row r="85" spans="1:20" s="493" customFormat="1" x14ac:dyDescent="0.2">
      <c r="A85" s="185"/>
      <c r="B85" s="733" t="s">
        <v>621</v>
      </c>
      <c r="C85" s="734" t="s">
        <v>27</v>
      </c>
      <c r="D85" s="88"/>
      <c r="E85" s="88"/>
      <c r="F85" s="727"/>
      <c r="G85" s="729" t="s">
        <v>625</v>
      </c>
      <c r="H85" s="1402">
        <v>2.7000000000000001E-3</v>
      </c>
      <c r="I85" s="1403">
        <v>3.0999999999999999E-3</v>
      </c>
      <c r="J85" s="88"/>
      <c r="K85" s="88"/>
      <c r="L85" s="88"/>
      <c r="M85" s="88"/>
      <c r="N85" s="88"/>
      <c r="O85" s="185"/>
      <c r="P85" s="36"/>
      <c r="Q85" s="1051">
        <f>IF(AND(ISNUMBER(H85),'Validn data - hide'!D294&gt;0),IF(H85/'Validn data - hide'!D294-1&gt;'Validn data - hide'!$L294,1,IF(H85/'Validn data - hide'!D294-1&lt;-'Validn data - hide'!$L294,-1,0)),0)</f>
        <v>0</v>
      </c>
      <c r="R85" s="1051">
        <f>IF(AND(ISNUMBER(I85),'Validn data - hide'!E294&gt;0),IF(I85/'Validn data - hide'!E294-1&gt;'Validn data - hide'!$L294,1,IF(I85/'Validn data - hide'!E294-1&lt;-'Validn data - hide'!$L294,-1,0)),0)</f>
        <v>0</v>
      </c>
      <c r="S85" s="36"/>
      <c r="T85" s="36"/>
    </row>
    <row r="86" spans="1:20" s="493" customFormat="1" x14ac:dyDescent="0.2">
      <c r="A86" s="185"/>
      <c r="B86" s="733" t="s">
        <v>30</v>
      </c>
      <c r="C86" s="734" t="s">
        <v>30</v>
      </c>
      <c r="D86" s="88"/>
      <c r="E86" s="88"/>
      <c r="F86" s="727"/>
      <c r="G86" s="729" t="s">
        <v>44</v>
      </c>
      <c r="H86" s="1402">
        <v>2.3999999999999998E-3</v>
      </c>
      <c r="I86" s="1403">
        <v>4.7899999999999998E-2</v>
      </c>
      <c r="J86" s="88"/>
      <c r="K86" s="88"/>
      <c r="L86" s="88"/>
      <c r="M86" s="88"/>
      <c r="N86" s="88"/>
      <c r="O86" s="185"/>
      <c r="P86" s="36"/>
      <c r="Q86" s="1051">
        <f>IF(AND(ISNUMBER(H86),'Validn data - hide'!D295&gt;0),IF(H86/'Validn data - hide'!D295-1&gt;'Validn data - hide'!$L295,1,IF(H86/'Validn data - hide'!D295-1&lt;-'Validn data - hide'!$L295,-1,0)),0)</f>
        <v>0</v>
      </c>
      <c r="R86" s="1051">
        <f>IF(AND(ISNUMBER(I86),'Validn data - hide'!E295&gt;0),IF(I86/'Validn data - hide'!E295-1&gt;'Validn data - hide'!$L295,1,IF(I86/'Validn data - hide'!E295-1&lt;-'Validn data - hide'!$L295,-1,0)),0)</f>
        <v>0</v>
      </c>
      <c r="S86" s="36"/>
      <c r="T86" s="36"/>
    </row>
    <row r="87" spans="1:20" s="493" customFormat="1" x14ac:dyDescent="0.2">
      <c r="A87" s="185"/>
      <c r="B87" s="733" t="s">
        <v>622</v>
      </c>
      <c r="C87" s="734" t="s">
        <v>28</v>
      </c>
      <c r="D87" s="88"/>
      <c r="E87" s="88"/>
      <c r="F87" s="727"/>
      <c r="G87" s="729" t="s">
        <v>626</v>
      </c>
      <c r="H87" s="1402">
        <v>1.9E-3</v>
      </c>
      <c r="I87" s="1403">
        <v>1E-4</v>
      </c>
      <c r="J87" s="88"/>
      <c r="K87" s="88"/>
      <c r="L87" s="88"/>
      <c r="M87" s="88"/>
      <c r="N87" s="88"/>
      <c r="O87" s="185"/>
      <c r="P87" s="36"/>
      <c r="Q87" s="1051">
        <f>IF(AND(ISNUMBER(H87),'Validn data - hide'!D296&gt;0),IF(H87/'Validn data - hide'!D296-1&gt;'Validn data - hide'!$L296,1,IF(H87/'Validn data - hide'!D296-1&lt;-'Validn data - hide'!$L296,-1,0)),0)</f>
        <v>0</v>
      </c>
      <c r="R87" s="1051">
        <f>IF(AND(ISNUMBER(I87),'Validn data - hide'!E296&gt;0),IF(I87/'Validn data - hide'!E296-1&gt;'Validn data - hide'!$L296,1,IF(I87/'Validn data - hide'!E296-1&lt;-'Validn data - hide'!$L296,-1,0)),0)</f>
        <v>0</v>
      </c>
      <c r="S87" s="36"/>
      <c r="T87" s="36"/>
    </row>
    <row r="88" spans="1:20" s="493" customFormat="1" x14ac:dyDescent="0.2">
      <c r="A88" s="185"/>
      <c r="B88" s="733" t="s">
        <v>623</v>
      </c>
      <c r="C88" s="734" t="s">
        <v>28</v>
      </c>
      <c r="D88" s="88"/>
      <c r="E88" s="88"/>
      <c r="F88" s="727"/>
      <c r="G88" s="729" t="s">
        <v>627</v>
      </c>
      <c r="H88" s="1402">
        <v>1.2999999999999999E-3</v>
      </c>
      <c r="I88" s="1403"/>
      <c r="J88" s="88"/>
      <c r="K88" s="88"/>
      <c r="L88" s="88"/>
      <c r="M88" s="88"/>
      <c r="N88" s="88"/>
      <c r="O88" s="185"/>
      <c r="P88" s="36"/>
      <c r="Q88" s="1051">
        <f>IF(AND(ISNUMBER(H88),'Validn data - hide'!D297&gt;0),IF(H88/'Validn data - hide'!D297-1&gt;'Validn data - hide'!$L297,1,IF(H88/'Validn data - hide'!D297-1&lt;-'Validn data - hide'!$L297,-1,0)),0)</f>
        <v>0</v>
      </c>
      <c r="R88" s="1051">
        <f>IF(AND(ISNUMBER(I88),'Validn data - hide'!E297&gt;0),IF(I88/'Validn data - hide'!E297-1&gt;'Validn data - hide'!$L297,1,IF(I88/'Validn data - hide'!E297-1&lt;-'Validn data - hide'!$L297,-1,0)),0)</f>
        <v>0</v>
      </c>
      <c r="S88" s="36"/>
      <c r="T88" s="36"/>
    </row>
    <row r="89" spans="1:20" s="493" customFormat="1" x14ac:dyDescent="0.2">
      <c r="A89" s="185"/>
      <c r="B89" s="733" t="s">
        <v>46</v>
      </c>
      <c r="C89" s="735" t="s">
        <v>25</v>
      </c>
      <c r="D89" s="88"/>
      <c r="E89" s="88"/>
      <c r="F89" s="727"/>
      <c r="G89" s="729" t="s">
        <v>372</v>
      </c>
      <c r="H89" s="1402">
        <v>1E-3</v>
      </c>
      <c r="I89" s="1403"/>
      <c r="J89" s="88"/>
      <c r="K89" s="88"/>
      <c r="L89" s="88"/>
      <c r="M89" s="88"/>
      <c r="N89" s="88"/>
      <c r="O89" s="185"/>
      <c r="P89" s="36"/>
      <c r="Q89" s="1051">
        <f>IF(AND(ISNUMBER(H89),'Validn data - hide'!D298&gt;0),IF(H89/'Validn data - hide'!D298-1&gt;'Validn data - hide'!$L298,1,IF(H89/'Validn data - hide'!D298-1&lt;-'Validn data - hide'!$L298,-1,0)),0)</f>
        <v>0</v>
      </c>
      <c r="R89" s="1051">
        <f>IF(AND(ISNUMBER(I89),'Validn data - hide'!E298&gt;0),IF(I89/'Validn data - hide'!E298-1&gt;'Validn data - hide'!$L298,1,IF(I89/'Validn data - hide'!E298-1&lt;-'Validn data - hide'!$L298,-1,0)),0)</f>
        <v>0</v>
      </c>
      <c r="S89" s="36"/>
      <c r="T89" s="36"/>
    </row>
    <row r="90" spans="1:20" s="493" customFormat="1" x14ac:dyDescent="0.2">
      <c r="A90" s="185"/>
      <c r="B90" s="733" t="s">
        <v>485</v>
      </c>
      <c r="C90" s="735" t="s">
        <v>32</v>
      </c>
      <c r="D90" s="88"/>
      <c r="E90" s="88"/>
      <c r="F90" s="727"/>
      <c r="G90" s="729" t="s">
        <v>628</v>
      </c>
      <c r="H90" s="1402">
        <v>5.0000000000000001E-4</v>
      </c>
      <c r="I90" s="1403">
        <v>1E-4</v>
      </c>
      <c r="J90" s="88"/>
      <c r="K90" s="88"/>
      <c r="L90" s="88"/>
      <c r="M90" s="88"/>
      <c r="N90" s="88"/>
      <c r="O90" s="185"/>
      <c r="P90" s="36"/>
      <c r="Q90" s="1051">
        <f>IF(AND(ISNUMBER(H90),'Validn data - hide'!D299&gt;0),IF(H90/'Validn data - hide'!D299-1&gt;'Validn data - hide'!$L299,1,IF(H90/'Validn data - hide'!D299-1&lt;-'Validn data - hide'!$L299,-1,0)),0)</f>
        <v>0</v>
      </c>
      <c r="R90" s="1051">
        <f>IF(AND(ISNUMBER(I90),'Validn data - hide'!E299&gt;0),IF(I90/'Validn data - hide'!E299-1&gt;'Validn data - hide'!$L299,1,IF(I90/'Validn data - hide'!E299-1&lt;-'Validn data - hide'!$L299,-1,0)),0)</f>
        <v>0</v>
      </c>
      <c r="S90" s="36"/>
      <c r="T90" s="36"/>
    </row>
    <row r="91" spans="1:20" s="493" customFormat="1" x14ac:dyDescent="0.2">
      <c r="A91" s="185"/>
      <c r="B91" s="733" t="s">
        <v>492</v>
      </c>
      <c r="C91" s="735" t="s">
        <v>25</v>
      </c>
      <c r="D91" s="88"/>
      <c r="E91" s="88"/>
      <c r="F91" s="727"/>
      <c r="G91" s="729" t="s">
        <v>629</v>
      </c>
      <c r="H91" s="1402">
        <v>5.0000000000000001E-4</v>
      </c>
      <c r="I91" s="1403">
        <v>2.0000000000000001E-4</v>
      </c>
      <c r="J91" s="88"/>
      <c r="K91" s="88"/>
      <c r="L91" s="88"/>
      <c r="M91" s="88"/>
      <c r="N91" s="88"/>
      <c r="O91" s="185"/>
      <c r="P91" s="36"/>
      <c r="Q91" s="1051">
        <f>IF(AND(ISNUMBER(H91),'Validn data - hide'!D300&gt;0),IF(H91/'Validn data - hide'!D300-1&gt;'Validn data - hide'!$L300,1,IF(H91/'Validn data - hide'!D300-1&lt;-'Validn data - hide'!$L300,-1,0)),0)</f>
        <v>0</v>
      </c>
      <c r="R91" s="1051">
        <f>IF(AND(ISNUMBER(I91),'Validn data - hide'!E300&gt;0),IF(I91/'Validn data - hide'!E300-1&gt;'Validn data - hide'!$L300,1,IF(I91/'Validn data - hide'!E300-1&lt;-'Validn data - hide'!$L300,-1,0)),0)</f>
        <v>0</v>
      </c>
      <c r="S91" s="36"/>
      <c r="T91" s="36"/>
    </row>
    <row r="92" spans="1:20" s="493" customFormat="1" x14ac:dyDescent="0.2">
      <c r="A92" s="185"/>
      <c r="B92" s="733" t="s">
        <v>624</v>
      </c>
      <c r="C92" s="735" t="s">
        <v>32</v>
      </c>
      <c r="D92" s="88"/>
      <c r="E92" s="88"/>
      <c r="F92" s="727"/>
      <c r="G92" s="729" t="s">
        <v>630</v>
      </c>
      <c r="H92" s="1402">
        <v>2.0000000000000001E-4</v>
      </c>
      <c r="I92" s="1403">
        <v>4.0000000000000001E-3</v>
      </c>
      <c r="J92" s="88"/>
      <c r="K92" s="88"/>
      <c r="L92" s="88"/>
      <c r="M92" s="88"/>
      <c r="N92" s="88"/>
      <c r="O92" s="185"/>
      <c r="P92" s="36"/>
      <c r="Q92" s="1051">
        <f>IF(AND(ISNUMBER(H92),'Validn data - hide'!D301&gt;0),IF(H92/'Validn data - hide'!D301-1&gt;'Validn data - hide'!$L301,1,IF(H92/'Validn data - hide'!D301-1&lt;-'Validn data - hide'!$L301,-1,0)),0)</f>
        <v>0</v>
      </c>
      <c r="R92" s="1051">
        <f>IF(AND(ISNUMBER(I92),'Validn data - hide'!E301&gt;0),IF(I92/'Validn data - hide'!E301-1&gt;'Validn data - hide'!$L301,1,IF(I92/'Validn data - hide'!E301-1&lt;-'Validn data - hide'!$L301,-1,0)),0)</f>
        <v>0</v>
      </c>
      <c r="S92" s="36"/>
      <c r="T92" s="36"/>
    </row>
    <row r="93" spans="1:20" s="493" customFormat="1" x14ac:dyDescent="0.2">
      <c r="A93" s="185"/>
      <c r="B93" s="733" t="s">
        <v>625</v>
      </c>
      <c r="C93" s="735" t="s">
        <v>25</v>
      </c>
      <c r="D93" s="88"/>
      <c r="E93" s="88"/>
      <c r="F93" s="727"/>
      <c r="G93" s="729" t="s">
        <v>631</v>
      </c>
      <c r="H93" s="1402">
        <v>2.0000000000000001E-4</v>
      </c>
      <c r="I93" s="1403">
        <v>5.9999999999999995E-4</v>
      </c>
      <c r="J93" s="88"/>
      <c r="K93" s="88"/>
      <c r="L93" s="88"/>
      <c r="M93" s="88"/>
      <c r="N93" s="88"/>
      <c r="O93" s="185"/>
      <c r="P93" s="36"/>
      <c r="Q93" s="1051">
        <f>IF(AND(ISNUMBER(H93),'Validn data - hide'!D302&gt;0),IF(H93/'Validn data - hide'!D302-1&gt;'Validn data - hide'!$L302,1,IF(H93/'Validn data - hide'!D302-1&lt;-'Validn data - hide'!$L302,-1,0)),0)</f>
        <v>0</v>
      </c>
      <c r="R93" s="1051">
        <f>IF(AND(ISNUMBER(I93),'Validn data - hide'!E302&gt;0),IF(I93/'Validn data - hide'!E302-1&gt;'Validn data - hide'!$L302,1,IF(I93/'Validn data - hide'!E302-1&lt;-'Validn data - hide'!$L302,-1,0)),0)</f>
        <v>0</v>
      </c>
      <c r="S93" s="36"/>
      <c r="T93" s="36"/>
    </row>
    <row r="94" spans="1:20" s="493" customFormat="1" x14ac:dyDescent="0.2">
      <c r="A94" s="185"/>
      <c r="B94" s="733" t="s">
        <v>44</v>
      </c>
      <c r="C94" s="735" t="s">
        <v>25</v>
      </c>
      <c r="D94" s="88"/>
      <c r="E94" s="88"/>
      <c r="F94" s="727"/>
      <c r="G94" s="736" t="s">
        <v>42</v>
      </c>
      <c r="H94" s="1402">
        <v>1E-4</v>
      </c>
      <c r="I94" s="1403">
        <v>1E-4</v>
      </c>
      <c r="J94" s="88"/>
      <c r="K94" s="88"/>
      <c r="L94" s="88"/>
      <c r="M94" s="88"/>
      <c r="N94" s="88"/>
      <c r="O94" s="185"/>
      <c r="P94" s="36"/>
      <c r="Q94" s="1051">
        <f>IF(AND(ISNUMBER(H94),'Validn data - hide'!D303&gt;0),IF(H94/'Validn data - hide'!D303-1&gt;'Validn data - hide'!$L303,1,IF(H94/'Validn data - hide'!D303-1&lt;-'Validn data - hide'!$L303,-1,0)),0)</f>
        <v>0</v>
      </c>
      <c r="R94" s="1051">
        <f>IF(AND(ISNUMBER(I94),'Validn data - hide'!E303&gt;0),IF(I94/'Validn data - hide'!E303-1&gt;'Validn data - hide'!$L303,1,IF(I94/'Validn data - hide'!E303-1&lt;-'Validn data - hide'!$L303,-1,0)),0)</f>
        <v>0</v>
      </c>
      <c r="S94" s="36"/>
      <c r="T94" s="36"/>
    </row>
    <row r="95" spans="1:20" s="493" customFormat="1" x14ac:dyDescent="0.2">
      <c r="A95" s="185"/>
      <c r="B95" s="733" t="s">
        <v>626</v>
      </c>
      <c r="C95" s="735" t="s">
        <v>32</v>
      </c>
      <c r="D95" s="88"/>
      <c r="E95" s="88"/>
      <c r="F95" s="727"/>
      <c r="G95" s="729" t="s">
        <v>632</v>
      </c>
      <c r="H95" s="1402">
        <v>1E-4</v>
      </c>
      <c r="I95" s="1403"/>
      <c r="J95" s="88"/>
      <c r="K95" s="88"/>
      <c r="L95" s="88"/>
      <c r="M95" s="88"/>
      <c r="N95" s="88"/>
      <c r="O95" s="185"/>
      <c r="P95" s="36"/>
      <c r="Q95" s="1051">
        <f>IF(AND(ISNUMBER(H95),'Validn data - hide'!D304&gt;0),IF(H95/'Validn data - hide'!D304-1&gt;'Validn data - hide'!$L304,1,IF(H95/'Validn data - hide'!D304-1&lt;-'Validn data - hide'!$L304,-1,0)),0)</f>
        <v>0</v>
      </c>
      <c r="R95" s="1051">
        <f>IF(AND(ISNUMBER(I95),'Validn data - hide'!E304&gt;0),IF(I95/'Validn data - hide'!E304-1&gt;'Validn data - hide'!$L304,1,IF(I95/'Validn data - hide'!E304-1&lt;-'Validn data - hide'!$L304,-1,0)),0)</f>
        <v>0</v>
      </c>
      <c r="S95" s="36"/>
      <c r="T95" s="36"/>
    </row>
    <row r="96" spans="1:20" s="493" customFormat="1" x14ac:dyDescent="0.2">
      <c r="A96" s="185"/>
      <c r="B96" s="733" t="s">
        <v>627</v>
      </c>
      <c r="C96" s="735" t="s">
        <v>20</v>
      </c>
      <c r="D96" s="88"/>
      <c r="E96" s="88"/>
      <c r="F96" s="727"/>
      <c r="G96" s="729" t="s">
        <v>633</v>
      </c>
      <c r="H96" s="1402"/>
      <c r="I96" s="1403">
        <v>2.8E-3</v>
      </c>
      <c r="J96" s="88"/>
      <c r="K96" s="88"/>
      <c r="L96" s="88"/>
      <c r="M96" s="88"/>
      <c r="N96" s="88"/>
      <c r="O96" s="185"/>
      <c r="P96" s="36"/>
      <c r="Q96" s="1051">
        <f>IF(AND(ISNUMBER(H96),'Validn data - hide'!D305&gt;0),IF(H96/'Validn data - hide'!D305-1&gt;'Validn data - hide'!$L305,1,IF(H96/'Validn data - hide'!D305-1&lt;-'Validn data - hide'!$L305,-1,0)),0)</f>
        <v>0</v>
      </c>
      <c r="R96" s="1051">
        <f>IF(AND(ISNUMBER(I96),'Validn data - hide'!E305&gt;0),IF(I96/'Validn data - hide'!E305-1&gt;'Validn data - hide'!$L305,1,IF(I96/'Validn data - hide'!E305-1&lt;-'Validn data - hide'!$L305,-1,0)),0)</f>
        <v>0</v>
      </c>
      <c r="S96" s="36"/>
      <c r="T96" s="36"/>
    </row>
    <row r="97" spans="1:20" s="493" customFormat="1" x14ac:dyDescent="0.2">
      <c r="A97" s="185"/>
      <c r="B97" s="733" t="s">
        <v>372</v>
      </c>
      <c r="C97" s="391" t="s">
        <v>532</v>
      </c>
      <c r="D97" s="88"/>
      <c r="E97" s="88"/>
      <c r="F97" s="727"/>
      <c r="G97" s="490" t="s">
        <v>634</v>
      </c>
      <c r="H97" s="1402"/>
      <c r="I97" s="1403">
        <v>6.4999999999999997E-3</v>
      </c>
      <c r="J97" s="88"/>
      <c r="K97" s="88"/>
      <c r="L97" s="88"/>
      <c r="M97" s="88"/>
      <c r="N97" s="88"/>
      <c r="O97" s="185"/>
      <c r="P97" s="36"/>
      <c r="Q97" s="1051">
        <f>IF(AND(ISNUMBER(H97),'Validn data - hide'!D306&gt;0),IF(H97/'Validn data - hide'!D306-1&gt;'Validn data - hide'!$L306,1,IF(H97/'Validn data - hide'!D306-1&lt;-'Validn data - hide'!$L306,-1,0)),0)</f>
        <v>0</v>
      </c>
      <c r="R97" s="1051">
        <f>IF(AND(ISNUMBER(I97),'Validn data - hide'!E306&gt;0),IF(I97/'Validn data - hide'!E306-1&gt;'Validn data - hide'!$L306,1,IF(I97/'Validn data - hide'!E306-1&lt;-'Validn data - hide'!$L306,-1,0)),0)</f>
        <v>0</v>
      </c>
      <c r="S97" s="36"/>
      <c r="T97" s="36"/>
    </row>
    <row r="98" spans="1:20" s="493" customFormat="1" x14ac:dyDescent="0.2">
      <c r="A98" s="185"/>
      <c r="B98" s="733" t="s">
        <v>628</v>
      </c>
      <c r="C98" s="373" t="s">
        <v>27</v>
      </c>
      <c r="D98" s="88"/>
      <c r="E98" s="88"/>
      <c r="F98" s="727"/>
      <c r="G98" s="729" t="s">
        <v>635</v>
      </c>
      <c r="H98" s="1402"/>
      <c r="I98" s="1403">
        <v>0.12720000000000001</v>
      </c>
      <c r="J98" s="88"/>
      <c r="K98" s="88"/>
      <c r="L98" s="88"/>
      <c r="M98" s="88"/>
      <c r="N98" s="88"/>
      <c r="O98" s="185"/>
      <c r="P98" s="36"/>
      <c r="Q98" s="1051">
        <f>IF(AND(ISNUMBER(H98),'Validn data - hide'!D307&gt;0),IF(H98/'Validn data - hide'!D307-1&gt;'Validn data - hide'!$L307,1,IF(H98/'Validn data - hide'!D307-1&lt;-'Validn data - hide'!$L307,-1,0)),0)</f>
        <v>0</v>
      </c>
      <c r="R98" s="1051">
        <f>IF(AND(ISNUMBER(I98),'Validn data - hide'!E307&gt;0),IF(I98/'Validn data - hide'!E307-1&gt;'Validn data - hide'!$L307,1,IF(I98/'Validn data - hide'!E307-1&lt;-'Validn data - hide'!$L307,-1,0)),0)</f>
        <v>0</v>
      </c>
      <c r="S98" s="36"/>
      <c r="T98" s="36"/>
    </row>
    <row r="99" spans="1:20" s="493" customFormat="1" x14ac:dyDescent="0.2">
      <c r="A99" s="185"/>
      <c r="B99" s="733" t="s">
        <v>629</v>
      </c>
      <c r="C99" s="439" t="s">
        <v>805</v>
      </c>
      <c r="D99" s="88"/>
      <c r="E99" s="88"/>
      <c r="F99" s="727"/>
      <c r="G99" s="729" t="s">
        <v>97</v>
      </c>
      <c r="H99" s="1404"/>
      <c r="I99" s="1405">
        <v>6.3799999999999996E-2</v>
      </c>
      <c r="J99" s="88"/>
      <c r="K99" s="88"/>
      <c r="L99" s="88"/>
      <c r="M99" s="88"/>
      <c r="N99" s="88"/>
      <c r="O99" s="185"/>
      <c r="P99" s="36"/>
      <c r="Q99" s="1051">
        <f>IF(AND(ISNUMBER(H99),'Validn data - hide'!D308&gt;0),IF(H99/'Validn data - hide'!D308-1&gt;'Validn data - hide'!$L308,1,IF(H99/'Validn data - hide'!D308-1&lt;-'Validn data - hide'!$L308,-1,0)),0)</f>
        <v>0</v>
      </c>
      <c r="R99" s="1051">
        <f>IF(AND(ISNUMBER(I99),'Validn data - hide'!E308&gt;0),IF(I99/'Validn data - hide'!E308-1&gt;'Validn data - hide'!$L308,1,IF(I99/'Validn data - hide'!E308-1&lt;-'Validn data - hide'!$L308,-1,0)),0)</f>
        <v>0</v>
      </c>
      <c r="S99" s="36"/>
      <c r="T99" s="36"/>
    </row>
    <row r="100" spans="1:20" s="493" customFormat="1" x14ac:dyDescent="0.2">
      <c r="A100" s="185"/>
      <c r="B100" s="733" t="s">
        <v>630</v>
      </c>
      <c r="C100" s="735" t="s">
        <v>25</v>
      </c>
      <c r="D100" s="88"/>
      <c r="E100" s="88"/>
      <c r="F100" s="88"/>
      <c r="G100" s="763" t="s">
        <v>397</v>
      </c>
      <c r="H100" s="852">
        <f>SUM(H64:H99)</f>
        <v>0.99399999999999977</v>
      </c>
      <c r="I100" s="852">
        <f>SUM(I64:I99)</f>
        <v>1.0001</v>
      </c>
      <c r="J100" s="88"/>
      <c r="K100" s="88"/>
      <c r="L100" s="88"/>
      <c r="M100" s="88"/>
      <c r="N100" s="88"/>
      <c r="O100" s="185"/>
      <c r="P100" s="36"/>
      <c r="Q100" s="36"/>
      <c r="R100" s="36"/>
      <c r="S100" s="36"/>
      <c r="T100" s="36"/>
    </row>
    <row r="101" spans="1:20" s="493" customFormat="1" x14ac:dyDescent="0.2">
      <c r="A101" s="185"/>
      <c r="B101" s="733" t="s">
        <v>631</v>
      </c>
      <c r="C101" s="735" t="s">
        <v>28</v>
      </c>
      <c r="D101" s="88"/>
      <c r="E101" s="88"/>
      <c r="F101" s="88"/>
      <c r="G101" s="88"/>
      <c r="H101" s="88"/>
      <c r="I101" s="88"/>
      <c r="J101" s="88"/>
      <c r="K101" s="88"/>
      <c r="L101" s="88"/>
      <c r="M101" s="88"/>
      <c r="N101" s="88"/>
      <c r="O101" s="185"/>
      <c r="P101" s="36"/>
      <c r="Q101" s="36"/>
      <c r="R101" s="36"/>
      <c r="S101" s="36"/>
      <c r="T101" s="36"/>
    </row>
    <row r="102" spans="1:20" s="493" customFormat="1" x14ac:dyDescent="0.2">
      <c r="A102" s="185"/>
      <c r="B102" s="737" t="s">
        <v>42</v>
      </c>
      <c r="C102" s="735" t="s">
        <v>25</v>
      </c>
      <c r="D102" s="88"/>
      <c r="E102" s="88"/>
      <c r="F102" s="88"/>
      <c r="G102" s="88"/>
      <c r="H102" s="496" t="s">
        <v>17</v>
      </c>
      <c r="I102" s="727"/>
      <c r="J102" s="496" t="s">
        <v>18</v>
      </c>
      <c r="K102" s="88"/>
      <c r="L102" s="88"/>
      <c r="M102" s="88"/>
      <c r="N102" s="88"/>
      <c r="O102" s="185"/>
      <c r="P102" s="36"/>
      <c r="Q102" s="36"/>
      <c r="R102" s="36"/>
      <c r="S102" s="36"/>
      <c r="T102" s="36"/>
    </row>
    <row r="103" spans="1:20" s="493" customFormat="1" x14ac:dyDescent="0.2">
      <c r="A103" s="185"/>
      <c r="B103" s="733" t="s">
        <v>632</v>
      </c>
      <c r="C103" s="735" t="s">
        <v>32</v>
      </c>
      <c r="D103" s="88"/>
      <c r="E103" s="88"/>
      <c r="F103" s="88"/>
      <c r="G103" s="727"/>
      <c r="H103" s="98" t="s">
        <v>806</v>
      </c>
      <c r="I103" s="98" t="s">
        <v>704</v>
      </c>
      <c r="J103" s="98" t="s">
        <v>806</v>
      </c>
      <c r="K103" s="98" t="s">
        <v>704</v>
      </c>
      <c r="L103" s="88"/>
      <c r="M103" s="88"/>
      <c r="N103" s="88"/>
      <c r="O103" s="185"/>
      <c r="P103" s="1051"/>
      <c r="Q103" s="1051"/>
      <c r="R103" s="1051"/>
      <c r="S103" s="36"/>
      <c r="T103" s="36"/>
    </row>
    <row r="104" spans="1:20" s="493" customFormat="1" x14ac:dyDescent="0.2">
      <c r="A104" s="185"/>
      <c r="B104" s="733" t="s">
        <v>633</v>
      </c>
      <c r="C104" s="391" t="s">
        <v>107</v>
      </c>
      <c r="D104" s="88"/>
      <c r="E104" s="88"/>
      <c r="F104" s="88"/>
      <c r="G104" s="491" t="s">
        <v>25</v>
      </c>
      <c r="H104" s="840">
        <f>SUMIF($C$72:$C$107,$G104,H$64:H$99)</f>
        <v>6.9000000000000006E-2</v>
      </c>
      <c r="I104" s="845">
        <f t="shared" ref="I104:I113" si="2">H104/H$114</f>
        <v>7.6024680475980613E-2</v>
      </c>
      <c r="J104" s="840">
        <f>SUMIF($C$72:$C$107,$G104,I$64:I$99)</f>
        <v>0.21319999999999997</v>
      </c>
      <c r="K104" s="845">
        <f t="shared" ref="K104:K113" si="3">J104/J$114</f>
        <v>0.61994765920325678</v>
      </c>
      <c r="L104" s="88"/>
      <c r="M104" s="88"/>
      <c r="N104" s="88"/>
      <c r="O104" s="185"/>
      <c r="P104" s="1051"/>
      <c r="Q104" s="1051"/>
      <c r="R104" s="1051"/>
      <c r="S104" s="36"/>
      <c r="T104" s="36"/>
    </row>
    <row r="105" spans="1:20" s="493" customFormat="1" x14ac:dyDescent="0.25">
      <c r="A105" s="185"/>
      <c r="B105" s="738" t="s">
        <v>634</v>
      </c>
      <c r="C105" s="735" t="s">
        <v>25</v>
      </c>
      <c r="D105" s="88"/>
      <c r="E105" s="88"/>
      <c r="F105" s="88"/>
      <c r="G105" s="491" t="s">
        <v>28</v>
      </c>
      <c r="H105" s="841">
        <f>(SUMIF($C$72:$C$107,$G105,H$64:H$99)+H91/2)</f>
        <v>1.805E-2</v>
      </c>
      <c r="I105" s="846">
        <f t="shared" si="2"/>
        <v>1.9887615689731158E-2</v>
      </c>
      <c r="J105" s="841">
        <f>(SUMIF($C$72:$C$107,$G105,I$64:I$99)+I91/2)</f>
        <v>1.09E-2</v>
      </c>
      <c r="K105" s="846">
        <f t="shared" si="3"/>
        <v>3.1695260250072702E-2</v>
      </c>
      <c r="L105" s="88"/>
      <c r="M105" s="88"/>
      <c r="N105" s="88"/>
      <c r="O105" s="185"/>
      <c r="P105" s="1051"/>
      <c r="Q105" s="1051"/>
      <c r="R105" s="1051"/>
      <c r="S105" s="36"/>
      <c r="T105" s="36"/>
    </row>
    <row r="106" spans="1:20" s="493" customFormat="1" x14ac:dyDescent="0.2">
      <c r="A106" s="185"/>
      <c r="B106" s="733" t="s">
        <v>635</v>
      </c>
      <c r="C106" s="391" t="s">
        <v>532</v>
      </c>
      <c r="D106" s="88"/>
      <c r="E106" s="88"/>
      <c r="F106" s="88"/>
      <c r="G106" s="838" t="s">
        <v>61</v>
      </c>
      <c r="H106" s="841">
        <f>SUMIF($C$72:$C$107,$G106,H$64:H$99)</f>
        <v>0.3201</v>
      </c>
      <c r="I106" s="846">
        <f t="shared" si="2"/>
        <v>0.35268840899074483</v>
      </c>
      <c r="J106" s="841">
        <f>SUMIF($C$72:$C$107,$G106,I$64:I$99)</f>
        <v>0</v>
      </c>
      <c r="K106" s="846">
        <f t="shared" si="3"/>
        <v>0</v>
      </c>
      <c r="L106" s="88"/>
      <c r="M106" s="88"/>
      <c r="N106" s="88"/>
      <c r="O106" s="185"/>
      <c r="P106" s="1051"/>
      <c r="Q106" s="1051"/>
      <c r="R106" s="1051"/>
      <c r="S106" s="36"/>
      <c r="T106" s="36"/>
    </row>
    <row r="107" spans="1:20" s="493" customFormat="1" x14ac:dyDescent="0.2">
      <c r="A107" s="185"/>
      <c r="B107" s="739" t="s">
        <v>97</v>
      </c>
      <c r="C107" s="440" t="s">
        <v>532</v>
      </c>
      <c r="D107" s="88"/>
      <c r="E107" s="88"/>
      <c r="F107" s="88"/>
      <c r="G107" s="838" t="s">
        <v>63</v>
      </c>
      <c r="H107" s="841">
        <f>SUMIF($C$72:$C$107,$G107,H$64:H$99)</f>
        <v>4.5899999999999996E-2</v>
      </c>
      <c r="I107" s="846">
        <f t="shared" si="2"/>
        <v>5.0572939620978405E-2</v>
      </c>
      <c r="J107" s="841">
        <f>SUMIF($C$72:$C$107,$G107,I$64:I$99)</f>
        <v>1.84E-2</v>
      </c>
      <c r="K107" s="846">
        <f t="shared" si="3"/>
        <v>5.3503925559755756E-2</v>
      </c>
      <c r="L107" s="88"/>
      <c r="M107" s="88"/>
      <c r="N107" s="88"/>
      <c r="O107" s="185"/>
      <c r="P107" s="1051"/>
      <c r="Q107" s="1051"/>
      <c r="R107" s="1051"/>
      <c r="S107" s="36"/>
      <c r="T107" s="36"/>
    </row>
    <row r="108" spans="1:20" s="493" customFormat="1" x14ac:dyDescent="0.25">
      <c r="A108" s="185"/>
      <c r="B108" s="1456" t="s">
        <v>917</v>
      </c>
      <c r="C108" s="2623" t="s">
        <v>916</v>
      </c>
      <c r="D108" s="88"/>
      <c r="E108" s="88"/>
      <c r="F108" s="88"/>
      <c r="G108" s="838" t="s">
        <v>67</v>
      </c>
      <c r="H108" s="841">
        <f>SUMIF($C$72:$C$107,$G108,H$64:H$99)</f>
        <v>7.9399999999999998E-2</v>
      </c>
      <c r="I108" s="846">
        <f t="shared" si="2"/>
        <v>8.7483472895548697E-2</v>
      </c>
      <c r="J108" s="841">
        <f>SUMIF($C$72:$C$107,$G108,I$64:I$99)</f>
        <v>7.6700000000000004E-2</v>
      </c>
      <c r="K108" s="846">
        <f t="shared" si="3"/>
        <v>0.22302995056702535</v>
      </c>
      <c r="L108" s="88"/>
      <c r="M108" s="88"/>
      <c r="N108" s="88"/>
      <c r="O108" s="185"/>
      <c r="P108" s="1051"/>
      <c r="Q108" s="1051"/>
      <c r="R108" s="1051"/>
      <c r="S108" s="36"/>
      <c r="T108" s="36"/>
    </row>
    <row r="109" spans="1:20" s="493" customFormat="1" x14ac:dyDescent="0.25">
      <c r="A109" s="185"/>
      <c r="B109" s="1489"/>
      <c r="C109" s="2624"/>
      <c r="D109" s="88"/>
      <c r="E109" s="88"/>
      <c r="F109" s="88"/>
      <c r="G109" s="839" t="s">
        <v>65</v>
      </c>
      <c r="H109" s="841">
        <f>SUMIF($C$72:$C$107,$G109,H$64:H$99)</f>
        <v>1.9299999999999998E-2</v>
      </c>
      <c r="I109" s="846">
        <f t="shared" si="2"/>
        <v>2.1264874394006168E-2</v>
      </c>
      <c r="J109" s="841">
        <f>SUMIF($C$72:$C$107,$G109,I$64:I$99)</f>
        <v>6.9999999999999999E-4</v>
      </c>
      <c r="K109" s="846">
        <f t="shared" si="3"/>
        <v>2.0354754289037516E-3</v>
      </c>
      <c r="L109" s="88"/>
      <c r="M109" s="88"/>
      <c r="N109" s="88"/>
      <c r="O109" s="185"/>
      <c r="P109" s="1051"/>
      <c r="Q109" s="1051"/>
      <c r="R109" s="1051"/>
      <c r="S109" s="36"/>
      <c r="T109" s="36"/>
    </row>
    <row r="110" spans="1:20" s="493" customFormat="1" x14ac:dyDescent="0.25">
      <c r="A110" s="185"/>
      <c r="B110" s="1490"/>
      <c r="C110" s="2625"/>
      <c r="D110" s="88"/>
      <c r="E110" s="88"/>
      <c r="F110" s="88"/>
      <c r="G110" s="491" t="s">
        <v>20</v>
      </c>
      <c r="H110" s="841">
        <f>SUMIF($C$72:$C$107,$G110,H$64:H$99)</f>
        <v>0.1691</v>
      </c>
      <c r="I110" s="846">
        <f t="shared" si="2"/>
        <v>0.18631555751432349</v>
      </c>
      <c r="J110" s="841">
        <f>SUMIF($C$72:$C$107,$G110,I$64:I$99)</f>
        <v>5.1999999999999998E-3</v>
      </c>
      <c r="K110" s="846">
        <f t="shared" si="3"/>
        <v>1.5120674614713583E-2</v>
      </c>
      <c r="L110" s="88"/>
      <c r="M110" s="88"/>
      <c r="N110" s="88"/>
      <c r="O110" s="185"/>
      <c r="P110" s="1051"/>
      <c r="Q110" s="1051"/>
      <c r="R110" s="1051"/>
      <c r="S110" s="36"/>
      <c r="T110" s="36"/>
    </row>
    <row r="111" spans="1:20" s="493" customFormat="1" x14ac:dyDescent="0.25">
      <c r="A111" s="185"/>
      <c r="B111" s="491"/>
      <c r="C111" s="325"/>
      <c r="D111" s="88"/>
      <c r="E111" s="88"/>
      <c r="F111" s="88"/>
      <c r="G111" s="491" t="s">
        <v>32</v>
      </c>
      <c r="H111" s="841">
        <f>(SUMIF($C$72:$C$107,$G111,H$64:H$99)+H91/2)</f>
        <v>0.11044999999999999</v>
      </c>
      <c r="I111" s="846">
        <f t="shared" si="2"/>
        <v>0.12169457910973996</v>
      </c>
      <c r="J111" s="841">
        <f>(SUMIF($C$72:$C$107,$G111,I$64:I$99)+I91/2)</f>
        <v>7.7000000000000011E-3</v>
      </c>
      <c r="K111" s="846">
        <f t="shared" si="3"/>
        <v>2.239022971794127E-2</v>
      </c>
      <c r="L111" s="88"/>
      <c r="M111" s="88"/>
      <c r="N111" s="88"/>
      <c r="O111" s="185"/>
      <c r="P111" s="1051"/>
      <c r="Q111" s="1051"/>
      <c r="R111" s="1051"/>
      <c r="S111" s="36"/>
      <c r="T111" s="36"/>
    </row>
    <row r="112" spans="1:20" s="493" customFormat="1" x14ac:dyDescent="0.25">
      <c r="A112" s="185"/>
      <c r="B112" s="491"/>
      <c r="C112" s="325"/>
      <c r="D112" s="88"/>
      <c r="E112" s="88"/>
      <c r="F112" s="88"/>
      <c r="G112" s="491" t="s">
        <v>30</v>
      </c>
      <c r="H112" s="841">
        <f>SUMIF($C$72:$C$107,$G112,H$64:H$99)</f>
        <v>1.11E-2</v>
      </c>
      <c r="I112" s="846">
        <f t="shared" si="2"/>
        <v>1.2230057293962098E-2</v>
      </c>
      <c r="J112" s="841">
        <f>SUMIF($C$72:$C$107,$G112,I$64:I$99)</f>
        <v>8.0000000000000004E-4</v>
      </c>
      <c r="K112" s="846">
        <f t="shared" si="3"/>
        <v>2.3262576330328592E-3</v>
      </c>
      <c r="L112" s="88"/>
      <c r="M112" s="88"/>
      <c r="N112" s="88"/>
      <c r="O112" s="185"/>
      <c r="P112" s="1051"/>
      <c r="Q112" s="1051"/>
      <c r="R112" s="1051"/>
      <c r="S112" s="36"/>
      <c r="T112" s="36"/>
    </row>
    <row r="113" spans="1:20" s="493" customFormat="1" x14ac:dyDescent="0.25">
      <c r="A113" s="185"/>
      <c r="B113" s="491"/>
      <c r="C113" s="325"/>
      <c r="D113" s="88"/>
      <c r="E113" s="88"/>
      <c r="F113" s="88"/>
      <c r="G113" s="844" t="s">
        <v>27</v>
      </c>
      <c r="H113" s="842">
        <f>SUMIF($C$72:$C$107,$G113,H$64:H$99)</f>
        <v>6.5199999999999994E-2</v>
      </c>
      <c r="I113" s="847">
        <f t="shared" si="2"/>
        <v>7.1837814014984569E-2</v>
      </c>
      <c r="J113" s="842">
        <f>SUMIF($C$72:$C$107,$G113,I$64:I$99)</f>
        <v>1.03E-2</v>
      </c>
      <c r="K113" s="847">
        <f t="shared" si="3"/>
        <v>2.995056702529806E-2</v>
      </c>
      <c r="L113" s="88"/>
      <c r="M113" s="88"/>
      <c r="N113" s="88"/>
      <c r="O113" s="185"/>
      <c r="P113" s="1051"/>
      <c r="Q113" s="1051"/>
      <c r="R113" s="1051"/>
      <c r="S113" s="36"/>
      <c r="T113" s="36"/>
    </row>
    <row r="114" spans="1:20" s="493" customFormat="1" x14ac:dyDescent="0.25">
      <c r="A114" s="185"/>
      <c r="B114" s="491"/>
      <c r="C114" s="325"/>
      <c r="D114" s="88"/>
      <c r="E114" s="88"/>
      <c r="F114" s="88"/>
      <c r="G114" s="763" t="s">
        <v>397</v>
      </c>
      <c r="H114" s="843">
        <f>SUM(H104:H113)</f>
        <v>0.90759999999999996</v>
      </c>
      <c r="I114" s="843">
        <f>SUM(I104:I113)</f>
        <v>1</v>
      </c>
      <c r="J114" s="843">
        <f>SUM(J104:J113)</f>
        <v>0.34389999999999993</v>
      </c>
      <c r="K114" s="843">
        <f>SUM(K104:K113)</f>
        <v>1</v>
      </c>
      <c r="L114" s="88"/>
      <c r="M114" s="88"/>
      <c r="N114" s="88"/>
      <c r="O114" s="185"/>
      <c r="P114" s="1051"/>
      <c r="Q114" s="1051"/>
      <c r="R114" s="1051"/>
      <c r="S114" s="36"/>
      <c r="T114" s="36"/>
    </row>
    <row r="115" spans="1:20" s="493" customFormat="1" x14ac:dyDescent="0.25">
      <c r="A115" s="185"/>
      <c r="B115" s="491"/>
      <c r="C115" s="325"/>
      <c r="D115" s="88"/>
      <c r="E115" s="88"/>
      <c r="F115" s="88"/>
      <c r="G115" s="88"/>
      <c r="H115" s="88"/>
      <c r="I115" s="88"/>
      <c r="J115" s="88"/>
      <c r="K115" s="88"/>
      <c r="L115" s="88"/>
      <c r="M115" s="88"/>
      <c r="N115" s="88"/>
      <c r="O115" s="185"/>
      <c r="P115" s="1051"/>
      <c r="Q115" s="1051"/>
      <c r="R115" s="1051"/>
      <c r="S115" s="36"/>
      <c r="T115" s="36"/>
    </row>
    <row r="116" spans="1:20" s="493" customFormat="1" x14ac:dyDescent="0.25">
      <c r="A116" s="185"/>
      <c r="B116" s="494"/>
      <c r="C116" s="64"/>
      <c r="D116" s="11"/>
      <c r="E116" s="11"/>
      <c r="F116" s="11"/>
      <c r="G116" s="11"/>
      <c r="H116" s="11"/>
      <c r="I116" s="11"/>
      <c r="J116" s="11"/>
      <c r="K116" s="11"/>
      <c r="L116" s="11"/>
      <c r="M116" s="11"/>
      <c r="N116" s="11"/>
      <c r="O116" s="185"/>
      <c r="P116" s="1051"/>
      <c r="Q116" s="1051"/>
      <c r="R116" s="1051"/>
      <c r="S116" s="36"/>
      <c r="T116" s="36"/>
    </row>
    <row r="117" spans="1:20" s="493" customFormat="1" ht="12.75" customHeight="1" x14ac:dyDescent="0.2">
      <c r="A117" s="185"/>
      <c r="B117" s="97" t="s">
        <v>722</v>
      </c>
      <c r="C117" s="37" t="s">
        <v>639</v>
      </c>
      <c r="D117" s="11"/>
      <c r="E117" s="11"/>
      <c r="F117" s="2" t="s">
        <v>103</v>
      </c>
      <c r="G117" s="34" t="s">
        <v>16</v>
      </c>
      <c r="H117" s="495" t="s">
        <v>17</v>
      </c>
      <c r="I117" s="495" t="s">
        <v>18</v>
      </c>
      <c r="J117" s="11"/>
      <c r="K117" s="11"/>
      <c r="L117" s="11"/>
      <c r="M117" s="2679" t="s">
        <v>393</v>
      </c>
      <c r="N117" s="2682" t="s">
        <v>427</v>
      </c>
      <c r="O117" s="185"/>
      <c r="P117" s="1051"/>
      <c r="Q117" s="1051"/>
      <c r="R117" s="1051"/>
      <c r="S117" s="36"/>
      <c r="T117" s="36"/>
    </row>
    <row r="118" spans="1:20" s="493" customFormat="1" x14ac:dyDescent="0.25">
      <c r="A118" s="185"/>
      <c r="B118" s="494"/>
      <c r="C118" s="64"/>
      <c r="D118" s="11"/>
      <c r="E118" s="11"/>
      <c r="F118" s="494" t="s">
        <v>25</v>
      </c>
      <c r="G118" s="745">
        <f t="shared" ref="G118:G127" si="4">J48*G$43</f>
        <v>4131.7523341282022</v>
      </c>
      <c r="H118" s="848">
        <f t="shared" ref="H118:H127" si="5">I104*H$43</f>
        <v>10455.23944468929</v>
      </c>
      <c r="I118" s="849">
        <f t="shared" ref="I118:I127" si="6">K104*I$43</f>
        <v>201926.49979645247</v>
      </c>
      <c r="J118" s="11"/>
      <c r="K118" s="11"/>
      <c r="L118" s="11"/>
      <c r="M118" s="2680"/>
      <c r="N118" s="2683"/>
      <c r="O118" s="185"/>
      <c r="P118" s="1051"/>
      <c r="Q118" s="1051"/>
      <c r="R118" s="1051"/>
      <c r="S118" s="36"/>
      <c r="T118" s="36"/>
    </row>
    <row r="119" spans="1:20" s="493" customFormat="1" x14ac:dyDescent="0.25">
      <c r="A119" s="185"/>
      <c r="B119" s="494"/>
      <c r="C119" s="68"/>
      <c r="D119" s="11"/>
      <c r="E119" s="11"/>
      <c r="F119" s="494" t="s">
        <v>28</v>
      </c>
      <c r="G119" s="746">
        <f t="shared" si="4"/>
        <v>9309.362167961277</v>
      </c>
      <c r="H119" s="181">
        <f t="shared" si="5"/>
        <v>2735.030028646981</v>
      </c>
      <c r="I119" s="182">
        <f t="shared" si="6"/>
        <v>10323.634370456532</v>
      </c>
      <c r="J119" s="11"/>
      <c r="K119" s="11"/>
      <c r="L119" s="11"/>
      <c r="M119" s="2681"/>
      <c r="N119" s="2684"/>
      <c r="O119" s="185"/>
      <c r="P119" s="1051"/>
      <c r="Q119" s="1051"/>
      <c r="R119" s="1051"/>
      <c r="S119" s="36"/>
      <c r="T119" s="36"/>
    </row>
    <row r="120" spans="1:20" s="493" customFormat="1" x14ac:dyDescent="0.25">
      <c r="A120" s="185"/>
      <c r="B120" s="494"/>
      <c r="C120" s="68"/>
      <c r="D120" s="11"/>
      <c r="E120" s="11"/>
      <c r="F120" s="836" t="s">
        <v>61</v>
      </c>
      <c r="G120" s="746">
        <f t="shared" si="4"/>
        <v>126504.46232312593</v>
      </c>
      <c r="H120" s="181">
        <f t="shared" si="5"/>
        <v>48503.21951079771</v>
      </c>
      <c r="I120" s="182">
        <f t="shared" si="6"/>
        <v>0</v>
      </c>
      <c r="J120" s="11"/>
      <c r="K120" s="11"/>
      <c r="L120" s="11"/>
      <c r="M120" s="113" t="s">
        <v>100</v>
      </c>
      <c r="N120" s="37" t="s">
        <v>102</v>
      </c>
      <c r="O120" s="185"/>
      <c r="P120" s="1051"/>
      <c r="Q120" s="1051"/>
      <c r="R120" s="1051"/>
      <c r="S120" s="36"/>
      <c r="T120" s="36"/>
    </row>
    <row r="121" spans="1:20" s="493" customFormat="1" x14ac:dyDescent="0.25">
      <c r="A121" s="185"/>
      <c r="B121" s="494"/>
      <c r="C121" s="64"/>
      <c r="D121" s="11"/>
      <c r="E121" s="11"/>
      <c r="F121" s="836" t="s">
        <v>63</v>
      </c>
      <c r="G121" s="746">
        <f t="shared" si="4"/>
        <v>20317.935167796008</v>
      </c>
      <c r="H121" s="181">
        <f t="shared" si="5"/>
        <v>6955.0071088585282</v>
      </c>
      <c r="I121" s="182">
        <f t="shared" si="6"/>
        <v>17427.05251526607</v>
      </c>
      <c r="J121" s="11"/>
      <c r="K121" s="11"/>
      <c r="L121" s="11"/>
      <c r="M121" s="11"/>
      <c r="N121" s="11"/>
      <c r="O121" s="185"/>
      <c r="P121" s="1051"/>
      <c r="Q121" s="1051"/>
      <c r="R121" s="1051"/>
      <c r="S121" s="36"/>
      <c r="T121" s="36"/>
    </row>
    <row r="122" spans="1:20" s="493" customFormat="1" x14ac:dyDescent="0.25">
      <c r="A122" s="185"/>
      <c r="B122" s="494"/>
      <c r="C122" s="64"/>
      <c r="D122" s="11"/>
      <c r="E122" s="11"/>
      <c r="F122" s="836" t="s">
        <v>67</v>
      </c>
      <c r="G122" s="746">
        <f t="shared" si="4"/>
        <v>4172.3562135285083</v>
      </c>
      <c r="H122" s="181">
        <f t="shared" si="5"/>
        <v>12031.101621859849</v>
      </c>
      <c r="I122" s="182">
        <f t="shared" si="6"/>
        <v>72644.2895609189</v>
      </c>
      <c r="J122" s="11"/>
      <c r="K122" s="11"/>
      <c r="L122" s="11"/>
      <c r="M122" s="11"/>
      <c r="N122" s="11"/>
      <c r="O122" s="185"/>
      <c r="P122" s="1051"/>
      <c r="Q122" s="1051"/>
      <c r="R122" s="1051"/>
      <c r="S122" s="36"/>
      <c r="T122" s="36"/>
    </row>
    <row r="123" spans="1:20" s="493" customFormat="1" x14ac:dyDescent="0.25">
      <c r="A123" s="185"/>
      <c r="B123" s="494"/>
      <c r="C123" s="64"/>
      <c r="D123" s="11"/>
      <c r="E123" s="11"/>
      <c r="F123" s="837" t="s">
        <v>65</v>
      </c>
      <c r="G123" s="746">
        <f t="shared" si="4"/>
        <v>15641.106513233382</v>
      </c>
      <c r="H123" s="181">
        <f t="shared" si="5"/>
        <v>2924.4365403261345</v>
      </c>
      <c r="I123" s="182">
        <f t="shared" si="6"/>
        <v>662.98569351555705</v>
      </c>
      <c r="J123" s="11"/>
      <c r="K123" s="11"/>
      <c r="L123" s="11"/>
      <c r="M123" s="11"/>
      <c r="N123" s="11"/>
      <c r="O123" s="185"/>
      <c r="P123" s="1051"/>
      <c r="Q123" s="1051"/>
      <c r="R123" s="1051"/>
      <c r="S123" s="36"/>
      <c r="T123" s="36"/>
    </row>
    <row r="124" spans="1:20" s="493" customFormat="1" x14ac:dyDescent="0.25">
      <c r="A124" s="185"/>
      <c r="B124" s="494"/>
      <c r="C124" s="64"/>
      <c r="D124" s="11"/>
      <c r="E124" s="11"/>
      <c r="F124" s="494" t="s">
        <v>20</v>
      </c>
      <c r="G124" s="746">
        <f t="shared" si="4"/>
        <v>37148.858389517169</v>
      </c>
      <c r="H124" s="181">
        <f t="shared" si="5"/>
        <v>25622.912899955929</v>
      </c>
      <c r="I124" s="182">
        <f t="shared" si="6"/>
        <v>4925.0365804012808</v>
      </c>
      <c r="J124" s="11"/>
      <c r="K124" s="11"/>
      <c r="L124" s="11"/>
      <c r="M124" s="11"/>
      <c r="N124" s="11"/>
      <c r="O124" s="185"/>
      <c r="P124" s="1051"/>
      <c r="Q124" s="1051"/>
      <c r="R124" s="1051"/>
      <c r="S124" s="36"/>
      <c r="T124" s="36"/>
    </row>
    <row r="125" spans="1:20" s="493" customFormat="1" x14ac:dyDescent="0.25">
      <c r="A125" s="185"/>
      <c r="B125" s="494"/>
      <c r="C125" s="64"/>
      <c r="D125" s="11"/>
      <c r="E125" s="11"/>
      <c r="F125" s="494" t="s">
        <v>32</v>
      </c>
      <c r="G125" s="746">
        <f t="shared" si="4"/>
        <v>22965.80027293117</v>
      </c>
      <c r="H125" s="181">
        <f t="shared" si="5"/>
        <v>16735.959371970028</v>
      </c>
      <c r="I125" s="182">
        <f t="shared" si="6"/>
        <v>7292.8426286711283</v>
      </c>
      <c r="J125" s="11"/>
      <c r="K125" s="11"/>
      <c r="L125" s="11"/>
      <c r="M125" s="11"/>
      <c r="N125" s="11"/>
      <c r="O125" s="185"/>
      <c r="P125" s="1051"/>
      <c r="Q125" s="1051"/>
      <c r="R125" s="1051"/>
      <c r="S125" s="36"/>
      <c r="T125" s="36"/>
    </row>
    <row r="126" spans="1:20" s="493" customFormat="1" x14ac:dyDescent="0.25">
      <c r="A126" s="185"/>
      <c r="B126" s="494"/>
      <c r="C126" s="64"/>
      <c r="D126" s="11"/>
      <c r="E126" s="11"/>
      <c r="F126" s="494" t="s">
        <v>30</v>
      </c>
      <c r="G126" s="746">
        <f t="shared" si="4"/>
        <v>10041.462417754688</v>
      </c>
      <c r="H126" s="181">
        <f t="shared" si="5"/>
        <v>1681.929823710886</v>
      </c>
      <c r="I126" s="182">
        <f t="shared" si="6"/>
        <v>757.69793544635104</v>
      </c>
      <c r="J126" s="11"/>
      <c r="K126" s="11"/>
      <c r="L126" s="11"/>
      <c r="M126" s="11"/>
      <c r="N126" s="11"/>
      <c r="O126" s="185"/>
      <c r="P126" s="1051"/>
      <c r="Q126" s="1051"/>
      <c r="R126" s="1051"/>
      <c r="S126" s="36"/>
      <c r="T126" s="1052"/>
    </row>
    <row r="127" spans="1:20" s="493" customFormat="1" x14ac:dyDescent="0.25">
      <c r="A127" s="185"/>
      <c r="B127" s="494"/>
      <c r="C127" s="64"/>
      <c r="D127" s="11"/>
      <c r="E127" s="11"/>
      <c r="F127" s="835" t="s">
        <v>27</v>
      </c>
      <c r="G127" s="747">
        <f t="shared" si="4"/>
        <v>10339.224200023609</v>
      </c>
      <c r="H127" s="850">
        <f t="shared" si="5"/>
        <v>9879.4436491846627</v>
      </c>
      <c r="I127" s="851">
        <f t="shared" si="6"/>
        <v>9755.3609188717692</v>
      </c>
      <c r="J127" s="11"/>
      <c r="K127" s="11"/>
      <c r="L127" s="11"/>
      <c r="M127" s="11"/>
      <c r="N127" s="11"/>
      <c r="O127" s="185"/>
      <c r="P127" s="1051"/>
      <c r="Q127" s="1051"/>
      <c r="R127" s="1051"/>
      <c r="S127" s="36"/>
      <c r="T127" s="36"/>
    </row>
    <row r="128" spans="1:20" s="493" customFormat="1" x14ac:dyDescent="0.25">
      <c r="A128" s="185"/>
      <c r="B128" s="494"/>
      <c r="C128" s="64"/>
      <c r="D128" s="11"/>
      <c r="E128" s="11"/>
      <c r="F128" s="33" t="s">
        <v>37</v>
      </c>
      <c r="G128" s="371" t="str">
        <f>IF(SUM(G118:G127)=G43,"Ok","Error")</f>
        <v>Ok</v>
      </c>
      <c r="H128" s="371" t="str">
        <f>IF(SUM(H118:H127)=H43,"Ok","Error")</f>
        <v>Ok</v>
      </c>
      <c r="I128" s="371" t="str">
        <f>IF(SUM(I118:I127)=I43,"Ok","Error")</f>
        <v>Ok</v>
      </c>
      <c r="J128" s="11"/>
      <c r="K128" s="11"/>
      <c r="L128" s="11"/>
      <c r="M128" s="11"/>
      <c r="N128" s="11"/>
      <c r="O128" s="185"/>
      <c r="P128" s="1051"/>
      <c r="Q128" s="1051"/>
      <c r="R128" s="1051"/>
      <c r="S128" s="36"/>
      <c r="T128" s="36"/>
    </row>
    <row r="129" spans="1:20" s="188" customFormat="1" x14ac:dyDescent="0.25">
      <c r="A129" s="185"/>
      <c r="B129" s="186"/>
      <c r="C129" s="187"/>
      <c r="D129" s="187"/>
      <c r="E129" s="187"/>
      <c r="F129" s="96"/>
      <c r="G129" s="620"/>
      <c r="H129" s="620"/>
      <c r="I129" s="620"/>
      <c r="J129" s="187"/>
      <c r="K129" s="187"/>
      <c r="L129" s="187"/>
      <c r="M129" s="186"/>
      <c r="N129" s="187"/>
      <c r="O129" s="185"/>
      <c r="P129" s="1051"/>
      <c r="Q129" s="1051"/>
      <c r="R129" s="1051"/>
      <c r="S129" s="36"/>
      <c r="T129" s="36"/>
    </row>
    <row r="130" spans="1:20" s="188" customFormat="1" x14ac:dyDescent="0.25">
      <c r="A130" s="185"/>
      <c r="B130" s="100" t="s">
        <v>723</v>
      </c>
      <c r="C130" s="94" t="s">
        <v>707</v>
      </c>
      <c r="D130" s="187"/>
      <c r="E130" s="187"/>
      <c r="F130" s="89" t="s">
        <v>103</v>
      </c>
      <c r="G130" s="95" t="s">
        <v>16</v>
      </c>
      <c r="H130" s="95" t="s">
        <v>17</v>
      </c>
      <c r="I130" s="95" t="s">
        <v>18</v>
      </c>
      <c r="J130" s="187"/>
      <c r="K130" s="187"/>
      <c r="L130" s="187"/>
      <c r="M130" s="2609" t="s">
        <v>393</v>
      </c>
      <c r="N130" s="2612" t="s">
        <v>713</v>
      </c>
      <c r="O130" s="185"/>
      <c r="P130" s="1051"/>
      <c r="Q130" s="1051"/>
      <c r="R130" s="1051"/>
      <c r="S130" s="36"/>
      <c r="T130" s="36"/>
    </row>
    <row r="131" spans="1:20" s="188" customFormat="1" x14ac:dyDescent="0.25">
      <c r="A131" s="185"/>
      <c r="B131" s="186"/>
      <c r="C131" s="187"/>
      <c r="D131" s="187"/>
      <c r="E131" s="187"/>
      <c r="F131" s="186" t="s">
        <v>25</v>
      </c>
      <c r="G131" s="990">
        <f t="shared" ref="G131:I132" si="7">G118</f>
        <v>4131.7523341282022</v>
      </c>
      <c r="H131" s="991">
        <f t="shared" si="7"/>
        <v>10455.23944468929</v>
      </c>
      <c r="I131" s="992">
        <f t="shared" si="7"/>
        <v>201926.49979645247</v>
      </c>
      <c r="J131" s="187"/>
      <c r="K131" s="187"/>
      <c r="L131" s="187"/>
      <c r="M131" s="2610"/>
      <c r="N131" s="2613"/>
      <c r="O131" s="185"/>
      <c r="P131" s="1051"/>
      <c r="Q131" s="1051"/>
      <c r="R131" s="1051"/>
      <c r="S131" s="36"/>
      <c r="T131" s="36"/>
    </row>
    <row r="132" spans="1:20" s="188" customFormat="1" x14ac:dyDescent="0.25">
      <c r="A132" s="185"/>
      <c r="B132" s="186"/>
      <c r="C132" s="187"/>
      <c r="D132" s="187"/>
      <c r="E132" s="187"/>
      <c r="F132" s="186" t="s">
        <v>28</v>
      </c>
      <c r="G132" s="993">
        <f t="shared" si="7"/>
        <v>9309.362167961277</v>
      </c>
      <c r="H132" s="621">
        <f t="shared" si="7"/>
        <v>2735.030028646981</v>
      </c>
      <c r="I132" s="994">
        <f t="shared" si="7"/>
        <v>10323.634370456532</v>
      </c>
      <c r="J132" s="187"/>
      <c r="K132" s="187"/>
      <c r="L132" s="187"/>
      <c r="M132" s="2611"/>
      <c r="N132" s="2614"/>
      <c r="O132" s="185"/>
      <c r="P132" s="1051"/>
      <c r="Q132" s="1051"/>
      <c r="R132" s="1051"/>
      <c r="S132" s="36"/>
      <c r="T132" s="36"/>
    </row>
    <row r="133" spans="1:20" s="188" customFormat="1" x14ac:dyDescent="0.25">
      <c r="A133" s="185"/>
      <c r="B133" s="186"/>
      <c r="C133" s="187"/>
      <c r="D133" s="187"/>
      <c r="E133" s="187"/>
      <c r="F133" s="813" t="s">
        <v>61</v>
      </c>
      <c r="G133" s="993">
        <f>G120-'Other national data'!G338</f>
        <v>88152.21026393256</v>
      </c>
      <c r="H133" s="621">
        <f>H120-'Other national data'!H338</f>
        <v>33798.539010207656</v>
      </c>
      <c r="I133" s="994">
        <f>I120-'Other national data'!I338</f>
        <v>0</v>
      </c>
      <c r="J133" s="187"/>
      <c r="K133" s="187"/>
      <c r="L133" s="187"/>
      <c r="M133" s="114" t="s">
        <v>100</v>
      </c>
      <c r="N133" s="94" t="s">
        <v>102</v>
      </c>
      <c r="O133" s="185"/>
      <c r="P133" s="1051"/>
      <c r="Q133" s="1051"/>
      <c r="R133" s="1051"/>
      <c r="S133" s="36"/>
      <c r="T133" s="36"/>
    </row>
    <row r="134" spans="1:20" s="188" customFormat="1" x14ac:dyDescent="0.25">
      <c r="A134" s="185"/>
      <c r="B134" s="186"/>
      <c r="C134" s="187"/>
      <c r="D134" s="187"/>
      <c r="E134" s="187"/>
      <c r="F134" s="813" t="s">
        <v>63</v>
      </c>
      <c r="G134" s="993">
        <f>G121-'Other national data'!G339</f>
        <v>18594.665783860393</v>
      </c>
      <c r="H134" s="621">
        <f>H121-'Other national data'!H339</f>
        <v>6365.1169100381649</v>
      </c>
      <c r="I134" s="994">
        <f>I121-'Other national data'!I339</f>
        <v>15948.973871753309</v>
      </c>
      <c r="J134" s="187"/>
      <c r="K134" s="187"/>
      <c r="L134" s="187"/>
      <c r="M134" s="186"/>
      <c r="N134" s="187"/>
      <c r="O134" s="185"/>
      <c r="P134" s="1051"/>
      <c r="Q134" s="1051"/>
      <c r="R134" s="1051"/>
      <c r="S134" s="36"/>
      <c r="T134" s="36"/>
    </row>
    <row r="135" spans="1:20" s="188" customFormat="1" x14ac:dyDescent="0.25">
      <c r="A135" s="185"/>
      <c r="B135" s="186"/>
      <c r="C135" s="187"/>
      <c r="D135" s="187"/>
      <c r="E135" s="187"/>
      <c r="F135" s="814" t="s">
        <v>67</v>
      </c>
      <c r="G135" s="993">
        <f>G122-'Other national data'!G340</f>
        <v>3848.5944337317997</v>
      </c>
      <c r="H135" s="621">
        <f>H122-'Other national data'!H340</f>
        <v>11097.525801708509</v>
      </c>
      <c r="I135" s="994">
        <f>I122-'Other national data'!I340</f>
        <v>67007.320118077274</v>
      </c>
      <c r="J135" s="187"/>
      <c r="K135" s="187"/>
      <c r="L135" s="187"/>
      <c r="M135" s="186"/>
      <c r="N135" s="187"/>
      <c r="O135" s="185"/>
      <c r="P135" s="36"/>
      <c r="Q135" s="36"/>
      <c r="R135" s="36"/>
      <c r="S135" s="36"/>
      <c r="T135" s="36"/>
    </row>
    <row r="136" spans="1:20" s="188" customFormat="1" x14ac:dyDescent="0.25">
      <c r="A136" s="185"/>
      <c r="B136" s="186"/>
      <c r="C136" s="187"/>
      <c r="D136" s="187"/>
      <c r="E136" s="187"/>
      <c r="F136" s="814" t="s">
        <v>65</v>
      </c>
      <c r="G136" s="993">
        <f>G123-'Other national data'!G341</f>
        <v>14065.724060579094</v>
      </c>
      <c r="H136" s="621">
        <f>H123-'Other national data'!H341</f>
        <v>2629.8853840103775</v>
      </c>
      <c r="I136" s="994">
        <f>I123-'Other national data'!I341</f>
        <v>596.20934191654669</v>
      </c>
      <c r="J136" s="187"/>
      <c r="K136" s="187"/>
      <c r="L136" s="187"/>
      <c r="M136" s="186"/>
      <c r="N136" s="187"/>
      <c r="O136" s="185"/>
      <c r="P136" s="36"/>
      <c r="Q136" s="36"/>
      <c r="R136" s="36"/>
      <c r="S136" s="36"/>
      <c r="T136" s="36"/>
    </row>
    <row r="137" spans="1:20" s="188" customFormat="1" x14ac:dyDescent="0.25">
      <c r="A137" s="185"/>
      <c r="B137" s="186"/>
      <c r="C137" s="187"/>
      <c r="D137" s="187"/>
      <c r="E137" s="187"/>
      <c r="F137" s="186" t="s">
        <v>20</v>
      </c>
      <c r="G137" s="993">
        <f>G124-'Other national data'!G342</f>
        <v>26199.314175912768</v>
      </c>
      <c r="H137" s="621">
        <f>H124-'Other national data'!H342</f>
        <v>18070.615740843998</v>
      </c>
      <c r="I137" s="994">
        <f>I124-'Other national data'!I342</f>
        <v>3473.3928925850178</v>
      </c>
      <c r="J137" s="187"/>
      <c r="K137" s="187"/>
      <c r="L137" s="187"/>
      <c r="M137" s="186"/>
      <c r="N137" s="187"/>
      <c r="O137" s="185"/>
      <c r="P137" s="36"/>
      <c r="Q137" s="36"/>
      <c r="R137" s="36"/>
      <c r="S137" s="36"/>
      <c r="T137" s="36"/>
    </row>
    <row r="138" spans="1:20" s="188" customFormat="1" x14ac:dyDescent="0.25">
      <c r="A138" s="185"/>
      <c r="B138" s="186"/>
      <c r="C138" s="187"/>
      <c r="D138" s="187"/>
      <c r="E138" s="187"/>
      <c r="F138" s="380" t="s">
        <v>32</v>
      </c>
      <c r="G138" s="993">
        <f t="shared" ref="G138:I139" si="8">G125</f>
        <v>22965.80027293117</v>
      </c>
      <c r="H138" s="621">
        <f t="shared" si="8"/>
        <v>16735.959371970028</v>
      </c>
      <c r="I138" s="994">
        <f t="shared" si="8"/>
        <v>7292.8426286711283</v>
      </c>
      <c r="J138" s="187"/>
      <c r="K138" s="187"/>
      <c r="L138" s="187"/>
      <c r="M138" s="186"/>
      <c r="N138" s="187"/>
      <c r="O138" s="185"/>
      <c r="P138" s="36"/>
      <c r="Q138" s="36"/>
      <c r="R138" s="36"/>
      <c r="S138" s="36"/>
      <c r="T138" s="36"/>
    </row>
    <row r="139" spans="1:20" s="188" customFormat="1" x14ac:dyDescent="0.25">
      <c r="A139" s="185"/>
      <c r="B139" s="186"/>
      <c r="C139" s="187"/>
      <c r="D139" s="187"/>
      <c r="E139" s="187"/>
      <c r="F139" s="186" t="s">
        <v>30</v>
      </c>
      <c r="G139" s="993">
        <f t="shared" si="8"/>
        <v>10041.462417754688</v>
      </c>
      <c r="H139" s="621">
        <f t="shared" si="8"/>
        <v>1681.929823710886</v>
      </c>
      <c r="I139" s="994">
        <f t="shared" si="8"/>
        <v>757.69793544635104</v>
      </c>
      <c r="J139" s="187"/>
      <c r="K139" s="187"/>
      <c r="L139" s="187"/>
      <c r="M139" s="186"/>
      <c r="N139" s="187"/>
      <c r="O139" s="185"/>
      <c r="P139" s="36"/>
      <c r="Q139" s="36"/>
      <c r="R139" s="36"/>
      <c r="S139" s="36"/>
      <c r="T139" s="36"/>
    </row>
    <row r="140" spans="1:20" s="188" customFormat="1" x14ac:dyDescent="0.25">
      <c r="A140" s="185"/>
      <c r="B140" s="186"/>
      <c r="C140" s="187"/>
      <c r="D140" s="187"/>
      <c r="E140" s="187"/>
      <c r="F140" s="186" t="s">
        <v>27</v>
      </c>
      <c r="G140" s="995">
        <f>G127-'Other national data'!G343</f>
        <v>7307.3089161315111</v>
      </c>
      <c r="H140" s="996">
        <f>H127-'Other national data'!H343</f>
        <v>6982.3562452530114</v>
      </c>
      <c r="I140" s="997">
        <f>I127-'Other national data'!I343</f>
        <v>6894.6600289787493</v>
      </c>
      <c r="J140" s="187"/>
      <c r="K140" s="187"/>
      <c r="L140" s="187"/>
      <c r="M140" s="186"/>
      <c r="N140" s="187"/>
      <c r="O140" s="185"/>
      <c r="P140" s="36"/>
      <c r="Q140" s="36"/>
      <c r="R140" s="36"/>
      <c r="S140" s="36"/>
      <c r="T140" s="36"/>
    </row>
    <row r="141" spans="1:20" s="188" customFormat="1" x14ac:dyDescent="0.25">
      <c r="A141" s="185"/>
      <c r="B141" s="186"/>
      <c r="C141" s="187"/>
      <c r="D141" s="187"/>
      <c r="E141" s="187"/>
      <c r="F141" s="762" t="s">
        <v>37</v>
      </c>
      <c r="G141" s="763" t="str">
        <f>IF(SUM(G131:G140)=G43-SUM('Other national data'!G338:G343),"Ok","Error")</f>
        <v>Ok</v>
      </c>
      <c r="H141" s="763" t="str">
        <f>IF(SUM(H131:H140)=H43-SUM('Other national data'!H338:H343),"Ok","Error")</f>
        <v>Ok</v>
      </c>
      <c r="I141" s="763" t="str">
        <f>IF(SUM(I131:I140)=I43-SUM('Other national data'!I338:I343),"Ok","Error")</f>
        <v>Ok</v>
      </c>
      <c r="J141" s="187"/>
      <c r="K141" s="187"/>
      <c r="L141" s="187"/>
      <c r="M141" s="186"/>
      <c r="N141" s="187"/>
      <c r="O141" s="185"/>
      <c r="P141" s="36"/>
      <c r="Q141" s="36"/>
      <c r="R141" s="36"/>
      <c r="S141" s="36"/>
      <c r="T141" s="36"/>
    </row>
    <row r="142" spans="1:20" ht="15.75" x14ac:dyDescent="0.25">
      <c r="A142" s="130"/>
      <c r="B142" s="130"/>
      <c r="C142" s="130"/>
      <c r="D142" s="130"/>
      <c r="E142" s="130"/>
      <c r="F142" s="130"/>
      <c r="G142" s="130"/>
      <c r="H142" s="130"/>
      <c r="I142" s="130"/>
      <c r="J142" s="130"/>
      <c r="K142" s="130"/>
      <c r="L142" s="130"/>
      <c r="M142" s="130"/>
      <c r="N142" s="130"/>
      <c r="O142" s="130"/>
    </row>
    <row r="143" spans="1:20" ht="15.75" x14ac:dyDescent="0.25">
      <c r="A143" s="131"/>
      <c r="B143" s="131" t="s">
        <v>461</v>
      </c>
      <c r="C143" s="363" t="s">
        <v>643</v>
      </c>
      <c r="D143" s="131"/>
      <c r="E143" s="131"/>
      <c r="F143" s="131"/>
      <c r="G143" s="131"/>
      <c r="H143" s="131"/>
      <c r="I143" s="131"/>
      <c r="J143" s="131"/>
      <c r="K143" s="131"/>
      <c r="L143" s="131"/>
      <c r="M143" s="132"/>
      <c r="N143" s="131"/>
      <c r="O143" s="131"/>
    </row>
    <row r="144" spans="1:20" s="188" customFormat="1" x14ac:dyDescent="0.2">
      <c r="A144" s="201"/>
      <c r="B144" s="191"/>
      <c r="G144" s="34" t="s">
        <v>16</v>
      </c>
      <c r="H144" s="495" t="s">
        <v>17</v>
      </c>
      <c r="I144" s="495" t="s">
        <v>18</v>
      </c>
      <c r="O144" s="201"/>
      <c r="P144" s="36"/>
      <c r="Q144" s="36"/>
      <c r="R144" s="36"/>
      <c r="S144" s="36"/>
      <c r="T144" s="36"/>
    </row>
    <row r="145" spans="1:20" s="188" customFormat="1" ht="12.75" customHeight="1" x14ac:dyDescent="0.25">
      <c r="A145" s="201"/>
      <c r="B145" s="97" t="s">
        <v>125</v>
      </c>
      <c r="C145" s="37" t="s">
        <v>536</v>
      </c>
      <c r="D145" s="11"/>
      <c r="E145" s="11"/>
      <c r="F145" s="489" t="s">
        <v>42</v>
      </c>
      <c r="G145" s="2363"/>
      <c r="H145" s="2364"/>
      <c r="I145" s="2365"/>
      <c r="J145" s="1406">
        <v>170000</v>
      </c>
      <c r="K145" s="11"/>
      <c r="L145" s="11"/>
      <c r="M145" s="801" t="s">
        <v>104</v>
      </c>
      <c r="N145" s="2586" t="s">
        <v>742</v>
      </c>
      <c r="O145" s="201"/>
      <c r="P145" s="36"/>
      <c r="Q145" s="1051">
        <f>IF(AND(ISNUMBER(H145),'Validn data - hide'!D311&gt;0),IF(H145/'Validn data - hide'!D311-1&gt;'Validn data - hide'!$L311,1,IF(H145/'Validn data - hide'!D311-1&lt;-'Validn data - hide'!$L311,-1,0)),0)</f>
        <v>0</v>
      </c>
      <c r="R145" s="36"/>
      <c r="S145" s="36"/>
      <c r="T145" s="36"/>
    </row>
    <row r="146" spans="1:20" s="188" customFormat="1" ht="12.75" customHeight="1" x14ac:dyDescent="0.25">
      <c r="A146" s="201"/>
      <c r="B146" s="801" t="s">
        <v>720</v>
      </c>
      <c r="C146" s="2621" t="s">
        <v>719</v>
      </c>
      <c r="F146" s="489" t="s">
        <v>44</v>
      </c>
      <c r="G146" s="2366"/>
      <c r="H146" s="2367"/>
      <c r="I146" s="2368"/>
      <c r="J146" s="1407">
        <v>55000</v>
      </c>
      <c r="M146" s="221"/>
      <c r="N146" s="2588"/>
      <c r="O146" s="201"/>
      <c r="P146" s="36"/>
      <c r="Q146" s="1051">
        <f>IF(AND(ISNUMBER(H146),'Validn data - hide'!D312&gt;0),IF(H146/'Validn data - hide'!D312-1&gt;'Validn data - hide'!$L312,1,IF(H146/'Validn data - hide'!D312-1&lt;-'Validn data - hide'!$L312,-1,0)),0)</f>
        <v>0</v>
      </c>
      <c r="R146" s="36"/>
      <c r="S146" s="36"/>
      <c r="T146" s="36"/>
    </row>
    <row r="147" spans="1:20" s="188" customFormat="1" ht="12.75" customHeight="1" x14ac:dyDescent="0.25">
      <c r="A147" s="201"/>
      <c r="B147" s="202"/>
      <c r="C147" s="2622"/>
      <c r="F147" s="489" t="s">
        <v>46</v>
      </c>
      <c r="G147" s="2366"/>
      <c r="H147" s="2367"/>
      <c r="I147" s="2368"/>
      <c r="J147" s="1407">
        <v>820000</v>
      </c>
      <c r="M147" s="113" t="s">
        <v>100</v>
      </c>
      <c r="N147" s="37" t="s">
        <v>102</v>
      </c>
      <c r="O147" s="201"/>
      <c r="P147" s="36"/>
      <c r="Q147" s="1051">
        <f>IF(AND(ISNUMBER(H147),'Validn data - hide'!D313&gt;0),IF(H147/'Validn data - hide'!D313-1&gt;'Validn data - hide'!$L313,1,IF(H147/'Validn data - hide'!D313-1&lt;-'Validn data - hide'!$L313,-1,0)),0)</f>
        <v>0</v>
      </c>
      <c r="R147" s="36"/>
      <c r="S147" s="36"/>
      <c r="T147" s="36"/>
    </row>
    <row r="148" spans="1:20" s="188" customFormat="1" ht="12.75" customHeight="1" x14ac:dyDescent="0.25">
      <c r="A148" s="201"/>
      <c r="B148" s="236"/>
      <c r="C148" s="2621" t="s">
        <v>716</v>
      </c>
      <c r="F148" s="489" t="s">
        <v>47</v>
      </c>
      <c r="G148" s="2366"/>
      <c r="H148" s="2367"/>
      <c r="I148" s="2368"/>
      <c r="J148" s="1407">
        <v>40800</v>
      </c>
      <c r="M148" s="801" t="s">
        <v>10</v>
      </c>
      <c r="N148" s="2672"/>
      <c r="O148" s="201"/>
      <c r="P148" s="36"/>
      <c r="Q148" s="1051">
        <f>IF(AND(ISNUMBER(H148),'Validn data - hide'!D314&gt;0),IF(H148/'Validn data - hide'!D314-1&gt;'Validn data - hide'!$L314,1,IF(H148/'Validn data - hide'!D314-1&lt;-'Validn data - hide'!$L314,-1,0)),0)</f>
        <v>0</v>
      </c>
      <c r="R148" s="36"/>
      <c r="S148" s="36"/>
      <c r="T148" s="36"/>
    </row>
    <row r="149" spans="1:20" s="188" customFormat="1" ht="12.75" customHeight="1" x14ac:dyDescent="0.25">
      <c r="A149" s="201"/>
      <c r="B149" s="236"/>
      <c r="C149" s="2622"/>
      <c r="F149" s="489" t="s">
        <v>492</v>
      </c>
      <c r="G149" s="2366"/>
      <c r="H149" s="2367"/>
      <c r="I149" s="2368"/>
      <c r="J149" s="1407">
        <v>1100</v>
      </c>
      <c r="M149" s="221"/>
      <c r="N149" s="2690"/>
      <c r="O149" s="201"/>
      <c r="P149" s="36"/>
      <c r="Q149" s="1051">
        <f>IF(AND(ISNUMBER(H149),'Validn data - hide'!D315&gt;0),IF(H149/'Validn data - hide'!D315-1&gt;'Validn data - hide'!$L315,1,IF(H149/'Validn data - hide'!D315-1&lt;-'Validn data - hide'!$L315,-1,0)),0)</f>
        <v>0</v>
      </c>
      <c r="R149" s="36"/>
      <c r="S149" s="36"/>
      <c r="T149" s="36"/>
    </row>
    <row r="150" spans="1:20" s="188" customFormat="1" ht="12.75" customHeight="1" x14ac:dyDescent="0.25">
      <c r="A150" s="201"/>
      <c r="B150" s="1488"/>
      <c r="C150" s="816" t="s">
        <v>907</v>
      </c>
      <c r="F150" s="489" t="s">
        <v>56</v>
      </c>
      <c r="G150" s="2366"/>
      <c r="H150" s="2367"/>
      <c r="I150" s="2368"/>
      <c r="J150" s="1407">
        <v>280000</v>
      </c>
      <c r="M150" s="113" t="s">
        <v>352</v>
      </c>
      <c r="N150" s="1329"/>
      <c r="O150" s="201"/>
      <c r="P150" s="1051"/>
      <c r="Q150" s="1051">
        <f>IF(AND(ISNUMBER(H150),'Validn data - hide'!D316&gt;0),IF(H150/'Validn data - hide'!D316-1&gt;'Validn data - hide'!$L316,1,IF(H150/'Validn data - hide'!D316-1&lt;-'Validn data - hide'!$L316,-1,0)),0)</f>
        <v>0</v>
      </c>
      <c r="R150" s="1051"/>
      <c r="S150" s="36"/>
      <c r="T150" s="36"/>
    </row>
    <row r="151" spans="1:20" s="188" customFormat="1" ht="12.75" customHeight="1" x14ac:dyDescent="0.25">
      <c r="A151" s="201"/>
      <c r="B151" s="236"/>
      <c r="C151" s="2631" t="s">
        <v>916</v>
      </c>
      <c r="F151" s="489" t="s">
        <v>52</v>
      </c>
      <c r="G151" s="2366"/>
      <c r="H151" s="2367"/>
      <c r="I151" s="2368"/>
      <c r="J151" s="1407">
        <v>18000</v>
      </c>
      <c r="M151" s="113" t="s">
        <v>99</v>
      </c>
      <c r="N151" s="1329"/>
      <c r="O151" s="201"/>
      <c r="P151" s="36"/>
      <c r="Q151" s="1051">
        <f>IF(AND(ISNUMBER(H151),'Validn data - hide'!D317&gt;0),IF(H151/'Validn data - hide'!D317-1&gt;'Validn data - hide'!$L317,1,IF(H151/'Validn data - hide'!D317-1&lt;-'Validn data - hide'!$L317,-1,0)),0)</f>
        <v>0</v>
      </c>
      <c r="R151" s="36"/>
      <c r="S151" s="36"/>
      <c r="T151" s="36"/>
    </row>
    <row r="152" spans="1:20" s="188" customFormat="1" ht="12.75" customHeight="1" x14ac:dyDescent="0.25">
      <c r="A152" s="201"/>
      <c r="B152" s="236"/>
      <c r="C152" s="2632"/>
      <c r="F152" s="489" t="s">
        <v>724</v>
      </c>
      <c r="G152" s="2366"/>
      <c r="H152" s="2367"/>
      <c r="I152" s="2368"/>
      <c r="J152" s="1407">
        <v>20000</v>
      </c>
      <c r="M152" s="113" t="s">
        <v>658</v>
      </c>
      <c r="N152" s="1328"/>
      <c r="O152" s="201"/>
      <c r="P152" s="36"/>
      <c r="Q152" s="1051">
        <f>IF(AND(ISNUMBER(H152),'Validn data - hide'!D318&gt;0),IF(H152/'Validn data - hide'!D318-1&gt;'Validn data - hide'!$L318,1,IF(H152/'Validn data - hide'!D318-1&lt;-'Validn data - hide'!$L318,-1,0)),0)</f>
        <v>0</v>
      </c>
      <c r="R152" s="36"/>
      <c r="S152" s="36"/>
      <c r="T152" s="36"/>
    </row>
    <row r="153" spans="1:20" s="188" customFormat="1" ht="12.75" customHeight="1" x14ac:dyDescent="0.25">
      <c r="A153" s="201"/>
      <c r="B153" s="221"/>
      <c r="C153" s="2633"/>
      <c r="F153" s="489" t="s">
        <v>725</v>
      </c>
      <c r="G153" s="2366"/>
      <c r="H153" s="2367"/>
      <c r="I153" s="2368"/>
      <c r="J153" s="1407">
        <v>8000</v>
      </c>
      <c r="O153" s="201"/>
      <c r="P153" s="36"/>
      <c r="Q153" s="1051">
        <f>IF(AND(ISNUMBER(H153),'Validn data - hide'!D319&gt;0),IF(H153/'Validn data - hide'!D319-1&gt;'Validn data - hide'!$L319,1,IF(H153/'Validn data - hide'!D319-1&lt;-'Validn data - hide'!$L319,-1,0)),0)</f>
        <v>0</v>
      </c>
      <c r="R153" s="36"/>
      <c r="S153" s="36"/>
      <c r="T153" s="36"/>
    </row>
    <row r="154" spans="1:20" s="188" customFormat="1" ht="12.75" customHeight="1" x14ac:dyDescent="0.25">
      <c r="A154" s="201"/>
      <c r="F154" s="489" t="s">
        <v>726</v>
      </c>
      <c r="G154" s="2366"/>
      <c r="H154" s="2367"/>
      <c r="I154" s="2368"/>
      <c r="J154" s="1407">
        <v>260000</v>
      </c>
      <c r="O154" s="201"/>
      <c r="P154" s="36"/>
      <c r="Q154" s="1051">
        <f>IF(AND(ISNUMBER(H154),'Validn data - hide'!D320&gt;0),IF(H154/'Validn data - hide'!D320-1&gt;'Validn data - hide'!$L320,1,IF(H154/'Validn data - hide'!D320-1&lt;-'Validn data - hide'!$L320,-1,0)),0)</f>
        <v>0</v>
      </c>
      <c r="R154" s="36"/>
      <c r="S154" s="36"/>
      <c r="T154" s="36"/>
    </row>
    <row r="155" spans="1:20" s="188" customFormat="1" ht="12.75" customHeight="1" x14ac:dyDescent="0.25">
      <c r="A155" s="201"/>
      <c r="F155" s="489" t="s">
        <v>67</v>
      </c>
      <c r="G155" s="2366"/>
      <c r="H155" s="2367"/>
      <c r="I155" s="2368"/>
      <c r="J155" s="1407">
        <v>220000</v>
      </c>
      <c r="O155" s="201"/>
      <c r="P155" s="36"/>
      <c r="Q155" s="1051">
        <f>IF(AND(ISNUMBER(H155),'Validn data - hide'!D321&gt;0),IF(H155/'Validn data - hide'!D321-1&gt;'Validn data - hide'!$L321,1,IF(H155/'Validn data - hide'!D321-1&lt;-'Validn data - hide'!$L321,-1,0)),0)</f>
        <v>0</v>
      </c>
      <c r="R155" s="36"/>
      <c r="S155" s="36"/>
      <c r="T155" s="36"/>
    </row>
    <row r="156" spans="1:20" s="188" customFormat="1" ht="12.75" customHeight="1" x14ac:dyDescent="0.25">
      <c r="A156" s="201"/>
      <c r="F156" s="489" t="s">
        <v>727</v>
      </c>
      <c r="G156" s="2366"/>
      <c r="H156" s="2367"/>
      <c r="I156" s="2368"/>
      <c r="J156" s="1407">
        <v>530000</v>
      </c>
      <c r="O156" s="201"/>
      <c r="P156" s="36"/>
      <c r="Q156" s="1051">
        <f>IF(AND(ISNUMBER(H156),'Validn data - hide'!D322&gt;0),IF(H156/'Validn data - hide'!D322-1&gt;'Validn data - hide'!$L322,1,IF(H156/'Validn data - hide'!D322-1&lt;-'Validn data - hide'!$L322,-1,0)),0)</f>
        <v>0</v>
      </c>
      <c r="R156" s="36"/>
      <c r="S156" s="36"/>
      <c r="T156" s="36"/>
    </row>
    <row r="157" spans="1:20" s="188" customFormat="1" ht="12.75" customHeight="1" x14ac:dyDescent="0.25">
      <c r="A157" s="201"/>
      <c r="F157" s="489" t="s">
        <v>728</v>
      </c>
      <c r="G157" s="2366"/>
      <c r="H157" s="2367"/>
      <c r="I157" s="2368"/>
      <c r="J157" s="1407">
        <v>150000</v>
      </c>
      <c r="O157" s="201"/>
      <c r="P157" s="36"/>
      <c r="Q157" s="1051">
        <f>IF(AND(ISNUMBER(H157),'Validn data - hide'!D323&gt;0),IF(H157/'Validn data - hide'!D323-1&gt;'Validn data - hide'!$L323,1,IF(H157/'Validn data - hide'!D323-1&lt;-'Validn data - hide'!$L323,-1,0)),0)</f>
        <v>0</v>
      </c>
      <c r="R157" s="36"/>
      <c r="S157" s="36"/>
      <c r="T157" s="36"/>
    </row>
    <row r="158" spans="1:20" s="188" customFormat="1" ht="12.75" customHeight="1" x14ac:dyDescent="0.25">
      <c r="A158" s="201"/>
      <c r="F158" s="489" t="s">
        <v>729</v>
      </c>
      <c r="G158" s="2366"/>
      <c r="H158" s="2367"/>
      <c r="I158" s="2368"/>
      <c r="J158" s="1407">
        <v>1800</v>
      </c>
      <c r="O158" s="201"/>
      <c r="P158" s="36"/>
      <c r="Q158" s="1051">
        <f>IF(AND(ISNUMBER(H158),'Validn data - hide'!D324&gt;0),IF(H158/'Validn data - hide'!D324-1&gt;'Validn data - hide'!$L324,1,IF(H158/'Validn data - hide'!D324-1&lt;-'Validn data - hide'!$L324,-1,0)),0)</f>
        <v>0</v>
      </c>
      <c r="R158" s="36"/>
      <c r="S158" s="36"/>
      <c r="T158" s="36"/>
    </row>
    <row r="159" spans="1:20" s="188" customFormat="1" ht="12.75" customHeight="1" x14ac:dyDescent="0.25">
      <c r="A159" s="201"/>
      <c r="F159" s="489" t="s">
        <v>730</v>
      </c>
      <c r="G159" s="2366"/>
      <c r="H159" s="2367"/>
      <c r="I159" s="2368"/>
      <c r="J159" s="1407">
        <v>62000</v>
      </c>
      <c r="M159" s="99"/>
      <c r="N159" s="590"/>
      <c r="O159" s="201"/>
      <c r="P159" s="36"/>
      <c r="Q159" s="1051">
        <f>IF(AND(ISNUMBER(H159),'Validn data - hide'!D325&gt;0),IF(H159/'Validn data - hide'!D325-1&gt;'Validn data - hide'!$L325,1,IF(H159/'Validn data - hide'!D325-1&lt;-'Validn data - hide'!$L325,-1,0)),0)</f>
        <v>0</v>
      </c>
      <c r="R159" s="36"/>
      <c r="S159" s="36"/>
      <c r="T159" s="36"/>
    </row>
    <row r="160" spans="1:20" s="188" customFormat="1" ht="12.75" customHeight="1" x14ac:dyDescent="0.25">
      <c r="A160" s="201"/>
      <c r="F160" s="489" t="s">
        <v>731</v>
      </c>
      <c r="G160" s="2366"/>
      <c r="H160" s="2367"/>
      <c r="I160" s="2368"/>
      <c r="J160" s="1407">
        <v>19000</v>
      </c>
      <c r="M160" s="99"/>
      <c r="N160" s="590"/>
      <c r="O160" s="201"/>
      <c r="P160" s="36"/>
      <c r="Q160" s="1051">
        <f>IF(AND(ISNUMBER(H160),'Validn data - hide'!D326&gt;0),IF(H160/'Validn data - hide'!D326-1&gt;'Validn data - hide'!$L326,1,IF(H160/'Validn data - hide'!D326-1&lt;-'Validn data - hide'!$L326,-1,0)),0)</f>
        <v>0</v>
      </c>
      <c r="R160" s="36"/>
      <c r="S160" s="36"/>
      <c r="T160" s="36"/>
    </row>
    <row r="161" spans="1:20" s="188" customFormat="1" ht="12.75" customHeight="1" x14ac:dyDescent="0.25">
      <c r="A161" s="201"/>
      <c r="F161" s="489" t="s">
        <v>732</v>
      </c>
      <c r="G161" s="2366"/>
      <c r="H161" s="2367"/>
      <c r="I161" s="2368"/>
      <c r="J161" s="1407">
        <v>4400</v>
      </c>
      <c r="M161" s="99"/>
      <c r="N161" s="590"/>
      <c r="O161" s="201"/>
      <c r="P161" s="36"/>
      <c r="Q161" s="1051">
        <f>IF(AND(ISNUMBER(H161),'Validn data - hide'!D327&gt;0),IF(H161/'Validn data - hide'!D327-1&gt;'Validn data - hide'!$L327,1,IF(H161/'Validn data - hide'!D327-1&lt;-'Validn data - hide'!$L327,-1,0)),0)</f>
        <v>0</v>
      </c>
      <c r="R161" s="36"/>
      <c r="S161" s="36"/>
      <c r="T161" s="36"/>
    </row>
    <row r="162" spans="1:20" s="188" customFormat="1" ht="12.75" customHeight="1" x14ac:dyDescent="0.25">
      <c r="A162" s="201"/>
      <c r="F162" s="489" t="s">
        <v>733</v>
      </c>
      <c r="G162" s="2366"/>
      <c r="H162" s="2367"/>
      <c r="I162" s="2368"/>
      <c r="J162" s="1407">
        <v>4500</v>
      </c>
      <c r="M162" s="99"/>
      <c r="N162" s="590"/>
      <c r="O162" s="201"/>
      <c r="P162" s="36"/>
      <c r="Q162" s="1051">
        <f>IF(AND(ISNUMBER(H162),'Validn data - hide'!D328&gt;0),IF(H162/'Validn data - hide'!D328-1&gt;'Validn data - hide'!$L328,1,IF(H162/'Validn data - hide'!D328-1&lt;-'Validn data - hide'!$L328,-1,0)),0)</f>
        <v>0</v>
      </c>
      <c r="R162" s="36"/>
      <c r="S162" s="36"/>
      <c r="T162" s="36"/>
    </row>
    <row r="163" spans="1:20" s="188" customFormat="1" ht="12.75" customHeight="1" x14ac:dyDescent="0.25">
      <c r="A163" s="201"/>
      <c r="F163" s="489" t="s">
        <v>734</v>
      </c>
      <c r="G163" s="2366"/>
      <c r="H163" s="2367"/>
      <c r="I163" s="2368"/>
      <c r="J163" s="1407">
        <v>300</v>
      </c>
      <c r="M163" s="99"/>
      <c r="N163" s="590"/>
      <c r="O163" s="201"/>
      <c r="P163" s="36"/>
      <c r="Q163" s="1051">
        <f>IF(AND(ISNUMBER(H163),'Validn data - hide'!D329&gt;0),IF(H163/'Validn data - hide'!D329-1&gt;'Validn data - hide'!$L329,1,IF(H163/'Validn data - hide'!D329-1&lt;-'Validn data - hide'!$L329,-1,0)),0)</f>
        <v>0</v>
      </c>
      <c r="R163" s="36"/>
      <c r="S163" s="36"/>
      <c r="T163" s="36"/>
    </row>
    <row r="164" spans="1:20" s="188" customFormat="1" ht="12.75" customHeight="1" x14ac:dyDescent="0.25">
      <c r="A164" s="201"/>
      <c r="F164" s="489" t="s">
        <v>735</v>
      </c>
      <c r="G164" s="2366"/>
      <c r="H164" s="2367"/>
      <c r="I164" s="2368"/>
      <c r="J164" s="1407">
        <v>3600</v>
      </c>
      <c r="M164" s="99"/>
      <c r="N164" s="590"/>
      <c r="O164" s="201"/>
      <c r="P164" s="36"/>
      <c r="Q164" s="1051">
        <f>IF(AND(ISNUMBER(H164),'Validn data - hide'!D330&gt;0),IF(H164/'Validn data - hide'!D330-1&gt;'Validn data - hide'!$L330,1,IF(H164/'Validn data - hide'!D330-1&lt;-'Validn data - hide'!$L330,-1,0)),0)</f>
        <v>0</v>
      </c>
      <c r="R164" s="36"/>
      <c r="S164" s="36"/>
      <c r="T164" s="36"/>
    </row>
    <row r="165" spans="1:20" s="188" customFormat="1" ht="12.75" customHeight="1" x14ac:dyDescent="0.25">
      <c r="A165" s="201"/>
      <c r="F165" s="489" t="s">
        <v>736</v>
      </c>
      <c r="G165" s="2366"/>
      <c r="H165" s="2367"/>
      <c r="I165" s="2368"/>
      <c r="J165" s="1407">
        <v>1700</v>
      </c>
      <c r="M165" s="99"/>
      <c r="N165" s="590"/>
      <c r="O165" s="201"/>
      <c r="P165" s="36"/>
      <c r="Q165" s="1051">
        <f>IF(AND(ISNUMBER(H165),'Validn data - hide'!D331&gt;0),IF(H165/'Validn data - hide'!D331-1&gt;'Validn data - hide'!$L331,1,IF(H165/'Validn data - hide'!D331-1&lt;-'Validn data - hide'!$L331,-1,0)),0)</f>
        <v>0</v>
      </c>
      <c r="R165" s="36"/>
      <c r="S165" s="36"/>
      <c r="T165" s="36"/>
    </row>
    <row r="166" spans="1:20" s="188" customFormat="1" ht="12.75" customHeight="1" x14ac:dyDescent="0.25">
      <c r="A166" s="201"/>
      <c r="F166" s="489" t="s">
        <v>485</v>
      </c>
      <c r="G166" s="2366"/>
      <c r="H166" s="2367"/>
      <c r="I166" s="2368"/>
      <c r="J166" s="1407">
        <v>300</v>
      </c>
      <c r="M166" s="99"/>
      <c r="N166" s="590"/>
      <c r="O166" s="201"/>
      <c r="P166" s="36"/>
      <c r="Q166" s="1051">
        <f>IF(AND(ISNUMBER(H166),'Validn data - hide'!D332&gt;0),IF(H166/'Validn data - hide'!D332-1&gt;'Validn data - hide'!$L332,1,IF(H166/'Validn data - hide'!D332-1&lt;-'Validn data - hide'!$L332,-1,0)),0)</f>
        <v>0</v>
      </c>
      <c r="R166" s="36"/>
      <c r="S166" s="36"/>
      <c r="T166" s="36"/>
    </row>
    <row r="167" spans="1:20" s="188" customFormat="1" ht="12.75" customHeight="1" x14ac:dyDescent="0.25">
      <c r="A167" s="201"/>
      <c r="F167" s="489" t="s">
        <v>737</v>
      </c>
      <c r="G167" s="2366"/>
      <c r="H167" s="2367"/>
      <c r="I167" s="2368"/>
      <c r="J167" s="1407">
        <v>6400</v>
      </c>
      <c r="M167" s="99"/>
      <c r="N167" s="590"/>
      <c r="O167" s="201"/>
      <c r="P167" s="36"/>
      <c r="Q167" s="1051">
        <f>IF(AND(ISNUMBER(H167),'Validn data - hide'!D333&gt;0),IF(H167/'Validn data - hide'!D333-1&gt;'Validn data - hide'!$L333,1,IF(H167/'Validn data - hide'!D333-1&lt;-'Validn data - hide'!$L333,-1,0)),0)</f>
        <v>0</v>
      </c>
      <c r="R167" s="36"/>
      <c r="S167" s="36"/>
      <c r="T167" s="36"/>
    </row>
    <row r="168" spans="1:20" s="188" customFormat="1" ht="12.75" customHeight="1" x14ac:dyDescent="0.25">
      <c r="A168" s="201"/>
      <c r="F168" s="489" t="s">
        <v>30</v>
      </c>
      <c r="G168" s="2366"/>
      <c r="H168" s="2367"/>
      <c r="I168" s="2368"/>
      <c r="J168" s="1407">
        <v>61000</v>
      </c>
      <c r="M168" s="99"/>
      <c r="N168" s="590"/>
      <c r="O168" s="201"/>
      <c r="P168" s="36"/>
      <c r="Q168" s="1051">
        <f>IF(AND(ISNUMBER(H168),'Validn data - hide'!D334&gt;0),IF(H168/'Validn data - hide'!D334-1&gt;'Validn data - hide'!$L334,1,IF(H168/'Validn data - hide'!D334-1&lt;-'Validn data - hide'!$L334,-1,0)),0)</f>
        <v>0</v>
      </c>
      <c r="R168" s="36"/>
      <c r="S168" s="36"/>
      <c r="T168" s="36"/>
    </row>
    <row r="169" spans="1:20" s="188" customFormat="1" ht="12.75" customHeight="1" x14ac:dyDescent="0.25">
      <c r="A169" s="201"/>
      <c r="F169" s="489" t="s">
        <v>83</v>
      </c>
      <c r="G169" s="2366"/>
      <c r="H169" s="2367"/>
      <c r="I169" s="2368"/>
      <c r="J169" s="1407">
        <v>4000</v>
      </c>
      <c r="M169" s="99"/>
      <c r="N169" s="590"/>
      <c r="O169" s="201"/>
      <c r="P169" s="36"/>
      <c r="Q169" s="1051">
        <f>IF(AND(ISNUMBER(H169),'Validn data - hide'!D335&gt;0),IF(H169/'Validn data - hide'!D335-1&gt;'Validn data - hide'!$L335,1,IF(H169/'Validn data - hide'!D335-1&lt;-'Validn data - hide'!$L335,-1,0)),0)</f>
        <v>0</v>
      </c>
      <c r="R169" s="36"/>
      <c r="S169" s="36"/>
      <c r="T169" s="36"/>
    </row>
    <row r="170" spans="1:20" s="188" customFormat="1" ht="12.75" customHeight="1" x14ac:dyDescent="0.25">
      <c r="A170" s="201"/>
      <c r="F170" s="489" t="s">
        <v>568</v>
      </c>
      <c r="G170" s="2369"/>
      <c r="H170" s="2370"/>
      <c r="I170" s="2371"/>
      <c r="J170" s="1408">
        <v>18500</v>
      </c>
      <c r="M170" s="99"/>
      <c r="N170" s="590"/>
      <c r="O170" s="201"/>
      <c r="P170" s="36"/>
      <c r="Q170" s="1051"/>
      <c r="R170" s="36"/>
      <c r="S170" s="36"/>
      <c r="T170" s="36"/>
    </row>
    <row r="171" spans="1:20" s="188" customFormat="1" x14ac:dyDescent="0.25">
      <c r="A171" s="201"/>
      <c r="F171" s="489"/>
      <c r="J171" s="652"/>
      <c r="M171" s="99"/>
      <c r="N171" s="590"/>
      <c r="O171" s="201"/>
      <c r="P171" s="36"/>
      <c r="Q171" s="36"/>
      <c r="R171" s="36"/>
      <c r="S171" s="36"/>
      <c r="T171" s="36"/>
    </row>
    <row r="172" spans="1:20" s="188" customFormat="1" x14ac:dyDescent="0.25">
      <c r="A172" s="201"/>
      <c r="F172" s="489" t="s">
        <v>2</v>
      </c>
      <c r="H172" s="1409">
        <v>146000</v>
      </c>
      <c r="M172" s="99"/>
      <c r="N172" s="1082"/>
      <c r="O172" s="201"/>
      <c r="P172" s="36"/>
      <c r="Q172" s="1051">
        <f>IF(AND(ISNUMBER(#REF!),'Validn data - hide'!D338&gt;0),IF(#REF!/'Validn data - hide'!D338-1&gt;'Validn data - hide'!$L338,1,IF(#REF!/'Validn data - hide'!D338-1&lt;-'Validn data - hide'!$L338,-1,0)),0)</f>
        <v>0</v>
      </c>
      <c r="R172" s="36"/>
      <c r="S172" s="36"/>
      <c r="T172" s="36"/>
    </row>
    <row r="173" spans="1:20" s="188" customFormat="1" x14ac:dyDescent="0.25">
      <c r="A173" s="201"/>
      <c r="F173" s="489"/>
      <c r="M173" s="99"/>
      <c r="N173" s="1082"/>
      <c r="O173" s="201"/>
      <c r="P173" s="36"/>
      <c r="Q173" s="36"/>
      <c r="R173" s="36"/>
      <c r="S173" s="36"/>
      <c r="T173" s="36"/>
    </row>
    <row r="174" spans="1:20" s="471" customFormat="1" x14ac:dyDescent="0.25">
      <c r="A174" s="201"/>
      <c r="B174" s="475"/>
      <c r="C174" s="475"/>
      <c r="D174" s="475"/>
      <c r="E174" s="475"/>
      <c r="F174" s="475"/>
      <c r="G174" s="475"/>
      <c r="H174" s="475"/>
      <c r="I174" s="475"/>
      <c r="J174" s="475"/>
      <c r="K174" s="475"/>
      <c r="L174" s="475"/>
      <c r="M174" s="475"/>
      <c r="N174" s="475"/>
      <c r="O174" s="201"/>
      <c r="P174" s="36"/>
      <c r="Q174" s="36"/>
      <c r="R174" s="36"/>
      <c r="S174" s="36"/>
      <c r="T174" s="36"/>
    </row>
    <row r="175" spans="1:20" s="471" customFormat="1" x14ac:dyDescent="0.2">
      <c r="A175" s="201"/>
      <c r="B175" s="100" t="s">
        <v>126</v>
      </c>
      <c r="C175" s="94" t="s">
        <v>923</v>
      </c>
      <c r="D175" s="475"/>
      <c r="E175" s="475"/>
      <c r="F175" s="475"/>
      <c r="G175" s="95" t="s">
        <v>16</v>
      </c>
      <c r="H175" s="496" t="s">
        <v>17</v>
      </c>
      <c r="I175" s="496" t="s">
        <v>18</v>
      </c>
      <c r="J175" s="985" t="s">
        <v>659</v>
      </c>
      <c r="K175" s="475"/>
      <c r="L175" s="475"/>
      <c r="M175" s="2626" t="s">
        <v>104</v>
      </c>
      <c r="N175" s="2612" t="s">
        <v>796</v>
      </c>
      <c r="O175" s="201"/>
      <c r="P175" s="36"/>
      <c r="Q175" s="36"/>
      <c r="R175" s="36"/>
      <c r="S175" s="36"/>
      <c r="T175" s="36"/>
    </row>
    <row r="176" spans="1:20" s="471" customFormat="1" x14ac:dyDescent="0.25">
      <c r="A176" s="201"/>
      <c r="B176" s="475"/>
      <c r="C176" s="475"/>
      <c r="D176" s="475"/>
      <c r="E176" s="475"/>
      <c r="F176" s="475"/>
      <c r="G176" s="1410">
        <v>437984.61538461503</v>
      </c>
      <c r="H176" s="1411">
        <v>1124503.4965035</v>
      </c>
      <c r="I176" s="1412">
        <v>1214411.888111888</v>
      </c>
      <c r="J176" s="986" t="str">
        <f>IF(SUM(G176:I176)=SUM(J145:J170),"Ok","Error")</f>
        <v>Error</v>
      </c>
      <c r="K176" s="475"/>
      <c r="L176" s="475"/>
      <c r="M176" s="2627"/>
      <c r="N176" s="2614"/>
      <c r="O176" s="201"/>
      <c r="P176" s="36"/>
      <c r="Q176" s="1051">
        <f>IF(AND(ISNUMBER(H176),'Validn data - hide'!D342&gt;0),IF(H176/'Validn data - hide'!D342-1&gt;'Validn data - hide'!$L342,1,IF(H176/'Validn data - hide'!D342-1&lt;-'Validn data - hide'!$L342,-1,0)),0)</f>
        <v>0</v>
      </c>
      <c r="R176" s="1051">
        <f>IF(AND(ISNUMBER(I176),'Validn data - hide'!E342&gt;0),IF(I176/'Validn data - hide'!E342-1&gt;'Validn data - hide'!$L342,1,IF(I176/'Validn data - hide'!E342-1&lt;-'Validn data - hide'!$L342,-1,0)),0)</f>
        <v>0</v>
      </c>
      <c r="S176" s="1051">
        <f>IF(AND(ISNUMBER(J176),'Validn data - hide'!F342&gt;0),IF(J176/'Validn data - hide'!F342-1&gt;'Validn data - hide'!$L342,1,IF(J176/'Validn data - hide'!F342-1&lt;-'Validn data - hide'!$L342,-1,0)),0)</f>
        <v>0</v>
      </c>
      <c r="T176" s="36"/>
    </row>
    <row r="177" spans="1:20" s="471" customFormat="1" x14ac:dyDescent="0.25">
      <c r="A177" s="201"/>
      <c r="B177" s="475"/>
      <c r="C177" s="475"/>
      <c r="D177" s="475"/>
      <c r="E177" s="475"/>
      <c r="F177" s="479" t="s">
        <v>1316</v>
      </c>
      <c r="G177" s="2372">
        <f>G176/SUM($G$176:$I$176)*SUM($J$145:$J$170)</f>
        <v>435382.16439471714</v>
      </c>
      <c r="H177" s="2372">
        <f t="shared" ref="H177:I177" si="9">H176/SUM($G$176:$I$176)*SUM($J$145:$J$170)</f>
        <v>1117821.8343290209</v>
      </c>
      <c r="I177" s="2372">
        <f t="shared" si="9"/>
        <v>1207196.0012762621</v>
      </c>
      <c r="J177" s="475"/>
      <c r="K177" s="475"/>
      <c r="L177" s="475"/>
      <c r="M177" s="114" t="s">
        <v>100</v>
      </c>
      <c r="N177" s="94" t="s">
        <v>102</v>
      </c>
      <c r="O177" s="201"/>
      <c r="P177" s="36"/>
      <c r="Q177" s="36"/>
      <c r="R177" s="36"/>
      <c r="S177" s="36"/>
      <c r="T177" s="36"/>
    </row>
    <row r="178" spans="1:20" s="471" customFormat="1" x14ac:dyDescent="0.25">
      <c r="A178" s="201"/>
      <c r="B178" s="475"/>
      <c r="C178" s="475"/>
      <c r="D178" s="475"/>
      <c r="E178" s="475"/>
      <c r="F178" s="475"/>
      <c r="G178" s="475"/>
      <c r="H178" s="475"/>
      <c r="I178" s="475"/>
      <c r="J178" s="475"/>
      <c r="K178" s="475"/>
      <c r="L178" s="475"/>
      <c r="M178" s="755" t="s">
        <v>10</v>
      </c>
      <c r="N178" s="1368"/>
      <c r="O178" s="201"/>
      <c r="P178" s="36"/>
      <c r="Q178" s="36"/>
      <c r="R178" s="36"/>
      <c r="S178" s="36"/>
      <c r="T178" s="36"/>
    </row>
    <row r="179" spans="1:20" s="471" customFormat="1" x14ac:dyDescent="0.25">
      <c r="A179" s="201"/>
      <c r="B179" s="475"/>
      <c r="C179" s="475"/>
      <c r="D179" s="475"/>
      <c r="E179" s="475"/>
      <c r="F179" s="475"/>
      <c r="G179" s="475"/>
      <c r="H179" s="475"/>
      <c r="I179" s="480"/>
      <c r="J179" s="475"/>
      <c r="K179" s="475"/>
      <c r="L179" s="475"/>
      <c r="M179" s="114" t="s">
        <v>352</v>
      </c>
      <c r="N179" s="1330"/>
      <c r="O179" s="201"/>
      <c r="P179" s="36"/>
      <c r="Q179" s="36"/>
      <c r="R179" s="36"/>
      <c r="S179" s="36"/>
      <c r="T179" s="36"/>
    </row>
    <row r="180" spans="1:20" s="471" customFormat="1" x14ac:dyDescent="0.25">
      <c r="A180" s="201"/>
      <c r="B180" s="475"/>
      <c r="C180" s="475"/>
      <c r="D180" s="475"/>
      <c r="E180" s="475"/>
      <c r="F180" s="475"/>
      <c r="G180" s="475"/>
      <c r="H180" s="475"/>
      <c r="I180" s="480"/>
      <c r="J180" s="475"/>
      <c r="K180" s="475"/>
      <c r="L180" s="475"/>
      <c r="M180" s="114" t="s">
        <v>99</v>
      </c>
      <c r="N180" s="1330"/>
      <c r="O180" s="201"/>
      <c r="P180" s="36"/>
      <c r="Q180" s="36"/>
      <c r="R180" s="36"/>
      <c r="S180" s="36"/>
      <c r="T180" s="36"/>
    </row>
    <row r="181" spans="1:20" s="471" customFormat="1" x14ac:dyDescent="0.25">
      <c r="A181" s="201"/>
      <c r="B181" s="475"/>
      <c r="C181" s="475"/>
      <c r="D181" s="475"/>
      <c r="E181" s="475"/>
      <c r="F181" s="475"/>
      <c r="G181" s="475"/>
      <c r="H181" s="475"/>
      <c r="I181" s="475"/>
      <c r="J181" s="475"/>
      <c r="K181" s="475"/>
      <c r="L181" s="475"/>
      <c r="M181" s="114" t="s">
        <v>658</v>
      </c>
      <c r="N181" s="1331"/>
      <c r="O181" s="201"/>
      <c r="P181" s="1051"/>
      <c r="Q181" s="1051"/>
      <c r="R181" s="1051"/>
      <c r="S181" s="36"/>
      <c r="T181" s="36"/>
    </row>
    <row r="182" spans="1:20" s="471" customFormat="1" x14ac:dyDescent="0.25">
      <c r="A182" s="201"/>
      <c r="B182" s="475"/>
      <c r="C182" s="475"/>
      <c r="D182" s="475"/>
      <c r="E182" s="475"/>
      <c r="F182" s="475"/>
      <c r="G182" s="475"/>
      <c r="H182" s="475"/>
      <c r="I182" s="475"/>
      <c r="J182" s="475"/>
      <c r="K182" s="475"/>
      <c r="L182" s="475"/>
      <c r="M182" s="98"/>
      <c r="N182" s="307"/>
      <c r="O182" s="201"/>
      <c r="P182" s="36"/>
      <c r="Q182" s="36"/>
      <c r="R182" s="36"/>
      <c r="S182" s="36"/>
      <c r="T182" s="36"/>
    </row>
    <row r="183" spans="1:20" ht="15.75" x14ac:dyDescent="0.25">
      <c r="A183" s="131"/>
      <c r="B183" s="131"/>
      <c r="C183" s="131"/>
      <c r="D183" s="131"/>
      <c r="E183" s="131"/>
      <c r="F183" s="131"/>
      <c r="G183" s="131"/>
      <c r="H183" s="131"/>
      <c r="I183" s="131"/>
      <c r="J183" s="131"/>
      <c r="K183" s="131"/>
      <c r="L183" s="131"/>
      <c r="M183" s="131"/>
      <c r="N183" s="131"/>
      <c r="O183" s="131"/>
    </row>
    <row r="184" spans="1:20" ht="15.75" x14ac:dyDescent="0.25">
      <c r="A184" s="133"/>
      <c r="B184" s="134" t="s">
        <v>462</v>
      </c>
      <c r="C184" s="364" t="s">
        <v>642</v>
      </c>
      <c r="D184" s="133"/>
      <c r="E184" s="133"/>
      <c r="F184" s="133"/>
      <c r="G184" s="133"/>
      <c r="H184" s="133"/>
      <c r="I184" s="133"/>
      <c r="J184" s="133"/>
      <c r="K184" s="133"/>
      <c r="L184" s="133"/>
      <c r="M184" s="135"/>
      <c r="N184" s="133"/>
      <c r="O184" s="133"/>
    </row>
    <row r="185" spans="1:20" s="188" customFormat="1" x14ac:dyDescent="0.25">
      <c r="A185" s="204"/>
      <c r="B185" s="192"/>
      <c r="C185" s="11"/>
      <c r="D185" s="11"/>
      <c r="E185" s="11"/>
      <c r="F185" s="11"/>
      <c r="G185" s="11"/>
      <c r="H185" s="11"/>
      <c r="I185" s="11"/>
      <c r="J185" s="11"/>
      <c r="K185" s="11"/>
      <c r="L185" s="11"/>
      <c r="M185" s="11"/>
      <c r="N185" s="11"/>
      <c r="O185" s="205"/>
      <c r="P185" s="36"/>
      <c r="Q185" s="36"/>
      <c r="R185" s="36"/>
      <c r="S185" s="36"/>
      <c r="T185" s="36"/>
    </row>
    <row r="186" spans="1:20" s="188" customFormat="1" ht="15" x14ac:dyDescent="0.25">
      <c r="A186" s="204"/>
      <c r="B186" s="97" t="s">
        <v>125</v>
      </c>
      <c r="C186" s="37" t="s">
        <v>821</v>
      </c>
      <c r="D186" s="11"/>
      <c r="E186" s="11"/>
      <c r="F186" s="507"/>
      <c r="H186" s="748" t="s">
        <v>17</v>
      </c>
      <c r="I186" s="11"/>
      <c r="J186" s="11"/>
      <c r="K186" s="11"/>
      <c r="L186" s="11"/>
      <c r="M186" s="113" t="s">
        <v>104</v>
      </c>
      <c r="N186" s="37" t="s">
        <v>824</v>
      </c>
      <c r="O186" s="205"/>
      <c r="P186" s="36"/>
      <c r="Q186" s="36"/>
      <c r="R186" s="36"/>
      <c r="S186" s="36"/>
      <c r="T186" s="36"/>
    </row>
    <row r="187" spans="1:20" s="188" customFormat="1" ht="12.75" customHeight="1" x14ac:dyDescent="0.25">
      <c r="A187" s="204"/>
      <c r="B187" s="865" t="s">
        <v>714</v>
      </c>
      <c r="C187" s="2621" t="s">
        <v>825</v>
      </c>
      <c r="D187" s="11"/>
      <c r="E187" s="11"/>
      <c r="F187" s="11"/>
      <c r="H187" s="1413">
        <v>55000</v>
      </c>
      <c r="I187" s="11"/>
      <c r="J187" s="11"/>
      <c r="K187" s="11"/>
      <c r="L187" s="11"/>
      <c r="M187" s="113" t="s">
        <v>100</v>
      </c>
      <c r="N187" s="37" t="s">
        <v>102</v>
      </c>
      <c r="O187" s="205"/>
      <c r="P187" s="302"/>
      <c r="Q187" s="1051">
        <f>IF(AND(ISNUMBER(H187),'Validn data - hide'!D347&gt;0),IF(H187/'Validn data - hide'!D347-1&gt;'Validn data - hide'!$L347,1,IF(H187/'Validn data - hide'!D347-1&lt;-'Validn data - hide'!$L347,-1,0)),0)</f>
        <v>0</v>
      </c>
      <c r="R187" s="302"/>
      <c r="S187" s="302"/>
      <c r="T187" s="302"/>
    </row>
    <row r="188" spans="1:20" s="188" customFormat="1" x14ac:dyDescent="0.25">
      <c r="A188" s="204"/>
      <c r="B188" s="202"/>
      <c r="C188" s="2662"/>
      <c r="D188" s="11"/>
      <c r="E188" s="11"/>
      <c r="F188" s="11"/>
      <c r="G188" s="11"/>
      <c r="H188" s="11"/>
      <c r="I188" s="11"/>
      <c r="J188" s="11"/>
      <c r="K188" s="11"/>
      <c r="L188" s="11"/>
      <c r="M188" s="113" t="s">
        <v>10</v>
      </c>
      <c r="N188" s="1328"/>
      <c r="O188" s="205"/>
      <c r="P188" s="36"/>
      <c r="Q188" s="36"/>
      <c r="R188" s="36"/>
      <c r="S188" s="36"/>
      <c r="T188" s="36"/>
    </row>
    <row r="189" spans="1:20" s="188" customFormat="1" x14ac:dyDescent="0.25">
      <c r="A189" s="204"/>
      <c r="B189" s="866"/>
      <c r="C189" s="2622"/>
      <c r="D189" s="11"/>
      <c r="E189" s="11"/>
      <c r="F189" s="11"/>
      <c r="G189" s="11"/>
      <c r="H189" s="11"/>
      <c r="I189" s="11"/>
      <c r="J189" s="11"/>
      <c r="K189" s="11"/>
      <c r="L189" s="11"/>
      <c r="M189" s="113" t="s">
        <v>352</v>
      </c>
      <c r="N189" s="1329"/>
      <c r="O189" s="205"/>
      <c r="P189" s="36"/>
      <c r="Q189" s="36"/>
      <c r="R189" s="36"/>
      <c r="S189" s="36"/>
      <c r="T189" s="36"/>
    </row>
    <row r="190" spans="1:20" s="188" customFormat="1" x14ac:dyDescent="0.25">
      <c r="A190" s="204"/>
      <c r="H190" s="11"/>
      <c r="I190" s="11"/>
      <c r="J190" s="11"/>
      <c r="K190" s="11"/>
      <c r="L190" s="11"/>
      <c r="M190" s="113" t="s">
        <v>99</v>
      </c>
      <c r="N190" s="1329"/>
      <c r="O190" s="205"/>
      <c r="P190" s="36"/>
      <c r="Q190" s="36"/>
      <c r="R190" s="36"/>
      <c r="S190" s="36"/>
      <c r="T190" s="36"/>
    </row>
    <row r="191" spans="1:20" s="188" customFormat="1" x14ac:dyDescent="0.25">
      <c r="A191" s="204"/>
      <c r="H191" s="11"/>
      <c r="I191" s="11"/>
      <c r="J191" s="11"/>
      <c r="K191" s="11"/>
      <c r="L191" s="11"/>
      <c r="M191" s="113" t="s">
        <v>658</v>
      </c>
      <c r="N191" s="1328"/>
      <c r="O191" s="205"/>
      <c r="P191" s="36"/>
      <c r="Q191" s="36"/>
      <c r="R191" s="36"/>
      <c r="S191" s="36"/>
      <c r="T191" s="36"/>
    </row>
    <row r="192" spans="1:20" s="188" customFormat="1" x14ac:dyDescent="0.25">
      <c r="A192" s="204"/>
      <c r="H192" s="11"/>
      <c r="I192" s="11"/>
      <c r="J192" s="11"/>
      <c r="K192" s="11"/>
      <c r="L192" s="11"/>
      <c r="M192" s="99"/>
      <c r="N192" s="12"/>
      <c r="O192" s="205"/>
      <c r="P192" s="36"/>
      <c r="Q192" s="36"/>
      <c r="R192" s="36"/>
      <c r="S192" s="36"/>
      <c r="T192" s="36"/>
    </row>
    <row r="193" spans="1:20" s="188" customFormat="1" x14ac:dyDescent="0.25">
      <c r="A193" s="204"/>
      <c r="B193" s="187"/>
      <c r="C193" s="187"/>
      <c r="D193" s="187"/>
      <c r="E193" s="187"/>
      <c r="F193" s="187"/>
      <c r="G193" s="187"/>
      <c r="H193" s="88"/>
      <c r="I193" s="88"/>
      <c r="J193" s="88"/>
      <c r="K193" s="88"/>
      <c r="L193" s="88"/>
      <c r="M193" s="88"/>
      <c r="N193" s="88"/>
      <c r="O193" s="205"/>
      <c r="P193" s="36"/>
      <c r="Q193" s="36"/>
      <c r="R193" s="36"/>
      <c r="S193" s="36"/>
      <c r="T193" s="36"/>
    </row>
    <row r="194" spans="1:20" s="188" customFormat="1" x14ac:dyDescent="0.25">
      <c r="A194" s="204"/>
      <c r="B194" s="100" t="s">
        <v>126</v>
      </c>
      <c r="C194" s="94" t="s">
        <v>822</v>
      </c>
      <c r="D194" s="88"/>
      <c r="E194" s="88"/>
      <c r="F194" s="490" t="s">
        <v>67</v>
      </c>
      <c r="G194" s="694"/>
      <c r="H194" s="1414">
        <v>0.6</v>
      </c>
      <c r="I194" s="88"/>
      <c r="J194" s="88"/>
      <c r="K194" s="88"/>
      <c r="L194" s="88"/>
      <c r="M194" s="2626" t="s">
        <v>104</v>
      </c>
      <c r="N194" s="2612" t="s">
        <v>823</v>
      </c>
      <c r="O194" s="205"/>
      <c r="P194" s="36"/>
      <c r="Q194" s="1051">
        <f>IF(AND(ISNUMBER(H194),'Validn data - hide'!D350&gt;0),IF(H194/'Validn data - hide'!D350-1&gt;'Validn data - hide'!$L350,1,IF(H194/'Validn data - hide'!D350-1&lt;-'Validn data - hide'!$L350,-1,0)),0)</f>
        <v>0</v>
      </c>
      <c r="R194" s="36"/>
      <c r="S194" s="36"/>
      <c r="T194" s="36"/>
    </row>
    <row r="195" spans="1:20" s="188" customFormat="1" x14ac:dyDescent="0.25">
      <c r="A195" s="204"/>
      <c r="B195" s="508"/>
      <c r="C195" s="88"/>
      <c r="D195" s="88"/>
      <c r="E195" s="88"/>
      <c r="F195" s="490" t="s">
        <v>597</v>
      </c>
      <c r="G195" s="694"/>
      <c r="H195" s="1415">
        <v>0.3</v>
      </c>
      <c r="I195" s="88"/>
      <c r="J195" s="88"/>
      <c r="K195" s="88"/>
      <c r="L195" s="88"/>
      <c r="M195" s="2627"/>
      <c r="N195" s="2614"/>
      <c r="O195" s="205"/>
      <c r="P195" s="36"/>
      <c r="Q195" s="1051">
        <f>IF(AND(ISNUMBER(H195),'Validn data - hide'!D351&gt;0),IF(H195/'Validn data - hide'!D351-1&gt;'Validn data - hide'!$L351,1,IF(H195/'Validn data - hide'!D351-1&lt;-'Validn data - hide'!$L351,-1,0)),0)</f>
        <v>0</v>
      </c>
      <c r="R195" s="36"/>
      <c r="S195" s="36"/>
      <c r="T195" s="36"/>
    </row>
    <row r="196" spans="1:20" s="188" customFormat="1" x14ac:dyDescent="0.25">
      <c r="A196" s="204"/>
      <c r="B196" s="508"/>
      <c r="C196" s="88"/>
      <c r="D196" s="88"/>
      <c r="E196" s="88"/>
      <c r="F196" s="490" t="s">
        <v>26</v>
      </c>
      <c r="G196" s="694"/>
      <c r="H196" s="1416">
        <v>0.1</v>
      </c>
      <c r="I196" s="88"/>
      <c r="J196" s="88"/>
      <c r="K196" s="88"/>
      <c r="L196" s="88"/>
      <c r="M196" s="114" t="s">
        <v>100</v>
      </c>
      <c r="N196" s="94" t="s">
        <v>101</v>
      </c>
      <c r="O196" s="205"/>
      <c r="P196" s="36"/>
      <c r="Q196" s="1051">
        <f>IF(AND(ISNUMBER(H196),'Validn data - hide'!D352&gt;0),IF(H196/'Validn data - hide'!D352-1&gt;'Validn data - hide'!$L352,1,IF(H196/'Validn data - hide'!D352-1&lt;-'Validn data - hide'!$L352,-1,0)),0)</f>
        <v>0</v>
      </c>
      <c r="R196" s="36"/>
      <c r="S196" s="36"/>
      <c r="T196" s="36"/>
    </row>
    <row r="197" spans="1:20" s="188" customFormat="1" x14ac:dyDescent="0.25">
      <c r="A197" s="204"/>
      <c r="B197" s="508"/>
      <c r="C197" s="88"/>
      <c r="D197" s="88"/>
      <c r="E197" s="88"/>
      <c r="F197" s="88"/>
      <c r="G197" s="88"/>
      <c r="H197" s="88"/>
      <c r="I197" s="88"/>
      <c r="J197" s="88"/>
      <c r="K197" s="88"/>
      <c r="L197" s="88"/>
      <c r="M197" s="805" t="s">
        <v>10</v>
      </c>
      <c r="N197" s="1368"/>
      <c r="O197" s="205"/>
      <c r="P197" s="36"/>
      <c r="Q197" s="36"/>
      <c r="R197" s="36"/>
      <c r="S197" s="36"/>
      <c r="T197" s="36"/>
    </row>
    <row r="198" spans="1:20" s="188" customFormat="1" x14ac:dyDescent="0.25">
      <c r="A198" s="204"/>
      <c r="B198" s="508"/>
      <c r="C198" s="88"/>
      <c r="D198" s="88"/>
      <c r="E198" s="88"/>
      <c r="F198" s="88"/>
      <c r="G198" s="88"/>
      <c r="H198" s="88"/>
      <c r="I198" s="88"/>
      <c r="J198" s="88"/>
      <c r="K198" s="88"/>
      <c r="L198" s="88"/>
      <c r="M198" s="114" t="s">
        <v>352</v>
      </c>
      <c r="N198" s="1330"/>
      <c r="O198" s="205"/>
      <c r="P198" s="36"/>
      <c r="Q198" s="36"/>
      <c r="R198" s="36"/>
      <c r="S198" s="36"/>
      <c r="T198" s="36"/>
    </row>
    <row r="199" spans="1:20" s="188" customFormat="1" x14ac:dyDescent="0.25">
      <c r="A199" s="204"/>
      <c r="B199" s="508"/>
      <c r="C199" s="88"/>
      <c r="D199" s="88"/>
      <c r="E199" s="88"/>
      <c r="F199" s="88"/>
      <c r="G199" s="88"/>
      <c r="H199" s="88"/>
      <c r="I199" s="88"/>
      <c r="J199" s="88"/>
      <c r="K199" s="88"/>
      <c r="L199" s="88"/>
      <c r="M199" s="114" t="s">
        <v>99</v>
      </c>
      <c r="N199" s="1331"/>
      <c r="O199" s="205"/>
      <c r="P199" s="36"/>
      <c r="Q199" s="36"/>
      <c r="R199" s="36"/>
      <c r="S199" s="36"/>
      <c r="T199" s="36"/>
    </row>
    <row r="200" spans="1:20" s="188" customFormat="1" x14ac:dyDescent="0.25">
      <c r="A200" s="204"/>
      <c r="B200" s="508"/>
      <c r="C200" s="88"/>
      <c r="D200" s="88"/>
      <c r="E200" s="88"/>
      <c r="F200" s="88"/>
      <c r="G200" s="88"/>
      <c r="H200" s="88"/>
      <c r="I200" s="88"/>
      <c r="J200" s="88"/>
      <c r="K200" s="88"/>
      <c r="L200" s="88"/>
      <c r="M200" s="114" t="s">
        <v>658</v>
      </c>
      <c r="N200" s="1331"/>
      <c r="O200" s="205"/>
      <c r="P200" s="36"/>
      <c r="Q200" s="36"/>
      <c r="R200" s="36"/>
      <c r="S200" s="36"/>
      <c r="T200" s="36"/>
    </row>
    <row r="201" spans="1:20" s="188" customFormat="1" x14ac:dyDescent="0.25">
      <c r="A201" s="204"/>
      <c r="B201" s="508"/>
      <c r="C201" s="88"/>
      <c r="D201" s="88"/>
      <c r="E201" s="88"/>
      <c r="F201" s="88"/>
      <c r="G201" s="88"/>
      <c r="H201" s="108" t="s">
        <v>17</v>
      </c>
      <c r="I201" s="88"/>
      <c r="J201" s="88"/>
      <c r="K201" s="88"/>
      <c r="L201" s="88"/>
      <c r="M201" s="88"/>
      <c r="N201" s="88"/>
      <c r="O201" s="205"/>
      <c r="P201" s="36"/>
      <c r="Q201" s="36"/>
      <c r="R201" s="36"/>
      <c r="S201" s="36"/>
      <c r="T201" s="36"/>
    </row>
    <row r="202" spans="1:20" s="188" customFormat="1" ht="12.75" customHeight="1" x14ac:dyDescent="0.25">
      <c r="A202" s="204"/>
      <c r="B202" s="508"/>
      <c r="C202" s="88"/>
      <c r="D202" s="88"/>
      <c r="E202" s="88"/>
      <c r="F202" s="490" t="s">
        <v>67</v>
      </c>
      <c r="G202" s="186"/>
      <c r="H202" s="1022">
        <f>H194*$H$187</f>
        <v>33000</v>
      </c>
      <c r="I202" s="88"/>
      <c r="J202" s="88"/>
      <c r="K202" s="88"/>
      <c r="L202" s="88"/>
      <c r="M202" s="759" t="s">
        <v>393</v>
      </c>
      <c r="N202" s="2612" t="s">
        <v>743</v>
      </c>
      <c r="O202" s="205"/>
      <c r="P202" s="36"/>
      <c r="Q202" s="36"/>
      <c r="R202" s="36"/>
      <c r="S202" s="36"/>
      <c r="T202" s="36"/>
    </row>
    <row r="203" spans="1:20" s="188" customFormat="1" x14ac:dyDescent="0.25">
      <c r="A203" s="204"/>
      <c r="B203" s="508"/>
      <c r="C203" s="88"/>
      <c r="D203" s="88"/>
      <c r="E203" s="88"/>
      <c r="F203" s="490" t="s">
        <v>597</v>
      </c>
      <c r="G203" s="186"/>
      <c r="H203" s="1023">
        <f>H195*$H$187</f>
        <v>16500</v>
      </c>
      <c r="I203" s="88"/>
      <c r="J203" s="88"/>
      <c r="K203" s="88"/>
      <c r="L203" s="88"/>
      <c r="M203" s="760"/>
      <c r="N203" s="2613"/>
      <c r="O203" s="205"/>
      <c r="P203" s="36"/>
      <c r="Q203" s="36"/>
      <c r="R203" s="36"/>
      <c r="S203" s="36"/>
      <c r="T203" s="36"/>
    </row>
    <row r="204" spans="1:20" s="188" customFormat="1" x14ac:dyDescent="0.25">
      <c r="A204" s="204"/>
      <c r="B204" s="508"/>
      <c r="C204" s="88"/>
      <c r="D204" s="88"/>
      <c r="E204" s="88"/>
      <c r="F204" s="490" t="s">
        <v>26</v>
      </c>
      <c r="G204" s="186"/>
      <c r="H204" s="1024">
        <f>H196*$H$187</f>
        <v>5500</v>
      </c>
      <c r="I204" s="88"/>
      <c r="J204" s="88"/>
      <c r="K204" s="88"/>
      <c r="L204" s="88"/>
      <c r="M204" s="114" t="s">
        <v>100</v>
      </c>
      <c r="N204" s="94" t="s">
        <v>102</v>
      </c>
      <c r="O204" s="205"/>
      <c r="P204" s="36"/>
      <c r="Q204" s="36"/>
      <c r="R204" s="36"/>
      <c r="S204" s="36"/>
      <c r="T204" s="36"/>
    </row>
    <row r="205" spans="1:20" s="188" customFormat="1" x14ac:dyDescent="0.25">
      <c r="A205" s="204"/>
      <c r="B205" s="508"/>
      <c r="C205" s="88"/>
      <c r="D205" s="88"/>
      <c r="E205" s="88"/>
      <c r="F205" s="88"/>
      <c r="G205" s="88"/>
      <c r="H205" s="88"/>
      <c r="I205" s="88"/>
      <c r="J205" s="88"/>
      <c r="K205" s="88"/>
      <c r="L205" s="88"/>
      <c r="M205" s="187"/>
      <c r="N205" s="187"/>
      <c r="O205" s="205"/>
      <c r="P205" s="36"/>
      <c r="Q205" s="36"/>
      <c r="R205" s="36"/>
      <c r="S205" s="36"/>
      <c r="T205" s="36"/>
    </row>
    <row r="206" spans="1:20" s="15" customFormat="1" ht="15.75" x14ac:dyDescent="0.25">
      <c r="A206" s="133"/>
      <c r="B206" s="133"/>
      <c r="C206" s="133"/>
      <c r="D206" s="133"/>
      <c r="E206" s="133"/>
      <c r="F206" s="133"/>
      <c r="G206" s="133"/>
      <c r="H206" s="133"/>
      <c r="I206" s="133"/>
      <c r="J206" s="133"/>
      <c r="K206" s="133"/>
      <c r="L206" s="133"/>
      <c r="M206" s="133"/>
      <c r="N206" s="133"/>
      <c r="O206" s="133"/>
      <c r="P206" s="36"/>
      <c r="Q206" s="36"/>
      <c r="R206" s="36"/>
      <c r="S206" s="36"/>
      <c r="T206" s="36"/>
    </row>
    <row r="207" spans="1:20" ht="15.75" x14ac:dyDescent="0.25">
      <c r="B207" s="143" t="s">
        <v>644</v>
      </c>
      <c r="M207" s="19"/>
    </row>
    <row r="208" spans="1:20" x14ac:dyDescent="0.25">
      <c r="B208" s="141" t="s">
        <v>361</v>
      </c>
      <c r="E208" s="16"/>
      <c r="F208" s="122"/>
      <c r="G208" s="434" t="s">
        <v>113</v>
      </c>
      <c r="H208" s="435" t="s">
        <v>114</v>
      </c>
      <c r="I208" s="436" t="s">
        <v>38</v>
      </c>
      <c r="J208" s="6" t="s">
        <v>88</v>
      </c>
      <c r="L208" s="6" t="s">
        <v>368</v>
      </c>
    </row>
    <row r="209" spans="2:15" x14ac:dyDescent="0.2">
      <c r="B209" s="7"/>
      <c r="C209" s="7"/>
      <c r="D209" s="7"/>
      <c r="E209" s="7"/>
      <c r="F209" s="138" t="s">
        <v>143</v>
      </c>
      <c r="G209" s="417">
        <f>$J209*'Other national data'!L423</f>
        <v>157.08209481862903</v>
      </c>
      <c r="H209" s="418">
        <f>$J209*'Other national data'!M423</f>
        <v>25.57425203286796</v>
      </c>
      <c r="I209" s="419">
        <f>$J209*'Other national data'!N423</f>
        <v>1.8265634685149882E-12</v>
      </c>
      <c r="J209" s="1495">
        <f>SUMIFS('Basel data'!E:E,'Basel data'!A:A,L209,'Basel data'!G:G,$B$1)+SUMIFS('Basel data'!F:F,'Basel data'!A:A,L209,'Basel data'!G:G,$B$1)+SUMIFS('Basel data'!E:E,'Basel data'!C:C,L209,'Basel data'!G:G,$B$1)+SUMIFS('Basel data'!F:F,'Basel data'!C:C,L209,'Basel data'!G:G,$B$1)</f>
        <v>182.65634685149882</v>
      </c>
      <c r="L209" s="121" t="s">
        <v>142</v>
      </c>
      <c r="O209" s="36" t="str">
        <f t="shared" ref="O209:O225" si="10">IF(SUM(G209:I209)=J209,"OK","Error")</f>
        <v>OK</v>
      </c>
    </row>
    <row r="210" spans="2:15" x14ac:dyDescent="0.2">
      <c r="B210" s="7"/>
      <c r="C210" s="7"/>
      <c r="D210" s="7"/>
      <c r="E210" s="7"/>
      <c r="F210" s="138" t="s">
        <v>152</v>
      </c>
      <c r="G210" s="123">
        <f>$J210*'Other national data'!L424</f>
        <v>137.73340552486334</v>
      </c>
      <c r="H210" s="420">
        <f>$J210*'Other national data'!M424</f>
        <v>523.01314479956147</v>
      </c>
      <c r="I210" s="421">
        <f>$J210*'Other national data'!N424</f>
        <v>6.607465503244314E-12</v>
      </c>
      <c r="J210" s="1495">
        <f>SUMIFS('Basel data'!E:E,'Basel data'!A:A,L210,'Basel data'!G:G,$B$1)+SUMIFS('Basel data'!F:F,'Basel data'!A:A,L210,'Basel data'!G:G,$B$1)+SUMIFS('Basel data'!E:E,'Basel data'!C:C,L210,'Basel data'!G:G,$B$1)+SUMIFS('Basel data'!F:F,'Basel data'!C:C,L210,'Basel data'!G:G,$B$1)</f>
        <v>660.74655032443138</v>
      </c>
      <c r="L210" s="121" t="s">
        <v>151</v>
      </c>
      <c r="O210" s="36" t="str">
        <f t="shared" si="10"/>
        <v>OK</v>
      </c>
    </row>
    <row r="211" spans="2:15" x14ac:dyDescent="0.2">
      <c r="B211" s="7"/>
      <c r="C211" s="7"/>
      <c r="D211" s="7"/>
      <c r="E211" s="7"/>
      <c r="F211" s="138" t="s">
        <v>156</v>
      </c>
      <c r="G211" s="123">
        <f>$J211*'Other national data'!L425</f>
        <v>3905.9659370896684</v>
      </c>
      <c r="H211" s="420">
        <f>$J211*'Other national data'!M425</f>
        <v>12373.046378687313</v>
      </c>
      <c r="I211" s="421">
        <f>$J211*'Other national data'!N425</f>
        <v>1.6279012315777145E-10</v>
      </c>
      <c r="J211" s="1495">
        <f>SUMIFS('Basel data'!E:E,'Basel data'!A:A,L211,'Basel data'!G:G,$B$1)+SUMIFS('Basel data'!F:F,'Basel data'!A:A,L211,'Basel data'!G:G,$B$1)+SUMIFS('Basel data'!E:E,'Basel data'!C:C,L211,'Basel data'!G:G,$B$1)+SUMIFS('Basel data'!F:F,'Basel data'!C:C,L211,'Basel data'!G:G,$B$1)</f>
        <v>16279.012315777145</v>
      </c>
      <c r="L211" s="121" t="s">
        <v>155</v>
      </c>
      <c r="O211" s="36" t="str">
        <f t="shared" si="10"/>
        <v>OK</v>
      </c>
    </row>
    <row r="212" spans="2:15" x14ac:dyDescent="0.2">
      <c r="B212" s="7"/>
      <c r="C212" s="7"/>
      <c r="D212" s="7"/>
      <c r="E212" s="7"/>
      <c r="F212" s="138" t="s">
        <v>160</v>
      </c>
      <c r="G212" s="123">
        <f>$J212*'Other national data'!L426</f>
        <v>47132.328499880321</v>
      </c>
      <c r="H212" s="420">
        <f>$J212*'Other national data'!M426</f>
        <v>121887.64773189827</v>
      </c>
      <c r="I212" s="421">
        <f>$J212*'Other national data'!N426</f>
        <v>1.6901997623178029E-9</v>
      </c>
      <c r="J212" s="1495">
        <f>SUMIFS('Basel data'!E:E,'Basel data'!A:A,L212,'Basel data'!G:G,$B$1)+SUMIFS('Basel data'!F:F,'Basel data'!A:A,L212,'Basel data'!G:G,$B$1)+SUMIFS('Basel data'!E:E,'Basel data'!C:C,L212,'Basel data'!G:G,$B$1)+SUMIFS('Basel data'!F:F,'Basel data'!C:C,L212,'Basel data'!G:G,$B$1)</f>
        <v>169019.97623178028</v>
      </c>
      <c r="L212" s="121" t="s">
        <v>159</v>
      </c>
      <c r="O212" s="36" t="str">
        <f t="shared" si="10"/>
        <v>OK</v>
      </c>
    </row>
    <row r="213" spans="2:15" x14ac:dyDescent="0.2">
      <c r="B213" s="7"/>
      <c r="C213" s="7"/>
      <c r="D213" s="7"/>
      <c r="E213" s="7"/>
      <c r="F213" s="138" t="s">
        <v>210</v>
      </c>
      <c r="G213" s="123">
        <f>$J213*'Other national data'!L427</f>
        <v>0.62325065495533916</v>
      </c>
      <c r="H213" s="420">
        <f>$J213*'Other national data'!M427</f>
        <v>56.721201591334392</v>
      </c>
      <c r="I213" s="421">
        <f>$J213*'Other national data'!N427</f>
        <v>5.7344452246290308E-13</v>
      </c>
      <c r="J213" s="1495">
        <f>SUMIFS('Basel data'!E:E,'Basel data'!A:A,L213,'Basel data'!G:G,$B$1)+SUMIFS('Basel data'!F:F,'Basel data'!A:A,L213,'Basel data'!G:G,$B$1)+SUMIFS('Basel data'!E:E,'Basel data'!C:C,L213,'Basel data'!G:G,$B$1)+SUMIFS('Basel data'!F:F,'Basel data'!C:C,L213,'Basel data'!G:G,$B$1)</f>
        <v>57.344452246290309</v>
      </c>
      <c r="L213" s="121" t="s">
        <v>209</v>
      </c>
      <c r="O213" s="36" t="str">
        <f t="shared" si="10"/>
        <v>OK</v>
      </c>
    </row>
    <row r="214" spans="2:15" x14ac:dyDescent="0.2">
      <c r="B214" s="7"/>
      <c r="C214" s="7"/>
      <c r="D214" s="7"/>
      <c r="E214" s="7"/>
      <c r="F214" s="138" t="s">
        <v>214</v>
      </c>
      <c r="G214" s="123">
        <f>$J214*'Other national data'!L428</f>
        <v>825.61198795486325</v>
      </c>
      <c r="H214" s="420">
        <f>$J214*'Other national data'!M428</f>
        <v>1750.7353535002871</v>
      </c>
      <c r="I214" s="421">
        <f>$J214*'Other national data'!N428</f>
        <v>2.5763473414551763E-11</v>
      </c>
      <c r="J214" s="1495">
        <f>SUMIFS('Basel data'!E:E,'Basel data'!A:A,L214,'Basel data'!G:G,$B$1)+SUMIFS('Basel data'!F:F,'Basel data'!A:A,L214,'Basel data'!G:G,$B$1)+SUMIFS('Basel data'!E:E,'Basel data'!C:C,L214,'Basel data'!G:G,$B$1)+SUMIFS('Basel data'!F:F,'Basel data'!C:C,L214,'Basel data'!G:G,$B$1)</f>
        <v>2576.3473414551763</v>
      </c>
      <c r="L214" s="121" t="s">
        <v>213</v>
      </c>
      <c r="O214" s="36" t="str">
        <f t="shared" si="10"/>
        <v>OK</v>
      </c>
    </row>
    <row r="215" spans="2:15" x14ac:dyDescent="0.2">
      <c r="B215" s="7"/>
      <c r="C215" s="7"/>
      <c r="D215" s="7"/>
      <c r="E215" s="7"/>
      <c r="F215" s="138" t="s">
        <v>220</v>
      </c>
      <c r="G215" s="123">
        <f>$J215*'Other national data'!L429</f>
        <v>19.158801422052036</v>
      </c>
      <c r="H215" s="420">
        <f>$J215*'Other national data'!M429</f>
        <v>206.28458733174136</v>
      </c>
      <c r="I215" s="421">
        <f>$J215*'Other national data'!N429</f>
        <v>2.2544338875379565E-12</v>
      </c>
      <c r="J215" s="1495">
        <f>SUMIFS('Basel data'!E:E,'Basel data'!A:A,L215,'Basel data'!G:G,$B$1)+SUMIFS('Basel data'!F:F,'Basel data'!A:A,L215,'Basel data'!G:G,$B$1)+SUMIFS('Basel data'!E:E,'Basel data'!C:C,L215,'Basel data'!G:G,$B$1)+SUMIFS('Basel data'!F:F,'Basel data'!C:C,L215,'Basel data'!G:G,$B$1)</f>
        <v>225.44338875379566</v>
      </c>
      <c r="L215" s="121" t="s">
        <v>219</v>
      </c>
      <c r="O215" s="36" t="str">
        <f t="shared" si="10"/>
        <v>OK</v>
      </c>
    </row>
    <row r="216" spans="2:15" x14ac:dyDescent="0.2">
      <c r="B216" s="7"/>
      <c r="C216" s="7"/>
      <c r="D216" s="7"/>
      <c r="E216" s="7"/>
      <c r="F216" s="138" t="s">
        <v>230</v>
      </c>
      <c r="G216" s="123">
        <f>$J216*'Other national data'!L430</f>
        <v>24.738356757255939</v>
      </c>
      <c r="H216" s="420">
        <f>$J216*'Other national data'!M430</f>
        <v>344.25357088969128</v>
      </c>
      <c r="I216" s="421">
        <f>$J216*'Other national data'!N430</f>
        <v>3.6899192764695091E-12</v>
      </c>
      <c r="J216" s="1495">
        <f>SUMIFS('Basel data'!E:E,'Basel data'!A:A,L216,'Basel data'!G:G,$B$1)+SUMIFS('Basel data'!F:F,'Basel data'!A:A,L216,'Basel data'!G:G,$B$1)+SUMIFS('Basel data'!E:E,'Basel data'!C:C,L216,'Basel data'!G:G,$B$1)+SUMIFS('Basel data'!F:F,'Basel data'!C:C,L216,'Basel data'!G:G,$B$1)</f>
        <v>368.9919276469509</v>
      </c>
      <c r="L216" s="121" t="s">
        <v>229</v>
      </c>
      <c r="O216" s="36" t="str">
        <f t="shared" si="10"/>
        <v>OK</v>
      </c>
    </row>
    <row r="217" spans="2:15" x14ac:dyDescent="0.2">
      <c r="B217" s="7"/>
      <c r="C217" s="7"/>
      <c r="D217" s="7"/>
      <c r="E217" s="7"/>
      <c r="F217" s="138" t="s">
        <v>238</v>
      </c>
      <c r="G217" s="123">
        <f>$J217*'Other national data'!L431</f>
        <v>682.43311344116773</v>
      </c>
      <c r="H217" s="420">
        <f>$J217*'Other national data'!M431</f>
        <v>5674.2621860350282</v>
      </c>
      <c r="I217" s="421">
        <f>$J217*'Other national data'!N431</f>
        <v>6.3566952994762601E-11</v>
      </c>
      <c r="J217" s="1495">
        <f>SUMIFS('Basel data'!E:E,'Basel data'!A:A,L217,'Basel data'!G:G,$B$1)+SUMIFS('Basel data'!F:F,'Basel data'!A:A,L217,'Basel data'!G:G,$B$1)+SUMIFS('Basel data'!E:E,'Basel data'!C:C,L217,'Basel data'!G:G,$B$1)+SUMIFS('Basel data'!F:F,'Basel data'!C:C,L217,'Basel data'!G:G,$B$1)</f>
        <v>6356.6952994762596</v>
      </c>
      <c r="L217" s="121" t="s">
        <v>237</v>
      </c>
      <c r="O217" s="36" t="str">
        <f t="shared" si="10"/>
        <v>OK</v>
      </c>
    </row>
    <row r="218" spans="2:15" x14ac:dyDescent="0.2">
      <c r="B218" s="7"/>
      <c r="C218" s="7"/>
      <c r="D218" s="7"/>
      <c r="E218" s="7"/>
      <c r="F218" s="138" t="s">
        <v>246</v>
      </c>
      <c r="G218" s="123">
        <f>$J218*'Other national data'!L432</f>
        <v>2825.3722825926047</v>
      </c>
      <c r="H218" s="420">
        <f>$J218*'Other national data'!M432</f>
        <v>53105.099493000977</v>
      </c>
      <c r="I218" s="421">
        <f>$J218*'Other national data'!N432</f>
        <v>5.5930471775594136E-10</v>
      </c>
      <c r="J218" s="1495">
        <f>SUMIFS('Basel data'!E:E,'Basel data'!A:A,L218,'Basel data'!G:G,$B$1)+SUMIFS('Basel data'!F:F,'Basel data'!A:A,L218,'Basel data'!G:G,$B$1)+SUMIFS('Basel data'!E:E,'Basel data'!C:C,L218,'Basel data'!G:G,$B$1)+SUMIFS('Basel data'!F:F,'Basel data'!C:C,L218,'Basel data'!G:G,$B$1)</f>
        <v>55930.471775594138</v>
      </c>
      <c r="L218" s="121" t="s">
        <v>245</v>
      </c>
      <c r="O218" s="36" t="str">
        <f t="shared" si="10"/>
        <v>OK</v>
      </c>
    </row>
    <row r="219" spans="2:15" x14ac:dyDescent="0.2">
      <c r="B219" s="7"/>
      <c r="C219" s="7"/>
      <c r="D219" s="7"/>
      <c r="E219" s="7"/>
      <c r="F219" s="138" t="s">
        <v>256</v>
      </c>
      <c r="G219" s="123">
        <f>$J219*'Other national data'!L433</f>
        <v>2014.8753030346681</v>
      </c>
      <c r="H219" s="420">
        <f>$J219*'Other national data'!M433</f>
        <v>760.76589497185864</v>
      </c>
      <c r="I219" s="421">
        <f>$J219*'Other national data'!N433</f>
        <v>2.7756411980065545E-11</v>
      </c>
      <c r="J219" s="1495">
        <f>SUMIFS('Basel data'!E:E,'Basel data'!A:A,L219,'Basel data'!G:G,$B$1)+SUMIFS('Basel data'!F:F,'Basel data'!A:A,L219,'Basel data'!G:G,$B$1)+SUMIFS('Basel data'!E:E,'Basel data'!C:C,L219,'Basel data'!G:G,$B$1)+SUMIFS('Basel data'!F:F,'Basel data'!C:C,L219,'Basel data'!G:G,$B$1)</f>
        <v>2775.6411980065545</v>
      </c>
      <c r="L219" s="121" t="s">
        <v>255</v>
      </c>
      <c r="O219" s="36" t="str">
        <f t="shared" si="10"/>
        <v>OK</v>
      </c>
    </row>
    <row r="220" spans="2:15" x14ac:dyDescent="0.2">
      <c r="B220" s="7"/>
      <c r="C220" s="7"/>
      <c r="D220" s="7"/>
      <c r="E220" s="7"/>
      <c r="F220" s="139" t="s">
        <v>343</v>
      </c>
      <c r="G220" s="123">
        <f>$J220*'Other national data'!L434</f>
        <v>196576.55319009049</v>
      </c>
      <c r="H220" s="420">
        <f>$J220*'Other national data'!M434</f>
        <v>3040.5945163978818</v>
      </c>
      <c r="I220" s="421">
        <f>$J220*'Other national data'!N434</f>
        <v>1.9961714770649036E-9</v>
      </c>
      <c r="J220" s="1495">
        <f>SUMIFS('Basel data'!E:E,'Basel data'!A:A,L220,'Basel data'!G:G,$B$1)+SUMIFS('Basel data'!F:F,'Basel data'!A:A,L220,'Basel data'!G:G,$B$1)+SUMIFS('Basel data'!E:E,'Basel data'!C:C,L220,'Basel data'!G:G,$B$1)+SUMIFS('Basel data'!F:F,'Basel data'!C:C,L220,'Basel data'!G:G,$B$1)</f>
        <v>199617.14770649036</v>
      </c>
      <c r="L220" s="121" t="s">
        <v>281</v>
      </c>
      <c r="O220" s="36" t="str">
        <f t="shared" si="10"/>
        <v>OK</v>
      </c>
    </row>
    <row r="221" spans="2:15" x14ac:dyDescent="0.2">
      <c r="B221" s="7"/>
      <c r="C221" s="7"/>
      <c r="D221" s="7"/>
      <c r="E221" s="7"/>
      <c r="F221" s="139" t="s">
        <v>97</v>
      </c>
      <c r="G221" s="123">
        <f>$J221*'Other national data'!L435</f>
        <v>14351.047685378691</v>
      </c>
      <c r="H221" s="420">
        <f>$J221*'Other national data'!M435</f>
        <v>-1.4351047685378692E-10</v>
      </c>
      <c r="I221" s="421">
        <f>$J221*'Other national data'!N435</f>
        <v>1.4351047685378692E-10</v>
      </c>
      <c r="J221" s="1495">
        <f>SUMIFS('Basel data'!E:E,'Basel data'!A:A,L221,'Basel data'!G:G,$B$1)+SUMIFS('Basel data'!F:F,'Basel data'!A:A,L221,'Basel data'!G:G,$B$1)+SUMIFS('Basel data'!E:E,'Basel data'!C:C,L221,'Basel data'!G:G,$B$1)+SUMIFS('Basel data'!F:F,'Basel data'!C:C,L221,'Basel data'!G:G,$B$1)</f>
        <v>14351.047685378691</v>
      </c>
      <c r="L221" s="121" t="s">
        <v>293</v>
      </c>
      <c r="O221" s="36" t="str">
        <f t="shared" si="10"/>
        <v>OK</v>
      </c>
    </row>
    <row r="222" spans="2:15" x14ac:dyDescent="0.2">
      <c r="B222" s="7"/>
      <c r="C222" s="7"/>
      <c r="D222" s="7"/>
      <c r="E222" s="7"/>
      <c r="F222" s="139" t="s">
        <v>345</v>
      </c>
      <c r="G222" s="2541">
        <f>$J222*'Other national data'!L443</f>
        <v>43525.87666913771</v>
      </c>
      <c r="H222" s="2542">
        <f>J222-G222</f>
        <v>157697.09822262535</v>
      </c>
      <c r="I222" s="421">
        <f>$J222*'Other national data'!N436</f>
        <v>0</v>
      </c>
      <c r="J222" s="1495">
        <f>SUMIFS('Basel data'!E:E,'Basel data'!A:A,L222,'Basel data'!G:G,$B$1)+SUMIFS('Basel data'!F:F,'Basel data'!A:A,L222,'Basel data'!G:G,$B$1)+SUMIFS('Basel data'!E:E,'Basel data'!C:C,L222,'Basel data'!G:G,$B$1)+SUMIFS('Basel data'!F:F,'Basel data'!C:C,L222,'Basel data'!G:G,$B$1)-SUM(J220:J221)</f>
        <v>201222.97489176306</v>
      </c>
      <c r="K222" s="142" t="s">
        <v>27</v>
      </c>
      <c r="L222" s="121" t="s">
        <v>277</v>
      </c>
      <c r="O222" s="36" t="str">
        <f t="shared" si="10"/>
        <v>OK</v>
      </c>
    </row>
    <row r="223" spans="2:15" x14ac:dyDescent="0.2">
      <c r="B223" s="7"/>
      <c r="C223" s="7"/>
      <c r="D223" s="7"/>
      <c r="E223" s="7"/>
      <c r="F223" s="138" t="s">
        <v>297</v>
      </c>
      <c r="G223" s="123">
        <f>$J223*'Other national data'!L437</f>
        <v>4345.9236137514536</v>
      </c>
      <c r="H223" s="420">
        <f>$J223*'Other national data'!M437</f>
        <v>1285.0786958881176</v>
      </c>
      <c r="I223" s="421">
        <f>$J223*'Other national data'!N437</f>
        <v>5.6310023096396272E-11</v>
      </c>
      <c r="J223" s="1495">
        <f>SUMIFS('Basel data'!E:E,'Basel data'!A:A,L223,'Basel data'!G:G,$B$1)+SUMIFS('Basel data'!F:F,'Basel data'!A:A,L223,'Basel data'!G:G,$B$1)+SUMIFS('Basel data'!E:E,'Basel data'!C:C,L223,'Basel data'!G:G,$B$1)+SUMIFS('Basel data'!F:F,'Basel data'!C:C,L223,'Basel data'!G:G,$B$1)</f>
        <v>5631.0023096396271</v>
      </c>
      <c r="L223" s="121" t="s">
        <v>296</v>
      </c>
      <c r="O223" s="36" t="str">
        <f t="shared" si="10"/>
        <v>OK</v>
      </c>
    </row>
    <row r="224" spans="2:15" x14ac:dyDescent="0.2">
      <c r="B224" s="7"/>
      <c r="C224" s="7"/>
      <c r="D224" s="7"/>
      <c r="E224" s="7"/>
      <c r="F224" s="1283" t="s">
        <v>39</v>
      </c>
      <c r="G224" s="123">
        <f>$J224*'Other national data'!L438</f>
        <v>21822.839392298265</v>
      </c>
      <c r="H224" s="420">
        <f>$J224*'Other national data'!M438</f>
        <v>38967.085721165575</v>
      </c>
      <c r="I224" s="421">
        <f>$J224*'Other national data'!N438</f>
        <v>6.0789925113464448E-10</v>
      </c>
      <c r="J224" s="1495">
        <f>SUMIFS('Basel data'!E:E,'Basel data'!A:A,L224,'Basel data'!G:G,$B$1)+SUMIFS('Basel data'!F:F,'Basel data'!A:A,L224,'Basel data'!G:G,$B$1)+SUMIFS('Basel data'!E:E,'Basel data'!C:C,L224,'Basel data'!G:G,$B$1)+SUMIFS('Basel data'!F:F,'Basel data'!C:C,L224,'Basel data'!G:G,$B$1)</f>
        <v>60789.925113464444</v>
      </c>
      <c r="L224" s="1275" t="s">
        <v>309</v>
      </c>
      <c r="M224" s="420"/>
      <c r="O224" s="36" t="str">
        <f>IF(ROUND(SUM(G224:I224),0)=ROUND(J224,0),"OK","Error")</f>
        <v>OK</v>
      </c>
    </row>
    <row r="225" spans="2:15" x14ac:dyDescent="0.2">
      <c r="C225" s="7"/>
      <c r="D225" s="7"/>
      <c r="E225" s="7"/>
      <c r="F225" s="1283" t="s">
        <v>904</v>
      </c>
      <c r="G225" s="422">
        <f>$J225*'Other national data'!L439</f>
        <v>47.555653119529012</v>
      </c>
      <c r="H225" s="423">
        <f>$J225*'Other national data'!M439</f>
        <v>199.92028609417423</v>
      </c>
      <c r="I225" s="424">
        <f>$J225*'Other national data'!N439</f>
        <v>2.4747593921370573E-12</v>
      </c>
      <c r="J225" s="1495">
        <f>SUMIFS('Basel data'!E:E,'Basel data'!A:A,L225,'Basel data'!G:G,$B$1)+SUMIFS('Basel data'!F:F,'Basel data'!A:A,L225,'Basel data'!G:G,$B$1)+SUMIFS('Basel data'!E:E,'Basel data'!C:C,L225,'Basel data'!G:G,$B$1)+SUMIFS('Basel data'!F:F,'Basel data'!C:C,L225,'Basel data'!G:G,$B$1)-J224</f>
        <v>247.47593921370571</v>
      </c>
      <c r="L225" s="121" t="s">
        <v>303</v>
      </c>
      <c r="O225" s="36" t="str">
        <f t="shared" si="10"/>
        <v>OK</v>
      </c>
    </row>
    <row r="226" spans="2:15" x14ac:dyDescent="0.25">
      <c r="J226" s="1318">
        <f>SUM(J209:J225)</f>
        <v>736292.90047386242</v>
      </c>
      <c r="O226" s="35" t="str">
        <f>IF(SUM(SUMIF('Basel data'!G:G,B1,'Basel data'!E:E),SUMIF('Basel data'!G:G,B1,'Basel data'!F:F))=J226,"OK","Error")</f>
        <v>OK</v>
      </c>
    </row>
    <row r="227" spans="2:15" x14ac:dyDescent="0.25">
      <c r="H227" s="18"/>
      <c r="M227" s="19"/>
    </row>
    <row r="228" spans="2:15" x14ac:dyDescent="0.25">
      <c r="K228" s="126"/>
      <c r="M228" s="19"/>
    </row>
    <row r="229" spans="2:15" ht="15.75" x14ac:dyDescent="0.25">
      <c r="B229" s="143" t="s">
        <v>585</v>
      </c>
      <c r="F229" s="143" t="s">
        <v>586</v>
      </c>
      <c r="K229" s="126"/>
      <c r="M229" s="19"/>
    </row>
    <row r="230" spans="2:15" x14ac:dyDescent="0.25">
      <c r="B230" s="2618"/>
      <c r="C230" s="2619"/>
      <c r="D230" s="2620"/>
      <c r="E230" s="473"/>
      <c r="F230" s="2618"/>
      <c r="G230" s="2619"/>
      <c r="H230" s="2619"/>
      <c r="I230" s="2619"/>
      <c r="J230" s="2619"/>
      <c r="K230" s="2619"/>
      <c r="L230" s="2619"/>
      <c r="M230" s="2619"/>
      <c r="N230" s="2620"/>
    </row>
    <row r="231" spans="2:15" x14ac:dyDescent="0.25">
      <c r="B231" s="2615"/>
      <c r="C231" s="2616"/>
      <c r="D231" s="2617"/>
      <c r="E231" s="473"/>
      <c r="F231" s="2615"/>
      <c r="G231" s="2616"/>
      <c r="H231" s="2616"/>
      <c r="I231" s="2616"/>
      <c r="J231" s="2616"/>
      <c r="K231" s="2616"/>
      <c r="L231" s="2616"/>
      <c r="M231" s="2616"/>
      <c r="N231" s="2617"/>
    </row>
    <row r="232" spans="2:15" x14ac:dyDescent="0.25">
      <c r="B232" s="2615"/>
      <c r="C232" s="2616"/>
      <c r="D232" s="2617"/>
      <c r="E232" s="473"/>
      <c r="F232" s="2615"/>
      <c r="G232" s="2616"/>
      <c r="H232" s="2616"/>
      <c r="I232" s="2616"/>
      <c r="J232" s="2616"/>
      <c r="K232" s="2616"/>
      <c r="L232" s="2616"/>
      <c r="M232" s="2616"/>
      <c r="N232" s="2617"/>
    </row>
    <row r="233" spans="2:15" x14ac:dyDescent="0.25">
      <c r="B233" s="2615"/>
      <c r="C233" s="2616"/>
      <c r="D233" s="2617"/>
      <c r="E233" s="473"/>
      <c r="F233" s="2615"/>
      <c r="G233" s="2616"/>
      <c r="H233" s="2616"/>
      <c r="I233" s="2616"/>
      <c r="J233" s="2616"/>
      <c r="K233" s="2616"/>
      <c r="L233" s="2616"/>
      <c r="M233" s="2616"/>
      <c r="N233" s="2617"/>
    </row>
    <row r="234" spans="2:15" x14ac:dyDescent="0.25">
      <c r="B234" s="2615"/>
      <c r="C234" s="2616"/>
      <c r="D234" s="2617"/>
      <c r="E234" s="473"/>
      <c r="F234" s="2615"/>
      <c r="G234" s="2616"/>
      <c r="H234" s="2616"/>
      <c r="I234" s="2616"/>
      <c r="J234" s="2616"/>
      <c r="K234" s="2616"/>
      <c r="L234" s="2616"/>
      <c r="M234" s="2616"/>
      <c r="N234" s="2617"/>
    </row>
    <row r="235" spans="2:15" x14ac:dyDescent="0.25">
      <c r="B235" s="2615"/>
      <c r="C235" s="2616"/>
      <c r="D235" s="2617"/>
      <c r="E235" s="473"/>
      <c r="F235" s="2615"/>
      <c r="G235" s="2616"/>
      <c r="H235" s="2616"/>
      <c r="I235" s="2616"/>
      <c r="J235" s="2616"/>
      <c r="K235" s="2616"/>
      <c r="L235" s="2616"/>
      <c r="M235" s="2616"/>
      <c r="N235" s="2617"/>
    </row>
    <row r="236" spans="2:15" x14ac:dyDescent="0.25">
      <c r="B236" s="2615"/>
      <c r="C236" s="2616"/>
      <c r="D236" s="2617"/>
      <c r="E236" s="473"/>
      <c r="F236" s="2615"/>
      <c r="G236" s="2616"/>
      <c r="H236" s="2616"/>
      <c r="I236" s="2616"/>
      <c r="J236" s="2616"/>
      <c r="K236" s="2616"/>
      <c r="L236" s="2616"/>
      <c r="M236" s="2616"/>
      <c r="N236" s="2617"/>
    </row>
    <row r="237" spans="2:15" x14ac:dyDescent="0.25">
      <c r="B237" s="2615"/>
      <c r="C237" s="2616"/>
      <c r="D237" s="2617"/>
      <c r="E237" s="473"/>
      <c r="F237" s="2615"/>
      <c r="G237" s="2616"/>
      <c r="H237" s="2616"/>
      <c r="I237" s="2616"/>
      <c r="J237" s="2616"/>
      <c r="K237" s="2616"/>
      <c r="L237" s="2616"/>
      <c r="M237" s="2616"/>
      <c r="N237" s="2617"/>
    </row>
    <row r="238" spans="2:15" x14ac:dyDescent="0.25">
      <c r="B238" s="2615"/>
      <c r="C238" s="2616"/>
      <c r="D238" s="2617"/>
      <c r="E238" s="473"/>
      <c r="F238" s="2615"/>
      <c r="G238" s="2616"/>
      <c r="H238" s="2616"/>
      <c r="I238" s="2616"/>
      <c r="J238" s="2616"/>
      <c r="K238" s="2616"/>
      <c r="L238" s="2616"/>
      <c r="M238" s="2616"/>
      <c r="N238" s="2617"/>
    </row>
    <row r="239" spans="2:15" x14ac:dyDescent="0.25">
      <c r="B239" s="2615"/>
      <c r="C239" s="2616"/>
      <c r="D239" s="2617"/>
      <c r="E239" s="473"/>
      <c r="F239" s="2615"/>
      <c r="G239" s="2616"/>
      <c r="H239" s="2616"/>
      <c r="I239" s="2616"/>
      <c r="J239" s="2616"/>
      <c r="K239" s="2616"/>
      <c r="L239" s="2616"/>
      <c r="M239" s="2616"/>
      <c r="N239" s="2617"/>
    </row>
    <row r="240" spans="2:15" x14ac:dyDescent="0.25">
      <c r="B240" s="2615"/>
      <c r="C240" s="2616"/>
      <c r="D240" s="2617"/>
      <c r="E240" s="473"/>
      <c r="F240" s="2615"/>
      <c r="G240" s="2616"/>
      <c r="H240" s="2616"/>
      <c r="I240" s="2616"/>
      <c r="J240" s="2616"/>
      <c r="K240" s="2616"/>
      <c r="L240" s="2616"/>
      <c r="M240" s="2616"/>
      <c r="N240" s="2617"/>
    </row>
    <row r="241" spans="2:14" x14ac:dyDescent="0.25">
      <c r="B241" s="2615"/>
      <c r="C241" s="2616"/>
      <c r="D241" s="2617"/>
      <c r="E241" s="473"/>
      <c r="F241" s="2615"/>
      <c r="G241" s="2616"/>
      <c r="H241" s="2616"/>
      <c r="I241" s="2616"/>
      <c r="J241" s="2616"/>
      <c r="K241" s="2616"/>
      <c r="L241" s="2616"/>
      <c r="M241" s="2616"/>
      <c r="N241" s="2617"/>
    </row>
    <row r="242" spans="2:14" x14ac:dyDescent="0.25">
      <c r="B242" s="2615"/>
      <c r="C242" s="2616"/>
      <c r="D242" s="2617"/>
      <c r="E242" s="473"/>
      <c r="F242" s="2615"/>
      <c r="G242" s="2616"/>
      <c r="H242" s="2616"/>
      <c r="I242" s="2616"/>
      <c r="J242" s="2616"/>
      <c r="K242" s="2616"/>
      <c r="L242" s="2616"/>
      <c r="M242" s="2616"/>
      <c r="N242" s="2617"/>
    </row>
    <row r="243" spans="2:14" x14ac:dyDescent="0.25">
      <c r="B243" s="2615"/>
      <c r="C243" s="2616"/>
      <c r="D243" s="2617"/>
      <c r="E243" s="473"/>
      <c r="F243" s="2615"/>
      <c r="G243" s="2616"/>
      <c r="H243" s="2616"/>
      <c r="I243" s="2616"/>
      <c r="J243" s="2616"/>
      <c r="K243" s="2616"/>
      <c r="L243" s="2616"/>
      <c r="M243" s="2616"/>
      <c r="N243" s="2617"/>
    </row>
    <row r="244" spans="2:14" x14ac:dyDescent="0.25">
      <c r="B244" s="2615"/>
      <c r="C244" s="2616"/>
      <c r="D244" s="2617"/>
      <c r="E244" s="473"/>
      <c r="F244" s="2615"/>
      <c r="G244" s="2616"/>
      <c r="H244" s="2616"/>
      <c r="I244" s="2616"/>
      <c r="J244" s="2616"/>
      <c r="K244" s="2616"/>
      <c r="L244" s="2616"/>
      <c r="M244" s="2616"/>
      <c r="N244" s="2617"/>
    </row>
    <row r="245" spans="2:14" x14ac:dyDescent="0.25">
      <c r="B245" s="2615"/>
      <c r="C245" s="2616"/>
      <c r="D245" s="2617"/>
      <c r="E245" s="473"/>
      <c r="F245" s="2615"/>
      <c r="G245" s="2616"/>
      <c r="H245" s="2616"/>
      <c r="I245" s="2616"/>
      <c r="J245" s="2616"/>
      <c r="K245" s="2616"/>
      <c r="L245" s="2616"/>
      <c r="M245" s="2616"/>
      <c r="N245" s="2617"/>
    </row>
    <row r="246" spans="2:14" x14ac:dyDescent="0.25">
      <c r="B246" s="2615"/>
      <c r="C246" s="2616"/>
      <c r="D246" s="2617"/>
      <c r="E246" s="473"/>
      <c r="F246" s="2615"/>
      <c r="G246" s="2616"/>
      <c r="H246" s="2616"/>
      <c r="I246" s="2616"/>
      <c r="J246" s="2616"/>
      <c r="K246" s="2616"/>
      <c r="L246" s="2616"/>
      <c r="M246" s="2616"/>
      <c r="N246" s="2617"/>
    </row>
    <row r="247" spans="2:14" x14ac:dyDescent="0.25">
      <c r="B247" s="2615"/>
      <c r="C247" s="2616"/>
      <c r="D247" s="2617"/>
      <c r="E247" s="473"/>
      <c r="F247" s="2615"/>
      <c r="G247" s="2616"/>
      <c r="H247" s="2616"/>
      <c r="I247" s="2616"/>
      <c r="J247" s="2616"/>
      <c r="K247" s="2616"/>
      <c r="L247" s="2616"/>
      <c r="M247" s="2616"/>
      <c r="N247" s="2617"/>
    </row>
    <row r="248" spans="2:14" x14ac:dyDescent="0.25">
      <c r="B248" s="2615"/>
      <c r="C248" s="2616"/>
      <c r="D248" s="2617"/>
      <c r="E248" s="473"/>
      <c r="F248" s="2615"/>
      <c r="G248" s="2616"/>
      <c r="H248" s="2616"/>
      <c r="I248" s="2616"/>
      <c r="J248" s="2616"/>
      <c r="K248" s="2616"/>
      <c r="L248" s="2616"/>
      <c r="M248" s="2616"/>
      <c r="N248" s="2617"/>
    </row>
    <row r="249" spans="2:14" x14ac:dyDescent="0.25">
      <c r="B249" s="2615"/>
      <c r="C249" s="2616"/>
      <c r="D249" s="2617"/>
      <c r="E249" s="473"/>
      <c r="F249" s="2615"/>
      <c r="G249" s="2616"/>
      <c r="H249" s="2616"/>
      <c r="I249" s="2616"/>
      <c r="J249" s="2616"/>
      <c r="K249" s="2616"/>
      <c r="L249" s="2616"/>
      <c r="M249" s="2616"/>
      <c r="N249" s="2617"/>
    </row>
    <row r="250" spans="2:14" x14ac:dyDescent="0.25">
      <c r="B250" s="2615"/>
      <c r="C250" s="2616"/>
      <c r="D250" s="2617"/>
      <c r="E250" s="473"/>
      <c r="F250" s="2615"/>
      <c r="G250" s="2616"/>
      <c r="H250" s="2616"/>
      <c r="I250" s="2616"/>
      <c r="J250" s="2616"/>
      <c r="K250" s="2616"/>
      <c r="L250" s="2616"/>
      <c r="M250" s="2616"/>
      <c r="N250" s="2617"/>
    </row>
    <row r="251" spans="2:14" x14ac:dyDescent="0.25">
      <c r="B251" s="2615"/>
      <c r="C251" s="2616"/>
      <c r="D251" s="2617"/>
      <c r="E251" s="473"/>
      <c r="F251" s="2615"/>
      <c r="G251" s="2616"/>
      <c r="H251" s="2616"/>
      <c r="I251" s="2616"/>
      <c r="J251" s="2616"/>
      <c r="K251" s="2616"/>
      <c r="L251" s="2616"/>
      <c r="M251" s="2616"/>
      <c r="N251" s="2617"/>
    </row>
    <row r="252" spans="2:14" x14ac:dyDescent="0.25">
      <c r="B252" s="2615"/>
      <c r="C252" s="2616"/>
      <c r="D252" s="2617"/>
      <c r="E252" s="473"/>
      <c r="F252" s="2615"/>
      <c r="G252" s="2616"/>
      <c r="H252" s="2616"/>
      <c r="I252" s="2616"/>
      <c r="J252" s="2616"/>
      <c r="K252" s="2616"/>
      <c r="L252" s="2616"/>
      <c r="M252" s="2616"/>
      <c r="N252" s="2617"/>
    </row>
    <row r="253" spans="2:14" x14ac:dyDescent="0.25">
      <c r="B253" s="2634"/>
      <c r="C253" s="2635"/>
      <c r="D253" s="2636"/>
      <c r="E253" s="473"/>
      <c r="F253" s="2634"/>
      <c r="G253" s="2635"/>
      <c r="H253" s="2635"/>
      <c r="I253" s="2635"/>
      <c r="J253" s="2635"/>
      <c r="K253" s="2635"/>
      <c r="L253" s="2635"/>
      <c r="M253" s="2635"/>
      <c r="N253" s="2636"/>
    </row>
    <row r="254" spans="2:14" x14ac:dyDescent="0.25">
      <c r="C254" s="14"/>
      <c r="D254" s="14"/>
      <c r="E254" s="14"/>
      <c r="F254" s="18"/>
      <c r="L254" s="14"/>
      <c r="N254" s="14"/>
    </row>
    <row r="255" spans="2:14" ht="15.75" x14ac:dyDescent="0.25">
      <c r="B255" s="143"/>
      <c r="C255" s="14"/>
      <c r="D255" s="14"/>
      <c r="E255" s="14"/>
      <c r="F255" s="18"/>
      <c r="L255" s="14"/>
      <c r="N255" s="14"/>
    </row>
    <row r="256" spans="2:14" x14ac:dyDescent="0.25">
      <c r="C256" s="14"/>
      <c r="D256" s="14"/>
      <c r="E256" s="14"/>
      <c r="F256" s="18"/>
      <c r="L256" s="14"/>
      <c r="N256" s="14"/>
    </row>
    <row r="257" spans="2:14" x14ac:dyDescent="0.25">
      <c r="C257" s="14"/>
      <c r="D257" s="14"/>
      <c r="E257" s="14"/>
      <c r="F257" s="18"/>
      <c r="L257" s="14"/>
      <c r="N257" s="14"/>
    </row>
    <row r="258" spans="2:14" x14ac:dyDescent="0.25">
      <c r="C258" s="14"/>
      <c r="D258" s="14"/>
      <c r="E258" s="14"/>
      <c r="F258" s="17"/>
      <c r="L258" s="14"/>
      <c r="N258" s="14"/>
    </row>
    <row r="260" spans="2:14" x14ac:dyDescent="0.25">
      <c r="B260" s="7"/>
    </row>
    <row r="261" spans="2:14" x14ac:dyDescent="0.25">
      <c r="B261" s="7"/>
    </row>
    <row r="262" spans="2:14" x14ac:dyDescent="0.25">
      <c r="B262" s="7"/>
    </row>
    <row r="263" spans="2:14" x14ac:dyDescent="0.25">
      <c r="B263" s="7"/>
    </row>
    <row r="264" spans="2:14" x14ac:dyDescent="0.25">
      <c r="B264" s="7"/>
    </row>
    <row r="265" spans="2:14" x14ac:dyDescent="0.25">
      <c r="B265" s="7"/>
    </row>
    <row r="266" spans="2:14" x14ac:dyDescent="0.25">
      <c r="B266" s="7"/>
    </row>
    <row r="267" spans="2:14" x14ac:dyDescent="0.25">
      <c r="B267" s="7"/>
    </row>
    <row r="268" spans="2:14" x14ac:dyDescent="0.25">
      <c r="B268" s="7"/>
    </row>
    <row r="269" spans="2:14" x14ac:dyDescent="0.25">
      <c r="B269" s="7"/>
    </row>
    <row r="270" spans="2:14" x14ac:dyDescent="0.25">
      <c r="B270" s="7"/>
    </row>
    <row r="271" spans="2:14" x14ac:dyDescent="0.25">
      <c r="B271" s="7"/>
    </row>
    <row r="272" spans="2:14" x14ac:dyDescent="0.25">
      <c r="B272" s="7"/>
    </row>
    <row r="273" spans="2:14" x14ac:dyDescent="0.25">
      <c r="B273" s="7"/>
      <c r="C273" s="7"/>
      <c r="D273" s="7"/>
      <c r="E273" s="7"/>
      <c r="L273" s="7"/>
      <c r="M273" s="7"/>
      <c r="N273" s="7"/>
    </row>
    <row r="274" spans="2:14" x14ac:dyDescent="0.25">
      <c r="B274" s="7"/>
      <c r="C274" s="7"/>
      <c r="D274" s="7"/>
      <c r="E274" s="7"/>
      <c r="L274" s="7"/>
      <c r="M274" s="7"/>
      <c r="N274" s="7"/>
    </row>
    <row r="275" spans="2:14" x14ac:dyDescent="0.25">
      <c r="B275" s="7"/>
      <c r="C275" s="7"/>
      <c r="D275" s="7"/>
      <c r="E275" s="7"/>
      <c r="L275" s="7"/>
      <c r="M275" s="7"/>
      <c r="N275" s="7"/>
    </row>
    <row r="276" spans="2:14" x14ac:dyDescent="0.25">
      <c r="B276" s="7"/>
      <c r="C276" s="7"/>
      <c r="D276" s="7"/>
      <c r="E276" s="7"/>
      <c r="L276" s="7"/>
      <c r="M276" s="7"/>
      <c r="N276" s="7"/>
    </row>
    <row r="277" spans="2:14" x14ac:dyDescent="0.25">
      <c r="B277" s="7"/>
      <c r="C277" s="7"/>
      <c r="D277" s="7"/>
      <c r="E277" s="7"/>
      <c r="L277" s="7"/>
      <c r="M277" s="7"/>
      <c r="N277" s="7"/>
    </row>
    <row r="278" spans="2:14" x14ac:dyDescent="0.25">
      <c r="B278" s="7"/>
      <c r="C278" s="7"/>
      <c r="D278" s="7"/>
      <c r="E278" s="7"/>
      <c r="L278" s="7"/>
      <c r="M278" s="7"/>
      <c r="N278" s="7"/>
    </row>
    <row r="279" spans="2:14" x14ac:dyDescent="0.25">
      <c r="B279" s="7"/>
      <c r="C279" s="7"/>
      <c r="D279" s="7"/>
      <c r="E279" s="7"/>
      <c r="L279" s="7"/>
      <c r="M279" s="7"/>
      <c r="N279" s="7"/>
    </row>
    <row r="280" spans="2:14" x14ac:dyDescent="0.25">
      <c r="B280" s="7"/>
      <c r="C280" s="7"/>
      <c r="D280" s="7"/>
      <c r="E280" s="7"/>
      <c r="L280" s="7"/>
      <c r="M280" s="7"/>
      <c r="N280" s="7"/>
    </row>
    <row r="281" spans="2:14" x14ac:dyDescent="0.25">
      <c r="B281" s="7"/>
      <c r="C281" s="7"/>
      <c r="D281" s="7"/>
      <c r="E281" s="7"/>
      <c r="L281" s="7"/>
      <c r="M281" s="7"/>
      <c r="N281" s="7"/>
    </row>
    <row r="282" spans="2:14" x14ac:dyDescent="0.25">
      <c r="B282" s="7"/>
      <c r="C282" s="7"/>
      <c r="D282" s="7"/>
      <c r="E282" s="7"/>
      <c r="L282" s="7"/>
      <c r="M282" s="7"/>
      <c r="N282" s="7"/>
    </row>
    <row r="283" spans="2:14" x14ac:dyDescent="0.25">
      <c r="B283" s="7"/>
      <c r="C283" s="7"/>
      <c r="D283" s="7"/>
      <c r="E283" s="7"/>
      <c r="L283" s="7"/>
      <c r="M283" s="7"/>
      <c r="N283" s="7"/>
    </row>
    <row r="284" spans="2:14" x14ac:dyDescent="0.25">
      <c r="B284" s="7"/>
      <c r="C284" s="7"/>
      <c r="D284" s="7"/>
      <c r="E284" s="7"/>
      <c r="L284" s="7"/>
      <c r="M284" s="7"/>
      <c r="N284" s="7"/>
    </row>
    <row r="285" spans="2:14" x14ac:dyDescent="0.25">
      <c r="B285" s="7"/>
      <c r="C285" s="7"/>
      <c r="D285" s="7"/>
      <c r="E285" s="7"/>
      <c r="L285" s="7"/>
      <c r="M285" s="7"/>
      <c r="N285" s="7"/>
    </row>
    <row r="286" spans="2:14" x14ac:dyDescent="0.25">
      <c r="B286" s="7"/>
      <c r="C286" s="7"/>
      <c r="D286" s="7"/>
      <c r="E286" s="7"/>
      <c r="L286" s="7"/>
      <c r="M286" s="7"/>
      <c r="N286" s="7"/>
    </row>
    <row r="287" spans="2:14" x14ac:dyDescent="0.25">
      <c r="B287" s="7"/>
      <c r="C287" s="7"/>
      <c r="D287" s="7"/>
      <c r="E287" s="7"/>
      <c r="L287" s="7"/>
      <c r="M287" s="7"/>
      <c r="N287" s="7"/>
    </row>
    <row r="288" spans="2:14" x14ac:dyDescent="0.25">
      <c r="B288" s="7"/>
      <c r="C288" s="7"/>
      <c r="D288" s="7"/>
      <c r="E288" s="7"/>
      <c r="L288" s="7"/>
      <c r="M288" s="7"/>
      <c r="N288" s="7"/>
    </row>
    <row r="289" spans="2:14" x14ac:dyDescent="0.25">
      <c r="B289" s="7"/>
      <c r="C289" s="7"/>
      <c r="D289" s="7"/>
      <c r="E289" s="7"/>
      <c r="L289" s="7"/>
      <c r="M289" s="7"/>
      <c r="N289" s="7"/>
    </row>
    <row r="290" spans="2:14" x14ac:dyDescent="0.25">
      <c r="B290" s="7"/>
      <c r="C290" s="7"/>
      <c r="D290" s="7"/>
      <c r="E290" s="7"/>
      <c r="L290" s="7"/>
      <c r="M290" s="7"/>
      <c r="N290" s="7"/>
    </row>
    <row r="291" spans="2:14" x14ac:dyDescent="0.25">
      <c r="B291" s="7"/>
      <c r="C291" s="7"/>
      <c r="D291" s="7"/>
      <c r="E291" s="7"/>
      <c r="L291" s="7"/>
      <c r="M291" s="7"/>
      <c r="N291" s="7"/>
    </row>
    <row r="292" spans="2:14" x14ac:dyDescent="0.25">
      <c r="B292" s="7"/>
      <c r="C292" s="7"/>
      <c r="D292" s="7"/>
      <c r="E292" s="7"/>
      <c r="L292" s="7"/>
      <c r="M292" s="7"/>
      <c r="N292" s="7"/>
    </row>
    <row r="293" spans="2:14" x14ac:dyDescent="0.25">
      <c r="B293" s="7"/>
      <c r="C293" s="7"/>
      <c r="D293" s="7"/>
      <c r="E293" s="7"/>
      <c r="L293" s="7"/>
      <c r="M293" s="7"/>
      <c r="N293" s="7"/>
    </row>
    <row r="294" spans="2:14" x14ac:dyDescent="0.25">
      <c r="B294" s="7"/>
      <c r="C294" s="7"/>
      <c r="D294" s="7"/>
      <c r="E294" s="7"/>
      <c r="L294" s="7"/>
      <c r="M294" s="7"/>
      <c r="N294" s="7"/>
    </row>
    <row r="295" spans="2:14" x14ac:dyDescent="0.25">
      <c r="B295" s="7"/>
      <c r="C295" s="7"/>
      <c r="D295" s="7"/>
      <c r="E295" s="7"/>
      <c r="L295" s="7"/>
      <c r="M295" s="7"/>
      <c r="N295" s="7"/>
    </row>
    <row r="296" spans="2:14" x14ac:dyDescent="0.25">
      <c r="B296" s="7"/>
      <c r="C296" s="7"/>
      <c r="D296" s="7"/>
      <c r="E296" s="7"/>
      <c r="L296" s="7"/>
      <c r="M296" s="7"/>
      <c r="N296" s="7"/>
    </row>
    <row r="297" spans="2:14" x14ac:dyDescent="0.25">
      <c r="B297" s="7"/>
      <c r="C297" s="7"/>
      <c r="D297" s="7"/>
      <c r="E297" s="7"/>
      <c r="L297" s="7"/>
      <c r="M297" s="7"/>
      <c r="N297" s="7"/>
    </row>
    <row r="298" spans="2:14" x14ac:dyDescent="0.25">
      <c r="B298" s="7"/>
      <c r="C298" s="7"/>
      <c r="D298" s="7"/>
      <c r="E298" s="7"/>
      <c r="L298" s="7"/>
      <c r="M298" s="7"/>
      <c r="N298" s="7"/>
    </row>
    <row r="299" spans="2:14" x14ac:dyDescent="0.25">
      <c r="B299" s="7"/>
      <c r="C299" s="7"/>
      <c r="D299" s="7"/>
      <c r="E299" s="7"/>
      <c r="L299" s="7"/>
      <c r="M299" s="7"/>
      <c r="N299" s="7"/>
    </row>
    <row r="300" spans="2:14" x14ac:dyDescent="0.25">
      <c r="B300" s="7"/>
      <c r="C300" s="7"/>
      <c r="D300" s="7"/>
      <c r="E300" s="7"/>
      <c r="L300" s="7"/>
      <c r="M300" s="7"/>
      <c r="N300" s="7"/>
    </row>
    <row r="301" spans="2:14" x14ac:dyDescent="0.25">
      <c r="B301" s="7"/>
      <c r="C301" s="7"/>
      <c r="D301" s="7"/>
      <c r="E301" s="7"/>
      <c r="L301" s="7"/>
      <c r="M301" s="7"/>
      <c r="N301" s="7"/>
    </row>
    <row r="302" spans="2:14" x14ac:dyDescent="0.25">
      <c r="B302" s="7"/>
      <c r="C302" s="7"/>
      <c r="D302" s="7"/>
      <c r="E302" s="7"/>
      <c r="L302" s="7"/>
      <c r="M302" s="7"/>
      <c r="N302" s="7"/>
    </row>
    <row r="303" spans="2:14" x14ac:dyDescent="0.25">
      <c r="B303" s="7"/>
      <c r="C303" s="7"/>
      <c r="D303" s="7"/>
      <c r="E303" s="7"/>
      <c r="L303" s="7"/>
      <c r="M303" s="7"/>
      <c r="N303" s="7"/>
    </row>
    <row r="304" spans="2:14" x14ac:dyDescent="0.25">
      <c r="B304" s="7"/>
      <c r="C304" s="7"/>
      <c r="D304" s="7"/>
      <c r="E304" s="7"/>
      <c r="L304" s="7"/>
      <c r="M304" s="7"/>
      <c r="N304" s="7"/>
    </row>
    <row r="305" spans="2:14" x14ac:dyDescent="0.25">
      <c r="B305" s="7"/>
      <c r="C305" s="7"/>
      <c r="D305" s="7"/>
      <c r="E305" s="7"/>
      <c r="L305" s="7"/>
      <c r="M305" s="7"/>
      <c r="N305" s="7"/>
    </row>
    <row r="306" spans="2:14" x14ac:dyDescent="0.25">
      <c r="B306" s="7"/>
      <c r="C306" s="7"/>
      <c r="D306" s="7"/>
      <c r="E306" s="7"/>
      <c r="L306" s="7"/>
      <c r="M306" s="7"/>
      <c r="N306" s="7"/>
    </row>
    <row r="307" spans="2:14" x14ac:dyDescent="0.25">
      <c r="B307" s="7"/>
      <c r="C307" s="7"/>
      <c r="D307" s="7"/>
      <c r="E307" s="7"/>
      <c r="L307" s="7"/>
      <c r="M307" s="7"/>
      <c r="N307" s="7"/>
    </row>
    <row r="308" spans="2:14" x14ac:dyDescent="0.25">
      <c r="B308" s="7"/>
      <c r="C308" s="7"/>
      <c r="D308" s="7"/>
      <c r="E308" s="7"/>
      <c r="L308" s="7"/>
      <c r="M308" s="7"/>
      <c r="N308" s="7"/>
    </row>
    <row r="309" spans="2:14" x14ac:dyDescent="0.25">
      <c r="B309" s="7"/>
      <c r="C309" s="7"/>
      <c r="D309" s="7"/>
      <c r="E309" s="7"/>
      <c r="L309" s="7"/>
      <c r="M309" s="7"/>
      <c r="N309" s="7"/>
    </row>
    <row r="310" spans="2:14" x14ac:dyDescent="0.25">
      <c r="B310" s="7"/>
      <c r="C310" s="7"/>
      <c r="D310" s="7"/>
      <c r="E310" s="7"/>
      <c r="L310" s="7"/>
      <c r="M310" s="7"/>
      <c r="N310" s="7"/>
    </row>
    <row r="311" spans="2:14" x14ac:dyDescent="0.25">
      <c r="B311" s="7"/>
      <c r="C311" s="7"/>
      <c r="D311" s="7"/>
      <c r="E311" s="7"/>
      <c r="L311" s="7"/>
      <c r="M311" s="7"/>
      <c r="N311" s="7"/>
    </row>
    <row r="312" spans="2:14" x14ac:dyDescent="0.25">
      <c r="B312" s="7"/>
      <c r="C312" s="7"/>
      <c r="D312" s="7"/>
      <c r="E312" s="7"/>
      <c r="L312" s="7"/>
      <c r="M312" s="7"/>
      <c r="N312" s="7"/>
    </row>
    <row r="313" spans="2:14" x14ac:dyDescent="0.25">
      <c r="B313" s="7"/>
      <c r="C313" s="7"/>
      <c r="D313" s="7"/>
      <c r="E313" s="7"/>
      <c r="L313" s="7"/>
      <c r="M313" s="7"/>
      <c r="N313" s="7"/>
    </row>
    <row r="314" spans="2:14" x14ac:dyDescent="0.25">
      <c r="B314" s="7"/>
      <c r="C314" s="7"/>
      <c r="D314" s="7"/>
      <c r="E314" s="7"/>
      <c r="L314" s="7"/>
      <c r="M314" s="7"/>
      <c r="N314" s="7"/>
    </row>
    <row r="315" spans="2:14" x14ac:dyDescent="0.25">
      <c r="B315" s="7"/>
      <c r="C315" s="7"/>
      <c r="D315" s="7"/>
      <c r="E315" s="7"/>
      <c r="L315" s="7"/>
      <c r="M315" s="7"/>
      <c r="N315" s="7"/>
    </row>
    <row r="316" spans="2:14" x14ac:dyDescent="0.25">
      <c r="B316" s="7"/>
      <c r="C316" s="7"/>
      <c r="D316" s="7"/>
      <c r="E316" s="7"/>
      <c r="L316" s="7"/>
      <c r="M316" s="7"/>
      <c r="N316" s="7"/>
    </row>
    <row r="317" spans="2:14" x14ac:dyDescent="0.25">
      <c r="B317" s="7"/>
      <c r="C317" s="7"/>
      <c r="D317" s="7"/>
      <c r="E317" s="7"/>
      <c r="L317" s="7"/>
      <c r="M317" s="7"/>
      <c r="N317" s="7"/>
    </row>
    <row r="318" spans="2:14" x14ac:dyDescent="0.25">
      <c r="B318" s="7"/>
      <c r="C318" s="7"/>
      <c r="D318" s="7"/>
      <c r="E318" s="7"/>
      <c r="L318" s="7"/>
      <c r="M318" s="7"/>
      <c r="N318" s="7"/>
    </row>
    <row r="319" spans="2:14" x14ac:dyDescent="0.25">
      <c r="B319" s="7"/>
      <c r="C319" s="7"/>
      <c r="D319" s="7"/>
      <c r="E319" s="7"/>
      <c r="L319" s="7"/>
      <c r="M319" s="7"/>
      <c r="N319" s="7"/>
    </row>
    <row r="320" spans="2:14" x14ac:dyDescent="0.25">
      <c r="B320" s="7"/>
      <c r="C320" s="7"/>
      <c r="D320" s="7"/>
      <c r="E320" s="7"/>
      <c r="L320" s="7"/>
      <c r="M320" s="7"/>
      <c r="N320" s="7"/>
    </row>
    <row r="321" spans="2:14" x14ac:dyDescent="0.25">
      <c r="B321" s="7"/>
      <c r="C321" s="7"/>
      <c r="D321" s="7"/>
      <c r="E321" s="7"/>
      <c r="L321" s="7"/>
      <c r="M321" s="7"/>
      <c r="N321" s="7"/>
    </row>
    <row r="322" spans="2:14" x14ac:dyDescent="0.25">
      <c r="B322" s="7"/>
      <c r="C322" s="7"/>
      <c r="D322" s="7"/>
      <c r="E322" s="7"/>
      <c r="L322" s="7"/>
      <c r="M322" s="7"/>
      <c r="N322" s="7"/>
    </row>
    <row r="323" spans="2:14" x14ac:dyDescent="0.25">
      <c r="B323" s="7"/>
      <c r="C323" s="7"/>
      <c r="D323" s="7"/>
      <c r="E323" s="7"/>
      <c r="L323" s="7"/>
      <c r="M323" s="7"/>
      <c r="N323" s="7"/>
    </row>
    <row r="324" spans="2:14" x14ac:dyDescent="0.25">
      <c r="B324" s="7"/>
      <c r="C324" s="7"/>
      <c r="D324" s="7"/>
      <c r="E324" s="7"/>
      <c r="L324" s="7"/>
      <c r="M324" s="7"/>
      <c r="N324" s="7"/>
    </row>
    <row r="325" spans="2:14" x14ac:dyDescent="0.25">
      <c r="B325" s="7"/>
      <c r="C325" s="7"/>
      <c r="D325" s="7"/>
      <c r="E325" s="7"/>
      <c r="L325" s="7"/>
      <c r="M325" s="7"/>
      <c r="N325" s="7"/>
    </row>
    <row r="326" spans="2:14" x14ac:dyDescent="0.25">
      <c r="B326" s="7"/>
      <c r="C326" s="7"/>
      <c r="D326" s="7"/>
      <c r="E326" s="7"/>
      <c r="L326" s="7"/>
      <c r="M326" s="7"/>
      <c r="N326" s="7"/>
    </row>
    <row r="327" spans="2:14" x14ac:dyDescent="0.25">
      <c r="B327" s="7"/>
      <c r="C327" s="7"/>
      <c r="D327" s="7"/>
      <c r="E327" s="7"/>
      <c r="L327" s="7"/>
      <c r="M327" s="7"/>
      <c r="N327" s="7"/>
    </row>
    <row r="328" spans="2:14" x14ac:dyDescent="0.25">
      <c r="B328" s="7"/>
      <c r="C328" s="7"/>
      <c r="D328" s="7"/>
      <c r="E328" s="7"/>
      <c r="L328" s="7"/>
      <c r="M328" s="7"/>
      <c r="N328" s="7"/>
    </row>
    <row r="329" spans="2:14" x14ac:dyDescent="0.25">
      <c r="B329" s="7"/>
      <c r="C329" s="7"/>
      <c r="D329" s="7"/>
      <c r="E329" s="7"/>
      <c r="L329" s="7"/>
      <c r="M329" s="7"/>
      <c r="N329" s="7"/>
    </row>
    <row r="330" spans="2:14" x14ac:dyDescent="0.25">
      <c r="B330" s="7"/>
      <c r="C330" s="7"/>
      <c r="D330" s="7"/>
      <c r="E330" s="7"/>
      <c r="L330" s="7"/>
      <c r="M330" s="7"/>
      <c r="N330" s="7"/>
    </row>
    <row r="331" spans="2:14" x14ac:dyDescent="0.25">
      <c r="B331" s="7"/>
      <c r="C331" s="7"/>
      <c r="D331" s="7"/>
      <c r="E331" s="7"/>
      <c r="L331" s="7"/>
      <c r="M331" s="7"/>
      <c r="N331" s="7"/>
    </row>
    <row r="332" spans="2:14" x14ac:dyDescent="0.25">
      <c r="B332" s="7"/>
      <c r="C332" s="7"/>
      <c r="D332" s="7"/>
      <c r="E332" s="7"/>
      <c r="L332" s="7"/>
      <c r="M332" s="7"/>
      <c r="N332" s="7"/>
    </row>
    <row r="333" spans="2:14" x14ac:dyDescent="0.25">
      <c r="B333" s="7"/>
      <c r="C333" s="7"/>
      <c r="D333" s="7"/>
      <c r="E333" s="7"/>
      <c r="L333" s="7"/>
      <c r="M333" s="7"/>
      <c r="N333" s="7"/>
    </row>
    <row r="334" spans="2:14" x14ac:dyDescent="0.25">
      <c r="B334" s="7"/>
      <c r="C334" s="7"/>
      <c r="D334" s="7"/>
      <c r="E334" s="7"/>
      <c r="L334" s="7"/>
      <c r="M334" s="7"/>
      <c r="N334" s="7"/>
    </row>
    <row r="335" spans="2:14" x14ac:dyDescent="0.25">
      <c r="B335" s="7"/>
      <c r="C335" s="7"/>
      <c r="D335" s="7"/>
      <c r="E335" s="7"/>
      <c r="L335" s="7"/>
      <c r="M335" s="7"/>
      <c r="N335" s="7"/>
    </row>
    <row r="336" spans="2:14" x14ac:dyDescent="0.25">
      <c r="B336" s="7"/>
      <c r="C336" s="7"/>
      <c r="D336" s="7"/>
      <c r="E336" s="7"/>
      <c r="L336" s="7"/>
      <c r="M336" s="7"/>
      <c r="N336" s="7"/>
    </row>
    <row r="337" spans="2:14" x14ac:dyDescent="0.25">
      <c r="B337" s="7"/>
      <c r="C337" s="7"/>
      <c r="D337" s="7"/>
      <c r="E337" s="7"/>
      <c r="L337" s="7"/>
      <c r="M337" s="7"/>
      <c r="N337" s="7"/>
    </row>
    <row r="338" spans="2:14" x14ac:dyDescent="0.25">
      <c r="B338" s="7"/>
      <c r="C338" s="7"/>
      <c r="D338" s="7"/>
      <c r="E338" s="7"/>
      <c r="L338" s="7"/>
      <c r="M338" s="7"/>
      <c r="N338" s="7"/>
    </row>
    <row r="339" spans="2:14" x14ac:dyDescent="0.25">
      <c r="B339" s="7"/>
      <c r="C339" s="7"/>
      <c r="D339" s="7"/>
      <c r="E339" s="7"/>
      <c r="L339" s="7"/>
      <c r="M339" s="7"/>
      <c r="N339" s="7"/>
    </row>
    <row r="340" spans="2:14" x14ac:dyDescent="0.25">
      <c r="B340" s="7"/>
      <c r="C340" s="7"/>
      <c r="D340" s="7"/>
      <c r="E340" s="7"/>
      <c r="L340" s="7"/>
      <c r="M340" s="7"/>
      <c r="N340" s="7"/>
    </row>
    <row r="341" spans="2:14" x14ac:dyDescent="0.25">
      <c r="B341" s="7"/>
      <c r="C341" s="7"/>
      <c r="D341" s="7"/>
      <c r="E341" s="7"/>
      <c r="L341" s="7"/>
      <c r="M341" s="7"/>
      <c r="N341" s="7"/>
    </row>
    <row r="342" spans="2:14" x14ac:dyDescent="0.25">
      <c r="B342" s="7"/>
      <c r="C342" s="7"/>
      <c r="D342" s="7"/>
      <c r="E342" s="7"/>
      <c r="L342" s="7"/>
      <c r="M342" s="7"/>
      <c r="N342" s="7"/>
    </row>
    <row r="343" spans="2:14" x14ac:dyDescent="0.25">
      <c r="B343" s="7"/>
      <c r="C343" s="7"/>
      <c r="D343" s="7"/>
      <c r="E343" s="7"/>
      <c r="L343" s="7"/>
      <c r="M343" s="7"/>
      <c r="N343" s="7"/>
    </row>
    <row r="344" spans="2:14" x14ac:dyDescent="0.25">
      <c r="B344" s="7"/>
      <c r="C344" s="7"/>
      <c r="D344" s="7"/>
      <c r="E344" s="7"/>
      <c r="L344" s="7"/>
      <c r="M344" s="7"/>
      <c r="N344" s="7"/>
    </row>
    <row r="345" spans="2:14" x14ac:dyDescent="0.25">
      <c r="B345" s="7"/>
      <c r="C345" s="7"/>
      <c r="D345" s="7"/>
      <c r="E345" s="7"/>
      <c r="L345" s="7"/>
      <c r="M345" s="7"/>
      <c r="N345" s="7"/>
    </row>
    <row r="346" spans="2:14" x14ac:dyDescent="0.25">
      <c r="B346" s="7"/>
      <c r="C346" s="7"/>
      <c r="D346" s="7"/>
      <c r="E346" s="7"/>
      <c r="L346" s="7"/>
      <c r="M346" s="7"/>
      <c r="N346" s="7"/>
    </row>
    <row r="347" spans="2:14" x14ac:dyDescent="0.25">
      <c r="B347" s="7"/>
      <c r="C347" s="7"/>
      <c r="D347" s="7"/>
      <c r="E347" s="7"/>
      <c r="L347" s="7"/>
      <c r="M347" s="7"/>
      <c r="N347" s="7"/>
    </row>
    <row r="348" spans="2:14" x14ac:dyDescent="0.25">
      <c r="B348" s="7"/>
      <c r="C348" s="7"/>
      <c r="D348" s="7"/>
      <c r="E348" s="7"/>
      <c r="L348" s="7"/>
      <c r="M348" s="7"/>
      <c r="N348" s="7"/>
    </row>
    <row r="349" spans="2:14" x14ac:dyDescent="0.25">
      <c r="B349" s="7"/>
      <c r="C349" s="7"/>
      <c r="D349" s="7"/>
      <c r="E349" s="7"/>
      <c r="L349" s="7"/>
      <c r="M349" s="7"/>
      <c r="N349" s="7"/>
    </row>
    <row r="350" spans="2:14" x14ac:dyDescent="0.25">
      <c r="B350" s="7"/>
      <c r="C350" s="7"/>
      <c r="D350" s="7"/>
      <c r="E350" s="7"/>
      <c r="L350" s="7"/>
      <c r="M350" s="7"/>
      <c r="N350" s="7"/>
    </row>
    <row r="351" spans="2:14" x14ac:dyDescent="0.25">
      <c r="B351" s="7"/>
      <c r="C351" s="7"/>
      <c r="D351" s="7"/>
      <c r="E351" s="7"/>
      <c r="L351" s="7"/>
      <c r="M351" s="7"/>
      <c r="N351" s="7"/>
    </row>
    <row r="352" spans="2:14" x14ac:dyDescent="0.25">
      <c r="B352" s="7"/>
      <c r="C352" s="7"/>
      <c r="D352" s="7"/>
      <c r="E352" s="7"/>
      <c r="L352" s="7"/>
      <c r="M352" s="7"/>
      <c r="N352" s="7"/>
    </row>
    <row r="353" spans="2:14" x14ac:dyDescent="0.25">
      <c r="B353" s="7"/>
      <c r="C353" s="7"/>
      <c r="D353" s="7"/>
      <c r="E353" s="7"/>
      <c r="L353" s="7"/>
      <c r="M353" s="7"/>
      <c r="N353" s="7"/>
    </row>
    <row r="354" spans="2:14" x14ac:dyDescent="0.25">
      <c r="B354" s="7"/>
      <c r="C354" s="7"/>
      <c r="D354" s="7"/>
      <c r="E354" s="7"/>
      <c r="L354" s="7"/>
      <c r="M354" s="7"/>
      <c r="N354" s="7"/>
    </row>
    <row r="355" spans="2:14" x14ac:dyDescent="0.25">
      <c r="B355" s="7"/>
      <c r="C355" s="7"/>
      <c r="D355" s="7"/>
      <c r="E355" s="7"/>
      <c r="L355" s="7"/>
      <c r="M355" s="7"/>
      <c r="N355" s="7"/>
    </row>
    <row r="356" spans="2:14" x14ac:dyDescent="0.25">
      <c r="B356" s="7"/>
      <c r="C356" s="7"/>
      <c r="D356" s="7"/>
      <c r="E356" s="7"/>
      <c r="L356" s="7"/>
      <c r="M356" s="7"/>
      <c r="N356" s="7"/>
    </row>
    <row r="357" spans="2:14" x14ac:dyDescent="0.25">
      <c r="B357" s="7"/>
      <c r="C357" s="7"/>
      <c r="D357" s="7"/>
      <c r="E357" s="7"/>
      <c r="L357" s="7"/>
      <c r="M357" s="7"/>
      <c r="N357" s="7"/>
    </row>
    <row r="358" spans="2:14" x14ac:dyDescent="0.25">
      <c r="B358" s="7"/>
      <c r="C358" s="7"/>
      <c r="D358" s="7"/>
      <c r="E358" s="7"/>
      <c r="L358" s="7"/>
      <c r="M358" s="7"/>
      <c r="N358" s="7"/>
    </row>
    <row r="359" spans="2:14" x14ac:dyDescent="0.25">
      <c r="B359" s="7"/>
      <c r="C359" s="7"/>
      <c r="D359" s="7"/>
      <c r="E359" s="7"/>
      <c r="L359" s="7"/>
      <c r="M359" s="7"/>
      <c r="N359" s="7"/>
    </row>
  </sheetData>
  <sheetProtection sheet="1" objects="1" scenarios="1"/>
  <mergeCells count="85">
    <mergeCell ref="C108:C110"/>
    <mergeCell ref="C69:C70"/>
    <mergeCell ref="C65:C66"/>
    <mergeCell ref="C63:C64"/>
    <mergeCell ref="C47:C48"/>
    <mergeCell ref="C49:C50"/>
    <mergeCell ref="C148:C149"/>
    <mergeCell ref="M194:M195"/>
    <mergeCell ref="N194:N195"/>
    <mergeCell ref="N148:N149"/>
    <mergeCell ref="C146:C147"/>
    <mergeCell ref="N145:N146"/>
    <mergeCell ref="C187:C189"/>
    <mergeCell ref="C151:C153"/>
    <mergeCell ref="D13:I13"/>
    <mergeCell ref="J13:M13"/>
    <mergeCell ref="M175:M176"/>
    <mergeCell ref="N175:N176"/>
    <mergeCell ref="N8:N10"/>
    <mergeCell ref="D10:I10"/>
    <mergeCell ref="D11:I11"/>
    <mergeCell ref="J11:M11"/>
    <mergeCell ref="D12:I12"/>
    <mergeCell ref="J12:M12"/>
    <mergeCell ref="N65:N68"/>
    <mergeCell ref="M130:M132"/>
    <mergeCell ref="N130:N132"/>
    <mergeCell ref="I46:I47"/>
    <mergeCell ref="J46:J47"/>
    <mergeCell ref="N48:N50"/>
    <mergeCell ref="B230:D230"/>
    <mergeCell ref="F230:N230"/>
    <mergeCell ref="B231:D231"/>
    <mergeCell ref="F231:N231"/>
    <mergeCell ref="N202:N203"/>
    <mergeCell ref="B232:D232"/>
    <mergeCell ref="F232:N232"/>
    <mergeCell ref="B233:D233"/>
    <mergeCell ref="F233:N233"/>
    <mergeCell ref="B234:D234"/>
    <mergeCell ref="F234:N234"/>
    <mergeCell ref="B235:D235"/>
    <mergeCell ref="F235:N235"/>
    <mergeCell ref="B236:D236"/>
    <mergeCell ref="F236:N236"/>
    <mergeCell ref="B237:D237"/>
    <mergeCell ref="F237:N237"/>
    <mergeCell ref="B238:D238"/>
    <mergeCell ref="F238:N238"/>
    <mergeCell ref="B239:D239"/>
    <mergeCell ref="F239:N239"/>
    <mergeCell ref="B240:D240"/>
    <mergeCell ref="F240:N240"/>
    <mergeCell ref="B241:D241"/>
    <mergeCell ref="F241:N241"/>
    <mergeCell ref="B242:D242"/>
    <mergeCell ref="F242:N242"/>
    <mergeCell ref="B243:D243"/>
    <mergeCell ref="F243:N243"/>
    <mergeCell ref="B248:D248"/>
    <mergeCell ref="F248:N248"/>
    <mergeCell ref="B249:D249"/>
    <mergeCell ref="F249:N249"/>
    <mergeCell ref="B244:D244"/>
    <mergeCell ref="F244:N244"/>
    <mergeCell ref="B245:D245"/>
    <mergeCell ref="F245:N245"/>
    <mergeCell ref="B246:D246"/>
    <mergeCell ref="F246:N246"/>
    <mergeCell ref="C28:C29"/>
    <mergeCell ref="D4:E4"/>
    <mergeCell ref="J4:K4"/>
    <mergeCell ref="B253:D253"/>
    <mergeCell ref="F253:N253"/>
    <mergeCell ref="C52:C53"/>
    <mergeCell ref="M117:M119"/>
    <mergeCell ref="N117:N119"/>
    <mergeCell ref="B250:D250"/>
    <mergeCell ref="F250:N250"/>
    <mergeCell ref="B251:D251"/>
    <mergeCell ref="F251:N251"/>
    <mergeCell ref="B252:D252"/>
    <mergeCell ref="F252:N252"/>
    <mergeCell ref="B247:D247"/>
    <mergeCell ref="F247:N247"/>
  </mergeCells>
  <conditionalFormatting sqref="O209:O225">
    <cfRule type="cellIs" dxfId="178" priority="110" operator="equal">
      <formula>"Error"</formula>
    </cfRule>
  </conditionalFormatting>
  <conditionalFormatting sqref="N8:N9">
    <cfRule type="expression" dxfId="177" priority="109">
      <formula>AND(ISNUMBER($D$9),$O$14&gt;0)</formula>
    </cfRule>
  </conditionalFormatting>
  <conditionalFormatting sqref="N11">
    <cfRule type="expression" dxfId="176" priority="108">
      <formula>AND(ISNUMBER($D$9),O11&gt;0)</formula>
    </cfRule>
  </conditionalFormatting>
  <conditionalFormatting sqref="J8:M10">
    <cfRule type="expression" dxfId="175" priority="107">
      <formula>$P$14&lt;0</formula>
    </cfRule>
  </conditionalFormatting>
  <conditionalFormatting sqref="J11:M13">
    <cfRule type="expression" dxfId="174" priority="106">
      <formula>P11&lt;0</formula>
    </cfRule>
  </conditionalFormatting>
  <conditionalFormatting sqref="B10:C10">
    <cfRule type="expression" dxfId="173" priority="105">
      <formula>$D$9&gt;0</formula>
    </cfRule>
  </conditionalFormatting>
  <conditionalFormatting sqref="B11:I13">
    <cfRule type="expression" dxfId="172" priority="104">
      <formula>$D$9=3</formula>
    </cfRule>
  </conditionalFormatting>
  <conditionalFormatting sqref="B11:I12">
    <cfRule type="expression" dxfId="171" priority="103">
      <formula>$D$9=2</formula>
    </cfRule>
  </conditionalFormatting>
  <conditionalFormatting sqref="B11:I11">
    <cfRule type="expression" dxfId="170" priority="102">
      <formula>$D$9=1</formula>
    </cfRule>
  </conditionalFormatting>
  <conditionalFormatting sqref="D11:I11">
    <cfRule type="expression" dxfId="169" priority="100">
      <formula>ISBLANK($D$9)</formula>
    </cfRule>
  </conditionalFormatting>
  <conditionalFormatting sqref="D12:I12">
    <cfRule type="expression" dxfId="168" priority="99">
      <formula>$D$9&lt;2</formula>
    </cfRule>
  </conditionalFormatting>
  <conditionalFormatting sqref="D13:I13">
    <cfRule type="expression" dxfId="167" priority="98">
      <formula>$D$9&lt;3</formula>
    </cfRule>
  </conditionalFormatting>
  <conditionalFormatting sqref="N12">
    <cfRule type="expression" dxfId="166" priority="97">
      <formula>AND($D$9&gt;1,O12&gt;0)</formula>
    </cfRule>
  </conditionalFormatting>
  <conditionalFormatting sqref="N13">
    <cfRule type="expression" dxfId="165" priority="96">
      <formula>AND($D$9&gt;2,O13&gt;0)</formula>
    </cfRule>
  </conditionalFormatting>
  <conditionalFormatting sqref="N20 N178 N28 N65 N22:N23 N30:N31 N180:N181 N38:N39 N190:N191 N52:N53">
    <cfRule type="expression" dxfId="164" priority="95">
      <formula>$B$14=$R$15</formula>
    </cfRule>
  </conditionalFormatting>
  <conditionalFormatting sqref="N148 N151:N152 G26:G27 H64:I99 G48:H60">
    <cfRule type="expression" dxfId="163" priority="94">
      <formula>AND($P$14=0,$Q$14&gt;0)</formula>
    </cfRule>
  </conditionalFormatting>
  <conditionalFormatting sqref="O226">
    <cfRule type="cellIs" dxfId="162" priority="90" operator="equal">
      <formula>"Error"</formula>
    </cfRule>
  </conditionalFormatting>
  <conditionalFormatting sqref="N36">
    <cfRule type="expression" dxfId="161" priority="86">
      <formula>$B$14=$R$15</formula>
    </cfRule>
  </conditionalFormatting>
  <conditionalFormatting sqref="D10:I10">
    <cfRule type="expression" dxfId="160" priority="82">
      <formula>$D$9&gt;0</formula>
    </cfRule>
  </conditionalFormatting>
  <conditionalFormatting sqref="N188">
    <cfRule type="expression" dxfId="159" priority="81">
      <formula>$B$14=$R$15</formula>
    </cfRule>
  </conditionalFormatting>
  <conditionalFormatting sqref="N48">
    <cfRule type="expression" dxfId="158" priority="78">
      <formula>$B$14=$R$15</formula>
    </cfRule>
  </conditionalFormatting>
  <conditionalFormatting sqref="N197">
    <cfRule type="expression" dxfId="157" priority="71">
      <formula>$B$14=$R$15</formula>
    </cfRule>
  </conditionalFormatting>
  <conditionalFormatting sqref="N29">
    <cfRule type="expression" dxfId="156" priority="67">
      <formula>$B$14=$R$15</formula>
    </cfRule>
  </conditionalFormatting>
  <conditionalFormatting sqref="N51">
    <cfRule type="expression" dxfId="155" priority="66">
      <formula>$B$14=$R$15</formula>
    </cfRule>
  </conditionalFormatting>
  <conditionalFormatting sqref="N150">
    <cfRule type="expression" dxfId="154" priority="64">
      <formula>$B$14=$R$15</formula>
    </cfRule>
  </conditionalFormatting>
  <conditionalFormatting sqref="N179">
    <cfRule type="expression" dxfId="153" priority="63">
      <formula>$B$14=$R$15</formula>
    </cfRule>
  </conditionalFormatting>
  <conditionalFormatting sqref="N189">
    <cfRule type="expression" dxfId="152" priority="62">
      <formula>$B$14=$R$15</formula>
    </cfRule>
  </conditionalFormatting>
  <conditionalFormatting sqref="G20">
    <cfRule type="expression" dxfId="151" priority="60">
      <formula>AND($P$14=0,$Q$14&gt;0)</formula>
    </cfRule>
  </conditionalFormatting>
  <conditionalFormatting sqref="D4:E4">
    <cfRule type="expression" dxfId="150" priority="57">
      <formula>COUNTIF(P16:T500,1)&gt;0</formula>
    </cfRule>
  </conditionalFormatting>
  <conditionalFormatting sqref="J4:K4">
    <cfRule type="expression" dxfId="149" priority="56">
      <formula>COUNTIF(P16:T500,-1)&gt;0</formula>
    </cfRule>
  </conditionalFormatting>
  <conditionalFormatting sqref="G20 G26:G27 G48:H60 H64:I99">
    <cfRule type="expression" dxfId="148" priority="53">
      <formula>P20=-1</formula>
    </cfRule>
    <cfRule type="expression" dxfId="147" priority="54">
      <formula>P20=1</formula>
    </cfRule>
  </conditionalFormatting>
  <conditionalFormatting sqref="N70:N71">
    <cfRule type="expression" dxfId="146" priority="52">
      <formula>$B$14=$R$15</formula>
    </cfRule>
  </conditionalFormatting>
  <conditionalFormatting sqref="N69">
    <cfRule type="expression" dxfId="145" priority="51">
      <formula>$B$14=$R$15</formula>
    </cfRule>
  </conditionalFormatting>
  <conditionalFormatting sqref="N199:N200">
    <cfRule type="expression" dxfId="144" priority="50">
      <formula>$B$14=$R$15</formula>
    </cfRule>
  </conditionalFormatting>
  <conditionalFormatting sqref="N198">
    <cfRule type="expression" dxfId="143" priority="49">
      <formula>$B$14=$R$15</formula>
    </cfRule>
  </conditionalFormatting>
  <conditionalFormatting sqref="N21">
    <cfRule type="expression" dxfId="142" priority="48">
      <formula>$B$14=$R$15</formula>
    </cfRule>
  </conditionalFormatting>
  <conditionalFormatting sqref="G145">
    <cfRule type="expression" dxfId="141" priority="25">
      <formula>AND($P$14=0,$Q$14&gt;0)</formula>
    </cfRule>
  </conditionalFormatting>
  <conditionalFormatting sqref="G145">
    <cfRule type="expression" dxfId="140" priority="23">
      <formula>P145=-1</formula>
    </cfRule>
    <cfRule type="expression" dxfId="139" priority="24">
      <formula>P145=1</formula>
    </cfRule>
  </conditionalFormatting>
  <conditionalFormatting sqref="G18">
    <cfRule type="expression" dxfId="138" priority="22">
      <formula>AND($P$14=0,$Q$14&gt;0)</formula>
    </cfRule>
  </conditionalFormatting>
  <conditionalFormatting sqref="G18">
    <cfRule type="expression" dxfId="137" priority="20">
      <formula>P18=-1</formula>
    </cfRule>
    <cfRule type="expression" dxfId="136" priority="21">
      <formula>P18=1</formula>
    </cfRule>
  </conditionalFormatting>
  <conditionalFormatting sqref="G34">
    <cfRule type="expression" dxfId="135" priority="19">
      <formula>AND($P$14=0,$Q$14&gt;0)</formula>
    </cfRule>
  </conditionalFormatting>
  <conditionalFormatting sqref="G34">
    <cfRule type="expression" dxfId="134" priority="17">
      <formula>P34=-1</formula>
    </cfRule>
    <cfRule type="expression" dxfId="133" priority="18">
      <formula>P34=1</formula>
    </cfRule>
  </conditionalFormatting>
  <conditionalFormatting sqref="J145:J170">
    <cfRule type="expression" dxfId="132" priority="16">
      <formula>AND($P$14=0,$Q$14&gt;0)</formula>
    </cfRule>
  </conditionalFormatting>
  <conditionalFormatting sqref="J145:J170">
    <cfRule type="expression" dxfId="131" priority="14">
      <formula>S145=-1</formula>
    </cfRule>
    <cfRule type="expression" dxfId="130" priority="15">
      <formula>S145=1</formula>
    </cfRule>
  </conditionalFormatting>
  <conditionalFormatting sqref="H172">
    <cfRule type="expression" dxfId="129" priority="11">
      <formula>AND($P$14=0,$Q$14&gt;0)</formula>
    </cfRule>
  </conditionalFormatting>
  <conditionalFormatting sqref="H172">
    <cfRule type="expression" dxfId="128" priority="12">
      <formula>P172=-1</formula>
    </cfRule>
    <cfRule type="expression" dxfId="127" priority="13">
      <formula>P172=1</formula>
    </cfRule>
  </conditionalFormatting>
  <conditionalFormatting sqref="G176:I176">
    <cfRule type="expression" dxfId="126" priority="10">
      <formula>AND($P$14=0,$Q$14&gt;0)</formula>
    </cfRule>
  </conditionalFormatting>
  <conditionalFormatting sqref="G176:I176">
    <cfRule type="expression" dxfId="125" priority="8">
      <formula>P176=-1</formula>
    </cfRule>
    <cfRule type="expression" dxfId="124" priority="9">
      <formula>P176=1</formula>
    </cfRule>
  </conditionalFormatting>
  <conditionalFormatting sqref="H187">
    <cfRule type="expression" dxfId="123" priority="7">
      <formula>AND($P$14=0,$Q$14&gt;0)</formula>
    </cfRule>
  </conditionalFormatting>
  <conditionalFormatting sqref="H187">
    <cfRule type="expression" dxfId="122" priority="5">
      <formula>Q187=-1</formula>
    </cfRule>
    <cfRule type="expression" dxfId="121" priority="6">
      <formula>Q187=1</formula>
    </cfRule>
  </conditionalFormatting>
  <conditionalFormatting sqref="H194:H196">
    <cfRule type="expression" dxfId="120" priority="4">
      <formula>AND($P$14=0,$Q$14&gt;0)</formula>
    </cfRule>
  </conditionalFormatting>
  <conditionalFormatting sqref="H194:H196">
    <cfRule type="expression" dxfId="119" priority="2">
      <formula>Q194=-1</formula>
    </cfRule>
    <cfRule type="expression" dxfId="118" priority="3">
      <formula>Q194=1</formula>
    </cfRule>
  </conditionalFormatting>
  <conditionalFormatting sqref="N37">
    <cfRule type="expression" dxfId="117" priority="1">
      <formula>$B$14=$R$15</formula>
    </cfRule>
  </conditionalFormatting>
  <dataValidations disablePrompts="1" count="3">
    <dataValidation type="list" allowBlank="1" showInputMessage="1" showErrorMessage="1" error="Please select from the two possible options by clicking on the small triangle to the right of this cell" sqref="D11:I13">
      <formula1>$R$11:$R$12</formula1>
    </dataValidation>
    <dataValidation type="list" allowBlank="1" showInputMessage="1" showErrorMessage="1" sqref="D9">
      <formula1>"1,2,3"</formula1>
    </dataValidation>
    <dataValidation type="list" allowBlank="1" showInputMessage="1" showErrorMessage="1" error="Please either leave this cell blank or, if you have updated the relevant data, confirm this by clicking on the small arrow to the right of this cell and selecting the available text " sqref="N11:N13">
      <formula1>$R$13</formula1>
    </dataValidation>
  </dataValidations>
  <hyperlinks>
    <hyperlink ref="B3" location="Comments_SA" display="Link to the areas for providing general comments or footnotes"/>
    <hyperlink ref="F5" location="SA!B256" display="SA!B256"/>
    <hyperlink ref="M5" location="Data_validn_explan" display="Data_validn_explan"/>
  </hyperlinks>
  <pageMargins left="0.7" right="0.7" top="0.75" bottom="0.75" header="0.3" footer="0.3"/>
  <pageSetup paperSize="9" orientation="portrait" verticalDpi="0" r:id="rId1"/>
  <legacyDrawing r:id="rId2"/>
  <extLst>
    <ext xmlns:x14="http://schemas.microsoft.com/office/spreadsheetml/2009/9/main" uri="{78C0D931-6437-407d-A8EE-F0AAD7539E65}">
      <x14:conditionalFormattings>
        <x14:conditionalFormatting xmlns:xm="http://schemas.microsoft.com/office/excel/2006/main">
          <x14:cfRule type="cellIs" priority="152" operator="equal" id="{4E6070F4-F419-4F24-93F0-1834157DD6F0}">
            <xm:f>Intro!$B$37</xm:f>
            <x14:dxf>
              <font>
                <color rgb="FFFF0000"/>
              </font>
            </x14:dxf>
          </x14:cfRule>
          <xm:sqref>D11:I13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262"/>
  <sheetViews>
    <sheetView zoomScale="85" zoomScaleNormal="85" workbookViewId="0">
      <pane ySplit="6" topLeftCell="A7" activePane="bottomLeft" state="frozen"/>
      <selection activeCell="A7" sqref="A7"/>
      <selection pane="bottomLeft" activeCell="A7" sqref="A7"/>
    </sheetView>
  </sheetViews>
  <sheetFormatPr defaultColWidth="9.140625" defaultRowHeight="12.75" x14ac:dyDescent="0.25"/>
  <cols>
    <col min="1" max="1" width="1.7109375" style="7" customWidth="1"/>
    <col min="2" max="2" width="35" style="5" customWidth="1"/>
    <col min="3" max="3" width="64.42578125" style="10" customWidth="1"/>
    <col min="4" max="4" width="8.42578125" style="10" customWidth="1"/>
    <col min="5" max="5" width="2.85546875" style="10" customWidth="1"/>
    <col min="6" max="6" width="24.140625" style="7" customWidth="1"/>
    <col min="7" max="8" width="12.5703125" style="7" customWidth="1"/>
    <col min="9" max="9" width="13.140625" style="7" customWidth="1"/>
    <col min="10" max="11" width="12.5703125" style="7" customWidth="1"/>
    <col min="12" max="12" width="2.5703125" style="10" customWidth="1"/>
    <col min="13" max="13" width="21.7109375" style="5" customWidth="1"/>
    <col min="14" max="14" width="44.85546875" style="10" customWidth="1"/>
    <col min="15" max="15" width="2.42578125" style="7" customWidth="1"/>
    <col min="16" max="20" width="3.5703125" style="36" customWidth="1"/>
    <col min="21" max="21" width="9.140625" style="7"/>
    <col min="22" max="22" width="10.7109375" style="7" customWidth="1"/>
    <col min="23" max="24" width="9.140625" style="7"/>
    <col min="25" max="25" width="11" style="7" customWidth="1"/>
    <col min="26" max="16384" width="9.140625" style="7"/>
  </cols>
  <sheetData>
    <row r="1" spans="1:21" s="1693" customFormat="1" ht="18.75" x14ac:dyDescent="0.25">
      <c r="A1" s="1706"/>
      <c r="B1" s="1706" t="s">
        <v>334</v>
      </c>
      <c r="C1" s="1707" t="s">
        <v>958</v>
      </c>
      <c r="D1" s="1707"/>
      <c r="E1" s="1707"/>
      <c r="L1" s="1707"/>
      <c r="M1" s="1706"/>
      <c r="N1" s="1707"/>
      <c r="P1" s="1708"/>
      <c r="Q1" s="1708"/>
      <c r="R1" s="1708"/>
      <c r="S1" s="1708"/>
      <c r="T1" s="1708"/>
    </row>
    <row r="2" spans="1:21" x14ac:dyDescent="0.25">
      <c r="C2" s="6" t="s">
        <v>12</v>
      </c>
      <c r="E2" s="124" t="s">
        <v>13</v>
      </c>
      <c r="F2" s="126" t="s">
        <v>362</v>
      </c>
      <c r="H2" s="624" t="s">
        <v>708</v>
      </c>
      <c r="I2" s="623" t="s">
        <v>709</v>
      </c>
      <c r="L2" s="7"/>
      <c r="M2" s="989" t="s">
        <v>855</v>
      </c>
      <c r="N2" s="126" t="s">
        <v>364</v>
      </c>
    </row>
    <row r="3" spans="1:21" ht="15" x14ac:dyDescent="0.25">
      <c r="B3" s="329" t="s">
        <v>584</v>
      </c>
      <c r="E3" s="125" t="s">
        <v>14</v>
      </c>
      <c r="F3" s="126" t="s">
        <v>363</v>
      </c>
      <c r="H3" s="9" t="s">
        <v>15</v>
      </c>
      <c r="I3" s="126" t="s">
        <v>365</v>
      </c>
      <c r="L3" s="7"/>
      <c r="M3" s="676" t="s">
        <v>366</v>
      </c>
      <c r="N3" s="140" t="s">
        <v>367</v>
      </c>
    </row>
    <row r="4" spans="1:21" s="1055" customFormat="1" ht="18.75" x14ac:dyDescent="0.3">
      <c r="B4" s="1056"/>
      <c r="C4" s="1057"/>
      <c r="D4" s="2605" t="str">
        <f>IF(COUNTIF(P16:T500,1)&gt;0,"Red outline","")</f>
        <v/>
      </c>
      <c r="E4" s="2605"/>
      <c r="F4" s="1058" t="str">
        <f>IF(COUNTIF(P16:T500,1)&gt;0,": The data input value is surprisingly high - please check","")</f>
        <v/>
      </c>
      <c r="J4" s="2605" t="str">
        <f>IF(COUNTIF(P16:T500,-1)&gt;0,"Dotted red outline","")</f>
        <v>Dotted red outline</v>
      </c>
      <c r="K4" s="2605"/>
      <c r="L4" s="1058" t="str">
        <f>IF(COUNTIF(P16:T500,-1)&gt;0,": The data input value is surprisingly low - please check","")</f>
        <v>: The data input value is surprisingly low - please check</v>
      </c>
      <c r="O4" s="1059"/>
      <c r="P4" s="1060"/>
      <c r="Q4" s="1060"/>
      <c r="R4" s="1060"/>
      <c r="S4" s="1060"/>
      <c r="T4" s="1060"/>
      <c r="U4" s="1060"/>
    </row>
    <row r="5" spans="1:21" ht="15" x14ac:dyDescent="0.25">
      <c r="C5" s="14"/>
      <c r="D5" s="14"/>
      <c r="E5" s="14"/>
      <c r="F5" s="1220" t="str">
        <f>IF(COUNTIF(P16:T500,1)&gt;0,"Click here for an explanation","")</f>
        <v/>
      </c>
      <c r="L5" s="7"/>
      <c r="M5" s="83" t="str">
        <f>IF(COUNTIF(P16:T499,-1)&gt;0,"Click here for an explanation","")</f>
        <v>Click here for an explanation</v>
      </c>
      <c r="N5" s="14"/>
      <c r="U5" s="36"/>
    </row>
    <row r="6" spans="1:21" s="105" customFormat="1" ht="15.75" x14ac:dyDescent="0.2">
      <c r="A6" s="103"/>
      <c r="B6" s="3" t="s">
        <v>322</v>
      </c>
      <c r="C6" s="4"/>
      <c r="D6" s="4"/>
      <c r="E6" s="104"/>
      <c r="F6" s="136" t="s">
        <v>328</v>
      </c>
      <c r="G6" s="73"/>
      <c r="H6" s="73"/>
      <c r="I6" s="73"/>
      <c r="J6" s="73"/>
      <c r="K6" s="73"/>
      <c r="L6" s="73"/>
      <c r="M6" s="154" t="s">
        <v>321</v>
      </c>
      <c r="N6" s="73"/>
      <c r="P6" s="1060"/>
      <c r="Q6" s="1060"/>
      <c r="R6" s="1060"/>
      <c r="S6" s="1060"/>
      <c r="T6" s="1060"/>
    </row>
    <row r="7" spans="1:21" x14ac:dyDescent="0.25">
      <c r="C7" s="7"/>
      <c r="D7" s="7"/>
      <c r="E7" s="7"/>
      <c r="L7" s="7"/>
      <c r="N7" s="7"/>
    </row>
    <row r="8" spans="1:21" ht="15.75" x14ac:dyDescent="0.25">
      <c r="B8" s="146" t="s">
        <v>573</v>
      </c>
      <c r="C8" s="127"/>
      <c r="D8" s="127"/>
      <c r="E8" s="127"/>
      <c r="F8" s="127"/>
      <c r="G8" s="129"/>
      <c r="H8" s="129"/>
      <c r="I8" s="127"/>
      <c r="J8" s="147"/>
      <c r="K8" s="147"/>
      <c r="L8" s="147"/>
      <c r="M8" s="147"/>
      <c r="N8" s="2607" t="s">
        <v>360</v>
      </c>
      <c r="P8" s="1050"/>
      <c r="Q8" s="1050"/>
      <c r="R8" s="1050"/>
      <c r="S8" s="1050"/>
      <c r="T8" s="1050"/>
    </row>
    <row r="9" spans="1:21" s="126" customFormat="1" ht="18.75" x14ac:dyDescent="0.25">
      <c r="B9" s="149"/>
      <c r="C9" s="150" t="s">
        <v>357</v>
      </c>
      <c r="D9" s="1319"/>
      <c r="E9" s="128"/>
      <c r="F9" s="455" t="str">
        <f>IF(AND(D9&gt;0,P14=0,O14&lt;D9),"Please fill in the white boxes below","")</f>
        <v/>
      </c>
      <c r="G9" s="129"/>
      <c r="H9" s="129"/>
      <c r="I9" s="128"/>
      <c r="J9" s="147"/>
      <c r="K9" s="147"/>
      <c r="L9" s="147"/>
      <c r="M9" s="147"/>
      <c r="N9" s="2607"/>
      <c r="P9" s="36"/>
      <c r="Q9" s="36"/>
      <c r="R9" s="36"/>
      <c r="S9" s="36"/>
      <c r="T9" s="36"/>
    </row>
    <row r="10" spans="1:21" x14ac:dyDescent="0.25">
      <c r="B10" s="295" t="s">
        <v>99</v>
      </c>
      <c r="C10" s="295" t="s">
        <v>351</v>
      </c>
      <c r="D10" s="2608" t="s">
        <v>640</v>
      </c>
      <c r="E10" s="2608"/>
      <c r="F10" s="2608"/>
      <c r="G10" s="2608"/>
      <c r="H10" s="2608"/>
      <c r="I10" s="2608"/>
      <c r="J10" s="147" t="s">
        <v>320</v>
      </c>
      <c r="K10" s="147"/>
      <c r="L10" s="147"/>
      <c r="M10" s="147"/>
      <c r="N10" s="2607"/>
      <c r="O10" s="302" t="s">
        <v>458</v>
      </c>
    </row>
    <row r="11" spans="1:21" ht="38.25" customHeight="1" x14ac:dyDescent="0.25">
      <c r="B11" s="1545"/>
      <c r="C11" s="1546"/>
      <c r="D11" s="2601"/>
      <c r="E11" s="2601"/>
      <c r="F11" s="2601"/>
      <c r="G11" s="2601"/>
      <c r="H11" s="2601"/>
      <c r="I11" s="2601"/>
      <c r="J11" s="2602"/>
      <c r="K11" s="2602"/>
      <c r="L11" s="2602"/>
      <c r="M11" s="2602"/>
      <c r="N11" s="1324"/>
      <c r="O11" s="36">
        <f>IF(AND(D11=Validated,OR(D9=1,D9=2,D9=3)),1,0)</f>
        <v>0</v>
      </c>
      <c r="P11" s="36">
        <f>IF(AND(D11=Not_validated,OR(D9=1,D9=2,D9=3)),-1,0)</f>
        <v>0</v>
      </c>
      <c r="Q11" s="36">
        <f>IF(AND(O11=1,ISBLANK(N11)),1,0)</f>
        <v>0</v>
      </c>
      <c r="R11" s="36" t="str">
        <f>Validated</f>
        <v>Yes, I believe the calculation steps, assumptions &amp; classifications below reasonably convert our waste data for this year to the form required for the national waste data set.</v>
      </c>
    </row>
    <row r="12" spans="1:21" ht="38.25" customHeight="1" x14ac:dyDescent="0.25">
      <c r="B12" s="1321"/>
      <c r="C12" s="1320"/>
      <c r="D12" s="2601"/>
      <c r="E12" s="2601"/>
      <c r="F12" s="2601"/>
      <c r="G12" s="2601"/>
      <c r="H12" s="2601"/>
      <c r="I12" s="2601"/>
      <c r="J12" s="2602"/>
      <c r="K12" s="2602"/>
      <c r="L12" s="2602"/>
      <c r="M12" s="2602"/>
      <c r="N12" s="457"/>
      <c r="O12" s="36">
        <f>IF(AND(D12=Validated,OR(D9=2,D9=3)),1,0)</f>
        <v>0</v>
      </c>
      <c r="P12" s="36">
        <f>IF(AND(D12=Not_validated,OR(D9=2,D9=3)),-1,0)</f>
        <v>0</v>
      </c>
      <c r="Q12" s="36">
        <f>IF(AND(O12=1,ISBLANK(N12)),1,0)</f>
        <v>0</v>
      </c>
      <c r="R12" s="36" t="str">
        <f>Not_validated</f>
        <v>No, I don't believe the calculation steps, assumptions &amp; classifications below reasonably convert our waste data for this year to the form required for the national waste data set.</v>
      </c>
    </row>
    <row r="13" spans="1:21" ht="38.25" customHeight="1" x14ac:dyDescent="0.25">
      <c r="B13" s="1322"/>
      <c r="C13" s="1323"/>
      <c r="D13" s="2601"/>
      <c r="E13" s="2601"/>
      <c r="F13" s="2601"/>
      <c r="G13" s="2601"/>
      <c r="H13" s="2601"/>
      <c r="I13" s="2601"/>
      <c r="J13" s="2602"/>
      <c r="K13" s="2602"/>
      <c r="L13" s="2602"/>
      <c r="M13" s="2602"/>
      <c r="N13" s="457"/>
      <c r="O13" s="36">
        <f>IF(AND(D13=Validated,D9=3),1,0)</f>
        <v>0</v>
      </c>
      <c r="P13" s="148">
        <f>IF(AND(D13=Not_validated,D9=3),-1,0)</f>
        <v>0</v>
      </c>
      <c r="Q13" s="148">
        <f>IF(AND(O13=1,ISBLANK(N13)),1,0)</f>
        <v>0</v>
      </c>
      <c r="R13" s="36" t="str">
        <f>Intro!B38</f>
        <v>Yes, I have updated all relevant data in the white cells below</v>
      </c>
    </row>
    <row r="14" spans="1:21" ht="26.25" x14ac:dyDescent="0.25">
      <c r="B14" s="152" t="str">
        <f>IF(P14&lt;0,R14,IF(Q14&gt;0,R15,""))</f>
        <v/>
      </c>
      <c r="C14" s="151"/>
      <c r="D14" s="151"/>
      <c r="E14" s="151"/>
      <c r="F14" s="151"/>
      <c r="G14" s="151"/>
      <c r="H14" s="151"/>
      <c r="I14" s="151"/>
      <c r="J14" s="151"/>
      <c r="K14" s="151"/>
      <c r="L14" s="151"/>
      <c r="M14" s="151"/>
      <c r="N14" s="151"/>
      <c r="O14" s="36">
        <f>SUM(O11:O13)</f>
        <v>0</v>
      </c>
      <c r="P14" s="148">
        <f>SUM(P11:P13)</f>
        <v>0</v>
      </c>
      <c r="Q14" s="148">
        <f>SUM(Q11:Q13)</f>
        <v>0</v>
      </c>
      <c r="R14" s="36" t="s">
        <v>807</v>
      </c>
    </row>
    <row r="15" spans="1:21" x14ac:dyDescent="0.25">
      <c r="C15" s="7"/>
      <c r="D15" s="7"/>
      <c r="E15" s="7"/>
      <c r="L15" s="7"/>
      <c r="N15" s="7"/>
      <c r="P15" s="148"/>
      <c r="Q15" s="148"/>
      <c r="R15" s="36" t="s">
        <v>561</v>
      </c>
    </row>
    <row r="16" spans="1:21" ht="15.75" x14ac:dyDescent="0.25">
      <c r="A16" s="130"/>
      <c r="B16" s="130" t="s">
        <v>438</v>
      </c>
      <c r="C16" s="362" t="s">
        <v>575</v>
      </c>
      <c r="D16" s="130"/>
      <c r="E16" s="130"/>
      <c r="F16" s="130"/>
      <c r="G16" s="130"/>
      <c r="H16" s="130"/>
      <c r="I16" s="130"/>
      <c r="J16" s="130"/>
      <c r="K16" s="130"/>
      <c r="L16" s="130"/>
      <c r="M16" s="130"/>
      <c r="N16" s="130"/>
      <c r="O16" s="130"/>
      <c r="P16" s="148"/>
      <c r="Q16" s="148"/>
    </row>
    <row r="17" spans="1:20" s="188" customFormat="1" x14ac:dyDescent="0.25">
      <c r="A17" s="185"/>
      <c r="O17" s="185"/>
      <c r="P17" s="36"/>
      <c r="Q17" s="36"/>
      <c r="R17" s="36"/>
      <c r="S17" s="36"/>
      <c r="T17" s="36"/>
    </row>
    <row r="18" spans="1:20" s="191" customFormat="1" x14ac:dyDescent="0.2">
      <c r="A18" s="185"/>
      <c r="B18" s="97" t="s">
        <v>125</v>
      </c>
      <c r="C18" s="37" t="s">
        <v>933</v>
      </c>
      <c r="D18" s="11"/>
      <c r="E18" s="11"/>
      <c r="F18" s="11"/>
      <c r="G18" s="24" t="s">
        <v>16</v>
      </c>
      <c r="H18" s="24" t="s">
        <v>17</v>
      </c>
      <c r="I18" s="24" t="s">
        <v>18</v>
      </c>
      <c r="J18" s="11"/>
      <c r="K18" s="11"/>
      <c r="L18" s="11"/>
      <c r="M18" s="113" t="s">
        <v>104</v>
      </c>
      <c r="N18" s="37" t="s">
        <v>753</v>
      </c>
      <c r="O18" s="185"/>
      <c r="P18" s="36"/>
      <c r="Q18" s="36"/>
      <c r="R18" s="36"/>
      <c r="S18" s="36"/>
      <c r="T18" s="36"/>
    </row>
    <row r="19" spans="1:20" s="191" customFormat="1" x14ac:dyDescent="0.25">
      <c r="A19" s="185"/>
      <c r="B19" s="113" t="s">
        <v>714</v>
      </c>
      <c r="C19" s="816" t="s">
        <v>936</v>
      </c>
      <c r="D19" s="11"/>
      <c r="E19" s="11"/>
      <c r="F19" s="11"/>
      <c r="G19" s="1325">
        <v>184789</v>
      </c>
      <c r="H19" s="1326">
        <v>208969</v>
      </c>
      <c r="I19" s="1327">
        <v>33600</v>
      </c>
      <c r="J19" s="11"/>
      <c r="K19" s="11"/>
      <c r="L19" s="11"/>
      <c r="M19" s="113" t="s">
        <v>100</v>
      </c>
      <c r="N19" s="37" t="s">
        <v>102</v>
      </c>
      <c r="O19" s="185"/>
      <c r="P19" s="1051">
        <f>IF(AND(ISNUMBER(G19),'Validn data - hide'!C356&gt;0),IF(G19/'Validn data - hide'!C356-1&gt;'Validn data - hide'!$L356,1,IF(G19/'Validn data - hide'!C356-1&lt;-'Validn data - hide'!$L356,-1,0)),0)</f>
        <v>0</v>
      </c>
      <c r="Q19" s="1051">
        <f>IF(AND(ISNUMBER(H19),'Validn data - hide'!D356&gt;0),IF(H19/'Validn data - hide'!D356-1&gt;'Validn data - hide'!$L356,1,IF(H19/'Validn data - hide'!D356-1&lt;-'Validn data - hide'!$L356,-1,0)),0)</f>
        <v>0</v>
      </c>
      <c r="R19" s="1051">
        <f>IF(AND(ISNUMBER(I19),'Validn data - hide'!E356&gt;0),IF(I19/'Validn data - hide'!E356-1&gt;'Validn data - hide'!$L356,1,IF(I19/'Validn data - hide'!E356-1&lt;-'Validn data - hide'!$L356,-1,0)),0)</f>
        <v>0</v>
      </c>
      <c r="S19" s="36"/>
      <c r="T19" s="36"/>
    </row>
    <row r="20" spans="1:20" s="191" customFormat="1" x14ac:dyDescent="0.25">
      <c r="A20" s="185"/>
      <c r="B20" s="193"/>
      <c r="C20" s="188"/>
      <c r="D20" s="11"/>
      <c r="E20" s="11"/>
      <c r="F20" s="11"/>
      <c r="G20" s="11"/>
      <c r="H20" s="11"/>
      <c r="I20" s="11"/>
      <c r="J20" s="11"/>
      <c r="K20" s="11"/>
      <c r="L20" s="11"/>
      <c r="M20" s="113" t="s">
        <v>10</v>
      </c>
      <c r="N20" s="1328"/>
      <c r="O20" s="185"/>
      <c r="P20" s="1051"/>
      <c r="Q20" s="1051"/>
      <c r="R20" s="1051"/>
      <c r="S20" s="1051"/>
      <c r="T20" s="1051"/>
    </row>
    <row r="21" spans="1:20" s="191" customFormat="1" x14ac:dyDescent="0.25">
      <c r="A21" s="185"/>
      <c r="B21" s="193"/>
      <c r="C21" s="188"/>
      <c r="D21" s="12"/>
      <c r="E21" s="12"/>
      <c r="F21" s="12"/>
      <c r="G21" s="12"/>
      <c r="H21" s="12"/>
      <c r="I21" s="12"/>
      <c r="J21" s="12"/>
      <c r="K21" s="12"/>
      <c r="L21" s="12"/>
      <c r="M21" s="113" t="s">
        <v>352</v>
      </c>
      <c r="N21" s="1329"/>
      <c r="O21" s="185"/>
      <c r="P21" s="1051"/>
      <c r="Q21" s="1051"/>
      <c r="R21" s="1051"/>
      <c r="S21" s="1051"/>
      <c r="T21" s="1051"/>
    </row>
    <row r="22" spans="1:20" s="191" customFormat="1" x14ac:dyDescent="0.25">
      <c r="A22" s="185"/>
      <c r="B22" s="193"/>
      <c r="C22" s="188"/>
      <c r="D22" s="12"/>
      <c r="E22" s="12"/>
      <c r="F22" s="12"/>
      <c r="G22" s="12"/>
      <c r="H22" s="12"/>
      <c r="I22" s="12"/>
      <c r="J22" s="12"/>
      <c r="K22" s="12"/>
      <c r="L22" s="12"/>
      <c r="M22" s="113" t="s">
        <v>99</v>
      </c>
      <c r="N22" s="1329"/>
      <c r="O22" s="185"/>
      <c r="P22" s="1051"/>
      <c r="Q22" s="1051"/>
      <c r="R22" s="1051"/>
      <c r="S22" s="1051"/>
      <c r="T22" s="1051"/>
    </row>
    <row r="23" spans="1:20" s="191" customFormat="1" x14ac:dyDescent="0.25">
      <c r="A23" s="185"/>
      <c r="B23" s="193"/>
      <c r="C23" s="188"/>
      <c r="D23" s="12"/>
      <c r="E23" s="12"/>
      <c r="F23" s="12"/>
      <c r="G23" s="12"/>
      <c r="H23" s="12"/>
      <c r="I23" s="12"/>
      <c r="J23" s="12"/>
      <c r="K23" s="12"/>
      <c r="L23" s="12"/>
      <c r="M23" s="113" t="s">
        <v>658</v>
      </c>
      <c r="N23" s="1328"/>
      <c r="O23" s="185"/>
      <c r="P23" s="1051"/>
      <c r="Q23" s="1051"/>
      <c r="R23" s="1051"/>
      <c r="S23" s="1051"/>
      <c r="T23" s="1051"/>
    </row>
    <row r="24" spans="1:20" s="191" customFormat="1" x14ac:dyDescent="0.25">
      <c r="A24" s="185"/>
      <c r="B24" s="193"/>
      <c r="C24" s="188"/>
      <c r="D24" s="11"/>
      <c r="E24" s="11"/>
      <c r="F24" s="11"/>
      <c r="G24" s="11"/>
      <c r="H24" s="11"/>
      <c r="I24" s="11"/>
      <c r="J24" s="11"/>
      <c r="K24" s="11"/>
      <c r="L24" s="11"/>
      <c r="M24" s="11"/>
      <c r="N24" s="11"/>
      <c r="O24" s="185"/>
      <c r="P24" s="1051"/>
      <c r="Q24" s="1051"/>
      <c r="R24" s="1051"/>
      <c r="S24" s="1051"/>
      <c r="T24" s="1051"/>
    </row>
    <row r="25" spans="1:20" s="188" customFormat="1" x14ac:dyDescent="0.25">
      <c r="A25" s="185"/>
      <c r="B25" s="98"/>
      <c r="C25" s="196"/>
      <c r="D25" s="196"/>
      <c r="E25" s="196"/>
      <c r="F25" s="196"/>
      <c r="G25" s="196"/>
      <c r="H25" s="196"/>
      <c r="I25" s="196"/>
      <c r="J25" s="196"/>
      <c r="K25" s="196"/>
      <c r="L25" s="196"/>
      <c r="M25" s="196"/>
      <c r="N25" s="196"/>
      <c r="O25" s="185"/>
      <c r="P25" s="1051"/>
      <c r="Q25" s="1051"/>
      <c r="R25" s="1051"/>
      <c r="S25" s="1051"/>
      <c r="T25" s="1051"/>
    </row>
    <row r="26" spans="1:20" s="188" customFormat="1" x14ac:dyDescent="0.2">
      <c r="A26" s="185"/>
      <c r="B26" s="100" t="s">
        <v>126</v>
      </c>
      <c r="C26" s="764" t="s">
        <v>751</v>
      </c>
      <c r="D26" s="196"/>
      <c r="E26" s="196"/>
      <c r="F26" s="196"/>
      <c r="G26" s="761" t="s">
        <v>16</v>
      </c>
      <c r="H26" s="761" t="s">
        <v>17</v>
      </c>
      <c r="I26" s="761" t="s">
        <v>18</v>
      </c>
      <c r="J26" s="196"/>
      <c r="K26" s="196"/>
      <c r="L26" s="196"/>
      <c r="M26" s="2609" t="s">
        <v>393</v>
      </c>
      <c r="N26" s="2692" t="s">
        <v>427</v>
      </c>
      <c r="O26" s="185"/>
      <c r="P26" s="1051"/>
      <c r="Q26" s="1051"/>
      <c r="R26" s="1051"/>
      <c r="S26" s="1051"/>
      <c r="T26" s="1051"/>
    </row>
    <row r="27" spans="1:20" s="188" customFormat="1" x14ac:dyDescent="0.25">
      <c r="A27" s="185"/>
      <c r="B27" s="587" t="s">
        <v>720</v>
      </c>
      <c r="C27" s="640" t="s">
        <v>907</v>
      </c>
      <c r="D27" s="190"/>
      <c r="E27" s="190"/>
      <c r="F27" s="694" t="s">
        <v>25</v>
      </c>
      <c r="G27" s="699">
        <f>G$19*'Other national data'!G33</f>
        <v>3928.478896287173</v>
      </c>
      <c r="H27" s="700">
        <f>H$19*'Other national data'!H33</f>
        <v>31550.12533691102</v>
      </c>
      <c r="I27" s="701">
        <f>I$19*'Other national data'!I33</f>
        <v>27284.808303106554</v>
      </c>
      <c r="J27" s="190"/>
      <c r="K27" s="190"/>
      <c r="L27" s="190"/>
      <c r="M27" s="2610"/>
      <c r="N27" s="2693"/>
      <c r="O27" s="185"/>
      <c r="P27" s="36"/>
      <c r="Q27" s="36"/>
      <c r="R27" s="36"/>
      <c r="S27" s="36"/>
      <c r="T27" s="36"/>
    </row>
    <row r="28" spans="1:20" s="188" customFormat="1" x14ac:dyDescent="0.25">
      <c r="A28" s="185"/>
      <c r="B28" s="587"/>
      <c r="C28" s="2623" t="s">
        <v>916</v>
      </c>
      <c r="D28" s="190"/>
      <c r="E28" s="190"/>
      <c r="F28" s="694" t="s">
        <v>28</v>
      </c>
      <c r="G28" s="702">
        <f>G$19*'Other national data'!G34</f>
        <v>6599.8166578578384</v>
      </c>
      <c r="H28" s="703">
        <f>H$19*'Other national data'!H34</f>
        <v>6116.8162994701097</v>
      </c>
      <c r="I28" s="704">
        <f>I$19*'Other national data'!I34</f>
        <v>1528.9260107815935</v>
      </c>
      <c r="J28" s="190"/>
      <c r="K28" s="190"/>
      <c r="L28" s="190"/>
      <c r="M28" s="2611"/>
      <c r="N28" s="2694"/>
      <c r="O28" s="185"/>
      <c r="P28" s="36"/>
      <c r="Q28" s="36"/>
      <c r="R28" s="36"/>
      <c r="S28" s="36"/>
      <c r="T28" s="36"/>
    </row>
    <row r="29" spans="1:20" s="188" customFormat="1" x14ac:dyDescent="0.25">
      <c r="A29" s="185"/>
      <c r="B29" s="587"/>
      <c r="C29" s="2624"/>
      <c r="D29" s="190"/>
      <c r="E29" s="190"/>
      <c r="F29" s="695" t="s">
        <v>61</v>
      </c>
      <c r="G29" s="702">
        <f>G$19*'Other national data'!G35</f>
        <v>64676.149999999994</v>
      </c>
      <c r="H29" s="703">
        <f>H$19*'Other national data'!H35</f>
        <v>45612.522842639592</v>
      </c>
      <c r="I29" s="704">
        <f>I$19*'Other national data'!I35</f>
        <v>0</v>
      </c>
      <c r="J29" s="190"/>
      <c r="K29" s="190"/>
      <c r="L29" s="190"/>
      <c r="M29" s="114" t="s">
        <v>100</v>
      </c>
      <c r="N29" s="94" t="s">
        <v>102</v>
      </c>
      <c r="O29" s="185"/>
      <c r="P29" s="1051"/>
      <c r="Q29" s="1051"/>
      <c r="R29" s="36"/>
      <c r="S29" s="36"/>
      <c r="T29" s="36"/>
    </row>
    <row r="30" spans="1:20" s="188" customFormat="1" x14ac:dyDescent="0.25">
      <c r="A30" s="185"/>
      <c r="B30" s="1457"/>
      <c r="C30" s="2625"/>
      <c r="D30" s="190"/>
      <c r="E30" s="190"/>
      <c r="F30" s="695" t="s">
        <v>63</v>
      </c>
      <c r="G30" s="702">
        <f>G$19*'Other national data'!G36</f>
        <v>30490.185000000001</v>
      </c>
      <c r="H30" s="703">
        <f>H$19*'Other national data'!H36</f>
        <v>8486.0507614213202</v>
      </c>
      <c r="I30" s="704">
        <f>I$19*'Other national data'!I36</f>
        <v>672</v>
      </c>
      <c r="J30" s="190"/>
      <c r="K30" s="190"/>
      <c r="L30" s="190"/>
      <c r="M30" s="186"/>
      <c r="N30" s="190"/>
      <c r="O30" s="185"/>
      <c r="P30" s="1051"/>
      <c r="Q30" s="1051"/>
      <c r="R30" s="36"/>
      <c r="S30" s="36"/>
      <c r="T30" s="36"/>
    </row>
    <row r="31" spans="1:20" s="188" customFormat="1" x14ac:dyDescent="0.25">
      <c r="A31" s="185"/>
      <c r="B31" s="189"/>
      <c r="C31" s="187"/>
      <c r="D31" s="190"/>
      <c r="E31" s="190"/>
      <c r="F31" s="695" t="s">
        <v>67</v>
      </c>
      <c r="G31" s="702">
        <f>G$19*'Other national data'!G37</f>
        <v>1847.89</v>
      </c>
      <c r="H31" s="703">
        <f>H$19*'Other national data'!H37</f>
        <v>26518.908629441623</v>
      </c>
      <c r="I31" s="704">
        <f>I$19*'Other national data'!I37</f>
        <v>2016</v>
      </c>
      <c r="J31" s="190"/>
      <c r="K31" s="190"/>
      <c r="L31" s="190"/>
      <c r="M31" s="186"/>
      <c r="N31" s="190"/>
      <c r="O31" s="185"/>
      <c r="P31" s="36"/>
      <c r="Q31" s="36"/>
      <c r="R31" s="36"/>
      <c r="S31" s="36"/>
      <c r="T31" s="36"/>
    </row>
    <row r="32" spans="1:20" s="188" customFormat="1" x14ac:dyDescent="0.25">
      <c r="A32" s="185"/>
      <c r="B32" s="189"/>
      <c r="C32" s="187"/>
      <c r="D32" s="190"/>
      <c r="E32" s="190"/>
      <c r="F32" s="695" t="s">
        <v>65</v>
      </c>
      <c r="G32" s="702">
        <f>G$19*'Other national data'!G38</f>
        <v>7391.56</v>
      </c>
      <c r="H32" s="703">
        <f>H$19*'Other national data'!H38</f>
        <v>0</v>
      </c>
      <c r="I32" s="704">
        <f>I$19*'Other national data'!I38</f>
        <v>0</v>
      </c>
      <c r="J32" s="190"/>
      <c r="K32" s="190"/>
      <c r="L32" s="190"/>
      <c r="M32" s="186"/>
      <c r="N32" s="190"/>
      <c r="O32" s="185"/>
      <c r="P32" s="36"/>
      <c r="Q32" s="36"/>
      <c r="R32" s="36"/>
      <c r="S32" s="36"/>
      <c r="T32" s="36"/>
    </row>
    <row r="33" spans="1:20" s="188" customFormat="1" x14ac:dyDescent="0.25">
      <c r="A33" s="185"/>
      <c r="B33" s="189"/>
      <c r="C33" s="187"/>
      <c r="D33" s="190"/>
      <c r="E33" s="190"/>
      <c r="F33" s="694" t="s">
        <v>20</v>
      </c>
      <c r="G33" s="702">
        <f>G$19*'Other national data'!G39</f>
        <v>24022.57</v>
      </c>
      <c r="H33" s="703">
        <f>H$19*'Other national data'!H39</f>
        <v>32883.446700507615</v>
      </c>
      <c r="I33" s="704">
        <f>I$19*'Other national data'!I39</f>
        <v>1008</v>
      </c>
      <c r="J33" s="190"/>
      <c r="K33" s="190"/>
      <c r="L33" s="190"/>
      <c r="M33" s="186"/>
      <c r="N33" s="190"/>
      <c r="O33" s="185"/>
      <c r="P33" s="1051"/>
      <c r="Q33" s="1051"/>
      <c r="R33" s="1051"/>
      <c r="S33" s="1051"/>
      <c r="T33" s="1051"/>
    </row>
    <row r="34" spans="1:20" s="188" customFormat="1" x14ac:dyDescent="0.25">
      <c r="A34" s="185"/>
      <c r="B34" s="189"/>
      <c r="C34" s="187"/>
      <c r="D34" s="190"/>
      <c r="E34" s="190"/>
      <c r="F34" s="696" t="s">
        <v>32</v>
      </c>
      <c r="G34" s="702">
        <f>G$19*'Other national data'!G40</f>
        <v>30807.232855351365</v>
      </c>
      <c r="H34" s="703">
        <f>H$19*'Other national data'!H40</f>
        <v>37227.008157162927</v>
      </c>
      <c r="I34" s="704">
        <f>I$19*'Other national data'!I40</f>
        <v>1089.299132044458</v>
      </c>
      <c r="J34" s="190"/>
      <c r="K34" s="190"/>
      <c r="L34" s="190"/>
      <c r="M34" s="186"/>
      <c r="N34" s="190"/>
      <c r="O34" s="185"/>
      <c r="P34" s="1051"/>
      <c r="Q34" s="1051"/>
      <c r="R34" s="1051"/>
      <c r="S34" s="1051"/>
      <c r="T34" s="1051"/>
    </row>
    <row r="35" spans="1:20" s="188" customFormat="1" x14ac:dyDescent="0.25">
      <c r="A35" s="185"/>
      <c r="B35" s="189"/>
      <c r="C35" s="187"/>
      <c r="D35" s="190"/>
      <c r="E35" s="190"/>
      <c r="F35" s="694" t="s">
        <v>30</v>
      </c>
      <c r="G35" s="702">
        <f>G$19*'Other national data'!G41</f>
        <v>10405.391590503625</v>
      </c>
      <c r="H35" s="703">
        <f>H$19*'Other national data'!H41</f>
        <v>4662.776094780832</v>
      </c>
      <c r="I35" s="704">
        <f>I$19*'Other national data'!I41</f>
        <v>0.96655406739226724</v>
      </c>
      <c r="J35" s="190"/>
      <c r="K35" s="190"/>
      <c r="L35" s="190"/>
      <c r="M35" s="186"/>
      <c r="N35" s="190"/>
      <c r="O35" s="185"/>
      <c r="P35" s="36"/>
      <c r="Q35" s="36"/>
      <c r="R35" s="36"/>
      <c r="S35" s="36"/>
      <c r="T35" s="36"/>
    </row>
    <row r="36" spans="1:20" s="188" customFormat="1" x14ac:dyDescent="0.25">
      <c r="A36" s="185"/>
      <c r="B36" s="189"/>
      <c r="C36" s="187"/>
      <c r="D36" s="190"/>
      <c r="E36" s="190"/>
      <c r="F36" s="694" t="s">
        <v>27</v>
      </c>
      <c r="G36" s="705">
        <f>G$19*'Other national data'!G42</f>
        <v>4619.7250000000004</v>
      </c>
      <c r="H36" s="706">
        <f>H$19*'Other national data'!H42</f>
        <v>15911.345177664976</v>
      </c>
      <c r="I36" s="707">
        <f>I$19*'Other national data'!I42</f>
        <v>0</v>
      </c>
      <c r="J36" s="190"/>
      <c r="K36" s="190"/>
      <c r="L36" s="190"/>
      <c r="M36" s="186"/>
      <c r="N36" s="190"/>
      <c r="O36" s="185"/>
      <c r="P36" s="36"/>
      <c r="Q36" s="36"/>
      <c r="R36" s="36"/>
      <c r="S36" s="36"/>
      <c r="T36" s="36"/>
    </row>
    <row r="37" spans="1:20" s="188" customFormat="1" x14ac:dyDescent="0.25">
      <c r="A37" s="185"/>
      <c r="B37" s="189"/>
      <c r="C37" s="187"/>
      <c r="D37" s="190"/>
      <c r="E37" s="190"/>
      <c r="F37" s="762" t="s">
        <v>37</v>
      </c>
      <c r="G37" s="763" t="str">
        <f>IF(SUM(G27:G36)=G19,"Ok","Error")</f>
        <v>Ok</v>
      </c>
      <c r="H37" s="763" t="str">
        <f>IF(SUM(H27:H36)=H19,"Ok","Error")</f>
        <v>Ok</v>
      </c>
      <c r="I37" s="763" t="str">
        <f>IF(SUM(I27:I36)=I19,"Ok","Error")</f>
        <v>Ok</v>
      </c>
      <c r="J37" s="190"/>
      <c r="K37" s="190"/>
      <c r="L37" s="190"/>
      <c r="M37" s="186"/>
      <c r="N37" s="190"/>
      <c r="O37" s="185"/>
      <c r="P37" s="36"/>
      <c r="Q37" s="1051"/>
      <c r="R37" s="1051"/>
      <c r="S37" s="36"/>
      <c r="T37" s="36"/>
    </row>
    <row r="38" spans="1:20" s="188" customFormat="1" x14ac:dyDescent="0.25">
      <c r="A38" s="185"/>
      <c r="B38" s="194"/>
      <c r="F38" s="33"/>
      <c r="G38" s="328"/>
      <c r="H38" s="328"/>
      <c r="I38" s="328"/>
      <c r="M38" s="194"/>
      <c r="O38" s="185"/>
      <c r="P38" s="36"/>
      <c r="Q38" s="36"/>
      <c r="R38" s="36"/>
      <c r="S38" s="36"/>
      <c r="T38" s="36"/>
    </row>
    <row r="39" spans="1:20" s="188" customFormat="1" x14ac:dyDescent="0.25">
      <c r="A39" s="185"/>
      <c r="B39" s="97" t="s">
        <v>127</v>
      </c>
      <c r="C39" s="37" t="s">
        <v>707</v>
      </c>
      <c r="F39" s="2" t="s">
        <v>103</v>
      </c>
      <c r="G39" s="34" t="s">
        <v>16</v>
      </c>
      <c r="H39" s="34" t="s">
        <v>17</v>
      </c>
      <c r="I39" s="34" t="s">
        <v>18</v>
      </c>
      <c r="M39" s="2679" t="s">
        <v>393</v>
      </c>
      <c r="N39" s="2586" t="s">
        <v>713</v>
      </c>
      <c r="O39" s="185"/>
      <c r="P39" s="36"/>
      <c r="Q39" s="36"/>
      <c r="R39" s="36"/>
      <c r="S39" s="36"/>
      <c r="T39" s="36"/>
    </row>
    <row r="40" spans="1:20" s="188" customFormat="1" x14ac:dyDescent="0.25">
      <c r="A40" s="185"/>
      <c r="B40" s="194"/>
      <c r="F40" s="194" t="s">
        <v>25</v>
      </c>
      <c r="G40" s="1025">
        <f t="shared" ref="G40:I41" si="0">G27</f>
        <v>3928.478896287173</v>
      </c>
      <c r="H40" s="1026">
        <f t="shared" si="0"/>
        <v>31550.12533691102</v>
      </c>
      <c r="I40" s="1027">
        <f t="shared" si="0"/>
        <v>27284.808303106554</v>
      </c>
      <c r="M40" s="2680"/>
      <c r="N40" s="2587"/>
      <c r="O40" s="185"/>
      <c r="P40" s="36"/>
      <c r="Q40" s="36"/>
      <c r="R40" s="36"/>
      <c r="S40" s="36"/>
      <c r="T40" s="36"/>
    </row>
    <row r="41" spans="1:20" s="188" customFormat="1" x14ac:dyDescent="0.25">
      <c r="A41" s="185"/>
      <c r="B41" s="194"/>
      <c r="F41" s="194" t="s">
        <v>28</v>
      </c>
      <c r="G41" s="1028">
        <f t="shared" si="0"/>
        <v>6599.8166578578384</v>
      </c>
      <c r="H41" s="309">
        <f t="shared" si="0"/>
        <v>6116.8162994701097</v>
      </c>
      <c r="I41" s="1029">
        <f t="shared" si="0"/>
        <v>1528.9260107815935</v>
      </c>
      <c r="M41" s="2681"/>
      <c r="N41" s="2588"/>
      <c r="O41" s="185"/>
      <c r="P41" s="36"/>
      <c r="Q41" s="36"/>
      <c r="R41" s="36"/>
      <c r="S41" s="36"/>
      <c r="T41" s="36"/>
    </row>
    <row r="42" spans="1:20" s="188" customFormat="1" x14ac:dyDescent="0.25">
      <c r="A42" s="185"/>
      <c r="B42" s="194"/>
      <c r="F42" s="1255" t="s">
        <v>61</v>
      </c>
      <c r="G42" s="1028">
        <f>G29-'Other national data'!K338</f>
        <v>46959.152280861643</v>
      </c>
      <c r="H42" s="309">
        <f>H29-'Other national data'!L338</f>
        <v>33117.701132207047</v>
      </c>
      <c r="I42" s="1029">
        <f>I29-'Other national data'!M338</f>
        <v>0</v>
      </c>
      <c r="M42" s="113" t="s">
        <v>100</v>
      </c>
      <c r="N42" s="37" t="s">
        <v>102</v>
      </c>
      <c r="O42" s="185"/>
      <c r="P42" s="36"/>
      <c r="Q42" s="36"/>
      <c r="R42" s="36"/>
      <c r="S42" s="36"/>
      <c r="T42" s="36"/>
    </row>
    <row r="43" spans="1:20" s="188" customFormat="1" x14ac:dyDescent="0.25">
      <c r="A43" s="185"/>
      <c r="B43" s="194"/>
      <c r="F43" s="1255" t="s">
        <v>63</v>
      </c>
      <c r="G43" s="1028">
        <f>G30-'Other national data'!K339</f>
        <v>27864.539385006083</v>
      </c>
      <c r="H43" s="309">
        <f>H30-'Other national data'!L339</f>
        <v>7755.2791386731578</v>
      </c>
      <c r="I43" s="1029">
        <f>I30-'Other national data'!M339</f>
        <v>614.1310873228249</v>
      </c>
      <c r="M43" s="194"/>
      <c r="O43" s="185"/>
      <c r="P43" s="36"/>
      <c r="Q43" s="36"/>
      <c r="R43" s="36"/>
      <c r="S43" s="36"/>
      <c r="T43" s="36"/>
    </row>
    <row r="44" spans="1:20" s="188" customFormat="1" x14ac:dyDescent="0.25">
      <c r="A44" s="185"/>
      <c r="B44" s="194"/>
      <c r="F44" s="1256" t="s">
        <v>67</v>
      </c>
      <c r="G44" s="1028">
        <f>G31-'Other national data'!K340</f>
        <v>1755.8104108441562</v>
      </c>
      <c r="H44" s="309">
        <f>H31-'Other national data'!L340</f>
        <v>25197.482456097783</v>
      </c>
      <c r="I44" s="1029">
        <f>I31-'Other national data'!M340</f>
        <v>1915.5435595526892</v>
      </c>
      <c r="M44" s="194"/>
      <c r="O44" s="185"/>
      <c r="P44" s="36"/>
      <c r="Q44" s="36"/>
      <c r="R44" s="36"/>
      <c r="S44" s="36"/>
      <c r="T44" s="36"/>
    </row>
    <row r="45" spans="1:20" s="188" customFormat="1" x14ac:dyDescent="0.25">
      <c r="A45" s="185"/>
      <c r="B45" s="194"/>
      <c r="F45" s="1256" t="s">
        <v>65</v>
      </c>
      <c r="G45" s="1028">
        <f>G32-'Other national data'!K341</f>
        <v>6545.388787883101</v>
      </c>
      <c r="H45" s="309">
        <f>H32-'Other national data'!L341</f>
        <v>0</v>
      </c>
      <c r="I45" s="1029">
        <f>I32-'Other national data'!M341</f>
        <v>0</v>
      </c>
      <c r="M45" s="194"/>
      <c r="O45" s="185"/>
      <c r="P45" s="1051"/>
      <c r="Q45" s="1051"/>
      <c r="R45" s="1051"/>
      <c r="S45" s="36"/>
      <c r="T45" s="36"/>
    </row>
    <row r="46" spans="1:20" s="188" customFormat="1" x14ac:dyDescent="0.25">
      <c r="A46" s="185"/>
      <c r="B46" s="194"/>
      <c r="F46" s="194" t="s">
        <v>20</v>
      </c>
      <c r="G46" s="1028">
        <f>G33-'Other national data'!K342</f>
        <v>18244.955081859953</v>
      </c>
      <c r="H46" s="309">
        <f>H33-'Other national data'!L342</f>
        <v>24974.722021311514</v>
      </c>
      <c r="I46" s="1029">
        <f>I33-'Other national data'!M342</f>
        <v>765.56816038062675</v>
      </c>
      <c r="M46" s="194"/>
      <c r="O46" s="185"/>
      <c r="P46" s="1051"/>
      <c r="Q46" s="1051"/>
      <c r="R46" s="1051"/>
      <c r="S46" s="36"/>
      <c r="T46" s="36"/>
    </row>
    <row r="47" spans="1:20" s="188" customFormat="1" x14ac:dyDescent="0.25">
      <c r="A47" s="185"/>
      <c r="B47" s="194"/>
      <c r="F47" s="374" t="s">
        <v>32</v>
      </c>
      <c r="G47" s="1028">
        <f t="shared" ref="G47:I48" si="1">G34</f>
        <v>30807.232855351365</v>
      </c>
      <c r="H47" s="309">
        <f t="shared" si="1"/>
        <v>37227.008157162927</v>
      </c>
      <c r="I47" s="1029">
        <f t="shared" si="1"/>
        <v>1089.299132044458</v>
      </c>
      <c r="M47" s="194"/>
      <c r="O47" s="185"/>
      <c r="P47" s="1051"/>
      <c r="Q47" s="1051"/>
      <c r="R47" s="1051"/>
      <c r="S47" s="36"/>
      <c r="T47" s="36"/>
    </row>
    <row r="48" spans="1:20" s="188" customFormat="1" x14ac:dyDescent="0.25">
      <c r="A48" s="185"/>
      <c r="B48" s="194"/>
      <c r="F48" s="194" t="s">
        <v>30</v>
      </c>
      <c r="G48" s="1028">
        <f t="shared" si="1"/>
        <v>10405.391590503625</v>
      </c>
      <c r="H48" s="309">
        <f t="shared" si="1"/>
        <v>4662.776094780832</v>
      </c>
      <c r="I48" s="1029">
        <f t="shared" si="1"/>
        <v>0.96655406739226724</v>
      </c>
      <c r="M48" s="194"/>
      <c r="O48" s="185"/>
      <c r="P48" s="1051"/>
      <c r="Q48" s="1051"/>
      <c r="R48" s="1051"/>
      <c r="S48" s="36"/>
      <c r="T48" s="36"/>
    </row>
    <row r="49" spans="1:20" s="188" customFormat="1" x14ac:dyDescent="0.25">
      <c r="A49" s="185"/>
      <c r="B49" s="194"/>
      <c r="F49" s="194" t="s">
        <v>27</v>
      </c>
      <c r="G49" s="1030">
        <f>G36-'Other national data'!K343</f>
        <v>3874.9056570039852</v>
      </c>
      <c r="H49" s="1031">
        <f>H36-'Other national data'!L343</f>
        <v>13346.024155004268</v>
      </c>
      <c r="I49" s="1032">
        <f>I36-'Other national data'!M343</f>
        <v>0</v>
      </c>
      <c r="M49" s="194"/>
      <c r="O49" s="185"/>
      <c r="P49" s="1051"/>
      <c r="Q49" s="1051"/>
      <c r="R49" s="1051"/>
      <c r="S49" s="36"/>
      <c r="T49" s="36"/>
    </row>
    <row r="50" spans="1:20" s="188" customFormat="1" x14ac:dyDescent="0.25">
      <c r="A50" s="185"/>
      <c r="B50" s="194"/>
      <c r="F50" s="33" t="s">
        <v>37</v>
      </c>
      <c r="G50" s="168" t="str">
        <f>IF(SUM(G40:G49)=G19-SUM('Other national data'!K338:K343),"Ok","Error")</f>
        <v>Ok</v>
      </c>
      <c r="H50" s="168" t="str">
        <f>IF(SUM(H40:H49)=H19-SUM('Other national data'!L338:L343),"Ok","Error")</f>
        <v>Ok</v>
      </c>
      <c r="I50" s="168" t="str">
        <f>IF(SUM(I40:I49)=I19-SUM('Other national data'!M338:M343),"Ok","Error")</f>
        <v>Ok</v>
      </c>
      <c r="M50" s="194"/>
      <c r="O50" s="185"/>
      <c r="P50" s="1051"/>
      <c r="Q50" s="1051"/>
      <c r="R50" s="1051"/>
      <c r="S50" s="36"/>
      <c r="T50" s="36"/>
    </row>
    <row r="51" spans="1:20" ht="15.75" x14ac:dyDescent="0.25">
      <c r="A51" s="130"/>
      <c r="B51" s="130"/>
      <c r="C51" s="130"/>
      <c r="D51" s="130"/>
      <c r="E51" s="130"/>
      <c r="F51" s="130"/>
      <c r="G51" s="130"/>
      <c r="H51" s="130"/>
      <c r="I51" s="130"/>
      <c r="J51" s="130"/>
      <c r="K51" s="130"/>
      <c r="L51" s="130"/>
      <c r="M51" s="130"/>
      <c r="N51" s="130"/>
      <c r="O51" s="130"/>
      <c r="P51" s="1051"/>
      <c r="Q51" s="1051"/>
      <c r="R51" s="1051"/>
    </row>
    <row r="52" spans="1:20" ht="15.75" x14ac:dyDescent="0.25">
      <c r="A52" s="131"/>
      <c r="B52" s="131" t="s">
        <v>461</v>
      </c>
      <c r="C52" s="363" t="s">
        <v>575</v>
      </c>
      <c r="D52" s="131"/>
      <c r="E52" s="131"/>
      <c r="F52" s="131"/>
      <c r="G52" s="131"/>
      <c r="H52" s="131"/>
      <c r="I52" s="131"/>
      <c r="J52" s="131"/>
      <c r="K52" s="131"/>
      <c r="L52" s="131"/>
      <c r="M52" s="132"/>
      <c r="N52" s="131"/>
      <c r="O52" s="131"/>
      <c r="P52" s="1051"/>
      <c r="Q52" s="1051"/>
      <c r="R52" s="1051"/>
    </row>
    <row r="53" spans="1:20" s="188" customFormat="1" x14ac:dyDescent="0.25">
      <c r="A53" s="201"/>
      <c r="B53" s="191"/>
      <c r="O53" s="201"/>
      <c r="P53" s="1051"/>
      <c r="Q53" s="1051"/>
      <c r="R53" s="1051"/>
      <c r="S53" s="36"/>
      <c r="T53" s="36"/>
    </row>
    <row r="54" spans="1:20" s="188" customFormat="1" x14ac:dyDescent="0.25">
      <c r="A54" s="201"/>
      <c r="B54" s="97" t="s">
        <v>125</v>
      </c>
      <c r="C54" s="37" t="s">
        <v>470</v>
      </c>
      <c r="D54" s="11"/>
      <c r="E54" s="11"/>
      <c r="F54" s="11"/>
      <c r="G54" s="367" t="s">
        <v>114</v>
      </c>
      <c r="H54" s="367" t="s">
        <v>418</v>
      </c>
      <c r="J54" s="11"/>
      <c r="K54" s="11"/>
      <c r="L54" s="11"/>
      <c r="M54" s="113" t="s">
        <v>104</v>
      </c>
      <c r="N54" s="37" t="s">
        <v>465</v>
      </c>
      <c r="O54" s="201"/>
      <c r="P54" s="1051"/>
      <c r="Q54" s="1051"/>
      <c r="R54" s="1051"/>
      <c r="S54" s="36"/>
      <c r="T54" s="36"/>
    </row>
    <row r="55" spans="1:20" s="188" customFormat="1" x14ac:dyDescent="0.25">
      <c r="A55" s="201"/>
      <c r="B55" s="193"/>
      <c r="G55" s="1325">
        <v>112945</v>
      </c>
      <c r="H55" s="1327">
        <v>43931</v>
      </c>
      <c r="M55" s="113" t="s">
        <v>100</v>
      </c>
      <c r="N55" s="37" t="s">
        <v>102</v>
      </c>
      <c r="O55" s="201"/>
      <c r="P55" s="1051">
        <f>IF(AND(ISNUMBER(G55),'Validn data - hide'!C360&gt;0),IF(G55/'Validn data - hide'!C360-1&gt;'Validn data - hide'!$L360,1,IF(G55/'Validn data - hide'!C360-1&lt;-'Validn data - hide'!$L360,-1,0)),0)</f>
        <v>0</v>
      </c>
      <c r="Q55" s="1051">
        <f>IF(AND(ISNUMBER(H55),'Validn data - hide'!D360&gt;0),IF(H55/'Validn data - hide'!D360-1&gt;'Validn data - hide'!$L360,1,IF(H55/'Validn data - hide'!D360-1&lt;-'Validn data - hide'!$L360,-1,0)),0)</f>
        <v>0</v>
      </c>
      <c r="R55" s="1051"/>
      <c r="S55" s="36"/>
      <c r="T55" s="36"/>
    </row>
    <row r="56" spans="1:20" s="188" customFormat="1" x14ac:dyDescent="0.25">
      <c r="A56" s="201"/>
      <c r="B56" s="193"/>
      <c r="M56" s="113" t="s">
        <v>10</v>
      </c>
      <c r="N56" s="1328"/>
      <c r="O56" s="201"/>
      <c r="P56" s="1051"/>
      <c r="Q56" s="1051"/>
      <c r="R56" s="1051"/>
      <c r="S56" s="36"/>
      <c r="T56" s="36"/>
    </row>
    <row r="57" spans="1:20" s="188" customFormat="1" x14ac:dyDescent="0.25">
      <c r="A57" s="201"/>
      <c r="I57" s="1122"/>
      <c r="M57" s="113" t="s">
        <v>352</v>
      </c>
      <c r="N57" s="1329"/>
      <c r="O57" s="201"/>
      <c r="P57" s="1051"/>
      <c r="Q57" s="1051"/>
      <c r="R57" s="1051"/>
      <c r="S57" s="36"/>
      <c r="T57" s="36"/>
    </row>
    <row r="58" spans="1:20" s="188" customFormat="1" x14ac:dyDescent="0.25">
      <c r="A58" s="201"/>
      <c r="M58" s="113" t="s">
        <v>99</v>
      </c>
      <c r="N58" s="1329"/>
      <c r="O58" s="201"/>
      <c r="P58" s="1051"/>
      <c r="Q58" s="1051"/>
      <c r="R58" s="1051"/>
      <c r="S58" s="36"/>
      <c r="T58" s="36"/>
    </row>
    <row r="59" spans="1:20" s="188" customFormat="1" x14ac:dyDescent="0.25">
      <c r="A59" s="201"/>
      <c r="M59" s="113" t="s">
        <v>658</v>
      </c>
      <c r="N59" s="1328"/>
      <c r="O59" s="201"/>
      <c r="P59" s="36"/>
      <c r="Q59" s="36"/>
      <c r="R59" s="36"/>
      <c r="S59" s="36"/>
      <c r="T59" s="36"/>
    </row>
    <row r="60" spans="1:20" s="188" customFormat="1" x14ac:dyDescent="0.25">
      <c r="A60" s="201"/>
      <c r="M60" s="99"/>
      <c r="N60" s="754"/>
      <c r="O60" s="201"/>
      <c r="P60" s="36"/>
      <c r="Q60" s="36"/>
      <c r="R60" s="36"/>
      <c r="S60" s="36"/>
      <c r="T60" s="36"/>
    </row>
    <row r="61" spans="1:20" s="191" customFormat="1" x14ac:dyDescent="0.25">
      <c r="A61" s="201"/>
      <c r="B61" s="189"/>
      <c r="C61" s="187"/>
      <c r="D61" s="757"/>
      <c r="E61" s="757"/>
      <c r="F61" s="757"/>
      <c r="G61" s="757"/>
      <c r="H61" s="757"/>
      <c r="I61" s="757"/>
      <c r="J61" s="757"/>
      <c r="K61" s="757"/>
      <c r="L61" s="757"/>
      <c r="M61" s="757"/>
      <c r="N61" s="757"/>
      <c r="O61" s="201"/>
      <c r="P61" s="36"/>
      <c r="Q61" s="36"/>
      <c r="R61" s="36"/>
      <c r="S61" s="36"/>
      <c r="T61" s="36"/>
    </row>
    <row r="62" spans="1:20" s="191" customFormat="1" x14ac:dyDescent="0.2">
      <c r="A62" s="201"/>
      <c r="B62" s="1571" t="s">
        <v>126</v>
      </c>
      <c r="C62" s="2612" t="s">
        <v>1007</v>
      </c>
      <c r="D62" s="757"/>
      <c r="E62" s="757"/>
      <c r="F62" s="757"/>
      <c r="G62" s="91" t="s">
        <v>16</v>
      </c>
      <c r="H62" s="91" t="s">
        <v>17</v>
      </c>
      <c r="I62" s="91" t="s">
        <v>18</v>
      </c>
      <c r="J62" s="757"/>
      <c r="K62" s="757"/>
      <c r="L62" s="757"/>
      <c r="M62" s="114" t="s">
        <v>104</v>
      </c>
      <c r="N62" s="94" t="s">
        <v>766</v>
      </c>
      <c r="O62" s="201"/>
      <c r="P62" s="36"/>
      <c r="Q62" s="36"/>
      <c r="R62" s="36"/>
      <c r="S62" s="36"/>
      <c r="T62" s="36"/>
    </row>
    <row r="63" spans="1:20" s="191" customFormat="1" x14ac:dyDescent="0.25">
      <c r="A63" s="201"/>
      <c r="B63" s="481"/>
      <c r="C63" s="2614"/>
      <c r="D63" s="757"/>
      <c r="E63" s="757"/>
      <c r="F63" s="639"/>
      <c r="G63" s="1417">
        <v>2359</v>
      </c>
      <c r="H63" s="1418">
        <v>2500</v>
      </c>
      <c r="I63" s="1419">
        <v>0</v>
      </c>
      <c r="J63" s="757"/>
      <c r="K63" s="757"/>
      <c r="L63" s="757"/>
      <c r="M63" s="114" t="s">
        <v>100</v>
      </c>
      <c r="N63" s="94" t="s">
        <v>102</v>
      </c>
      <c r="O63" s="201"/>
      <c r="P63" s="1051"/>
      <c r="Q63" s="1051"/>
      <c r="R63" s="1051"/>
      <c r="S63" s="36"/>
      <c r="T63" s="36"/>
    </row>
    <row r="64" spans="1:20" s="191" customFormat="1" x14ac:dyDescent="0.25">
      <c r="A64" s="201"/>
      <c r="B64" s="189"/>
      <c r="C64" s="195"/>
      <c r="D64" s="692"/>
      <c r="E64" s="757"/>
      <c r="F64" s="757"/>
      <c r="G64" s="757"/>
      <c r="H64" s="757"/>
      <c r="I64" s="757"/>
      <c r="J64" s="757"/>
      <c r="K64" s="757"/>
      <c r="L64" s="757"/>
      <c r="M64" s="755" t="s">
        <v>10</v>
      </c>
      <c r="N64" s="1368" t="s">
        <v>1065</v>
      </c>
      <c r="O64" s="201"/>
      <c r="P64" s="36"/>
      <c r="Q64" s="36"/>
      <c r="R64" s="36"/>
      <c r="S64" s="36"/>
      <c r="T64" s="36"/>
    </row>
    <row r="65" spans="1:20" s="191" customFormat="1" x14ac:dyDescent="0.25">
      <c r="A65" s="201"/>
      <c r="B65" s="189"/>
      <c r="C65" s="187"/>
      <c r="D65" s="757"/>
      <c r="E65" s="757"/>
      <c r="F65" s="757"/>
      <c r="G65" s="757"/>
      <c r="H65" s="757"/>
      <c r="I65" s="757"/>
      <c r="J65" s="757"/>
      <c r="K65" s="757"/>
      <c r="L65" s="757"/>
      <c r="M65" s="114" t="s">
        <v>352</v>
      </c>
      <c r="N65" s="1330" t="s">
        <v>1066</v>
      </c>
      <c r="O65" s="201"/>
      <c r="P65" s="36"/>
      <c r="Q65" s="36"/>
      <c r="R65" s="36"/>
      <c r="S65" s="36"/>
      <c r="T65" s="36"/>
    </row>
    <row r="66" spans="1:20" s="191" customFormat="1" x14ac:dyDescent="0.25">
      <c r="A66" s="201"/>
      <c r="B66" s="189"/>
      <c r="C66" s="187"/>
      <c r="D66" s="757"/>
      <c r="E66" s="757"/>
      <c r="F66" s="757"/>
      <c r="G66" s="757"/>
      <c r="H66" s="757"/>
      <c r="I66" s="757"/>
      <c r="J66" s="757"/>
      <c r="K66" s="757"/>
      <c r="L66" s="757"/>
      <c r="M66" s="114" t="s">
        <v>99</v>
      </c>
      <c r="N66" s="1604">
        <v>42615</v>
      </c>
      <c r="O66" s="201"/>
      <c r="P66" s="36"/>
      <c r="Q66" s="36"/>
      <c r="R66" s="36"/>
      <c r="S66" s="36"/>
      <c r="T66" s="36"/>
    </row>
    <row r="67" spans="1:20" s="191" customFormat="1" x14ac:dyDescent="0.25">
      <c r="A67" s="201"/>
      <c r="B67" s="189"/>
      <c r="C67" s="187"/>
      <c r="D67" s="757"/>
      <c r="E67" s="757"/>
      <c r="F67" s="757"/>
      <c r="G67" s="757"/>
      <c r="H67" s="757"/>
      <c r="I67" s="757"/>
      <c r="J67" s="757"/>
      <c r="K67" s="757"/>
      <c r="L67" s="757"/>
      <c r="M67" s="114" t="s">
        <v>658</v>
      </c>
      <c r="N67" s="1331" t="s">
        <v>681</v>
      </c>
      <c r="O67" s="201"/>
      <c r="P67" s="36"/>
      <c r="Q67" s="36"/>
      <c r="R67" s="36"/>
      <c r="S67" s="36"/>
      <c r="T67" s="36"/>
    </row>
    <row r="68" spans="1:20" s="191" customFormat="1" x14ac:dyDescent="0.25">
      <c r="A68" s="201"/>
      <c r="B68" s="189"/>
      <c r="C68" s="187"/>
      <c r="D68" s="757"/>
      <c r="E68" s="757"/>
      <c r="F68" s="757"/>
      <c r="G68" s="757"/>
      <c r="H68" s="757"/>
      <c r="I68" s="757"/>
      <c r="J68" s="757"/>
      <c r="K68" s="757"/>
      <c r="L68" s="757"/>
      <c r="M68" s="757"/>
      <c r="N68" s="1420"/>
      <c r="O68" s="201"/>
      <c r="P68" s="36"/>
      <c r="Q68" s="36"/>
      <c r="R68" s="36"/>
      <c r="S68" s="36"/>
      <c r="T68" s="36"/>
    </row>
    <row r="69" spans="1:20" s="188" customFormat="1" x14ac:dyDescent="0.25">
      <c r="A69" s="201"/>
      <c r="O69" s="201"/>
      <c r="P69" s="36"/>
      <c r="Q69" s="36"/>
      <c r="R69" s="36"/>
      <c r="S69" s="36"/>
      <c r="T69" s="36"/>
    </row>
    <row r="70" spans="1:20" s="188" customFormat="1" x14ac:dyDescent="0.25">
      <c r="A70" s="201"/>
      <c r="B70" s="97" t="s">
        <v>127</v>
      </c>
      <c r="C70" s="37" t="s">
        <v>765</v>
      </c>
      <c r="G70" s="180" t="s">
        <v>16</v>
      </c>
      <c r="M70" s="2592" t="s">
        <v>104</v>
      </c>
      <c r="N70" s="2586" t="s">
        <v>466</v>
      </c>
      <c r="O70" s="201"/>
      <c r="P70" s="36"/>
      <c r="Q70" s="36"/>
      <c r="R70" s="36"/>
      <c r="S70" s="36"/>
      <c r="T70" s="36"/>
    </row>
    <row r="71" spans="1:20" s="188" customFormat="1" x14ac:dyDescent="0.2">
      <c r="A71" s="201"/>
      <c r="B71" s="749" t="s">
        <v>323</v>
      </c>
      <c r="C71" s="751" t="s">
        <v>1008</v>
      </c>
      <c r="F71" s="774" t="s">
        <v>472</v>
      </c>
      <c r="G71" s="1421">
        <v>15470</v>
      </c>
      <c r="M71" s="2594"/>
      <c r="N71" s="2588"/>
      <c r="O71" s="201"/>
      <c r="P71" s="1051">
        <f>IF(AND(ISNUMBER(G71),'Validn data - hide'!C368&gt;0),IF(G71/'Validn data - hide'!C368-1&gt;'Validn data - hide'!$L368,1,IF(G71/'Validn data - hide'!C368-1&lt;-'Validn data - hide'!$L368,-1,0)),0)</f>
        <v>-1</v>
      </c>
      <c r="Q71" s="36"/>
      <c r="R71" s="36"/>
      <c r="S71" s="36"/>
      <c r="T71" s="36"/>
    </row>
    <row r="72" spans="1:20" s="188" customFormat="1" x14ac:dyDescent="0.2">
      <c r="A72" s="201"/>
      <c r="B72" s="750"/>
      <c r="C72" s="751" t="s">
        <v>467</v>
      </c>
      <c r="F72" s="774" t="s">
        <v>471</v>
      </c>
      <c r="G72" s="1422">
        <v>9973</v>
      </c>
      <c r="M72" s="113" t="s">
        <v>100</v>
      </c>
      <c r="N72" s="37" t="s">
        <v>102</v>
      </c>
      <c r="O72" s="201"/>
      <c r="P72" s="1051">
        <f>IF(AND(ISNUMBER(G72),'Validn data - hide'!C369&gt;0),IF(G72/'Validn data - hide'!C369-1&gt;'Validn data - hide'!$L369,1,IF(G72/'Validn data - hide'!C369-1&lt;-'Validn data - hide'!$L369,-1,0)),0)</f>
        <v>-1</v>
      </c>
      <c r="Q72" s="36"/>
      <c r="R72" s="36"/>
      <c r="S72" s="36"/>
      <c r="T72" s="36"/>
    </row>
    <row r="73" spans="1:20" s="188" customFormat="1" x14ac:dyDescent="0.2">
      <c r="A73" s="201"/>
      <c r="F73" s="774" t="s">
        <v>30</v>
      </c>
      <c r="G73" s="1422">
        <v>17136</v>
      </c>
      <c r="M73" s="1568" t="s">
        <v>10</v>
      </c>
      <c r="N73" s="1335"/>
      <c r="O73" s="201"/>
      <c r="P73" s="1051">
        <f>IF(AND(ISNUMBER(G73),'Validn data - hide'!C370&gt;0),IF(G73/'Validn data - hide'!C370-1&gt;'Validn data - hide'!$L370,1,IF(G73/'Validn data - hide'!C370-1&lt;-'Validn data - hide'!$L370,-1,0)),0)</f>
        <v>0</v>
      </c>
      <c r="Q73" s="36"/>
      <c r="R73" s="36"/>
      <c r="S73" s="36"/>
      <c r="T73" s="36"/>
    </row>
    <row r="74" spans="1:20" s="188" customFormat="1" x14ac:dyDescent="0.2">
      <c r="A74" s="201"/>
      <c r="F74" s="774" t="s">
        <v>52</v>
      </c>
      <c r="G74" s="1422">
        <v>427</v>
      </c>
      <c r="M74" s="113" t="s">
        <v>352</v>
      </c>
      <c r="N74" s="1329"/>
      <c r="O74" s="201"/>
      <c r="P74" s="1051">
        <f>IF(AND(ISNUMBER(G74),'Validn data - hide'!C371&gt;0),IF(G74/'Validn data - hide'!C371-1&gt;'Validn data - hide'!$L371,1,IF(G74/'Validn data - hide'!C371-1&lt;-'Validn data - hide'!$L371,-1,0)),0)</f>
        <v>-1</v>
      </c>
      <c r="Q74" s="36"/>
      <c r="R74" s="36"/>
      <c r="S74" s="36"/>
      <c r="T74" s="36"/>
    </row>
    <row r="75" spans="1:20" s="188" customFormat="1" x14ac:dyDescent="0.2">
      <c r="A75" s="201"/>
      <c r="F75" s="774" t="s">
        <v>56</v>
      </c>
      <c r="G75" s="1423">
        <v>771</v>
      </c>
      <c r="M75" s="113" t="s">
        <v>99</v>
      </c>
      <c r="N75" s="1329"/>
      <c r="O75" s="201"/>
      <c r="P75" s="1051">
        <f>IF(AND(ISNUMBER(G75),'Validn data - hide'!C372&gt;0),IF(G75/'Validn data - hide'!C372-1&gt;'Validn data - hide'!$L372,1,IF(G75/'Validn data - hide'!C372-1&lt;-'Validn data - hide'!$L372,-1,0)),0)</f>
        <v>0</v>
      </c>
      <c r="Q75" s="36"/>
      <c r="R75" s="36"/>
      <c r="S75" s="36"/>
      <c r="T75" s="36"/>
    </row>
    <row r="76" spans="1:20" s="188" customFormat="1" x14ac:dyDescent="0.25">
      <c r="A76" s="201"/>
      <c r="M76" s="113" t="s">
        <v>658</v>
      </c>
      <c r="N76" s="1328"/>
      <c r="O76" s="201"/>
      <c r="P76" s="36"/>
      <c r="Q76" s="36"/>
      <c r="R76" s="36"/>
      <c r="S76" s="36"/>
      <c r="T76" s="36"/>
    </row>
    <row r="77" spans="1:20" s="188" customFormat="1" x14ac:dyDescent="0.25">
      <c r="A77" s="201"/>
      <c r="O77" s="201"/>
      <c r="P77" s="36"/>
      <c r="Q77" s="36"/>
      <c r="R77" s="36"/>
      <c r="S77" s="36"/>
      <c r="T77" s="36"/>
    </row>
    <row r="78" spans="1:20" s="188" customFormat="1" x14ac:dyDescent="0.25">
      <c r="A78" s="201"/>
      <c r="B78" s="189"/>
      <c r="C78" s="187"/>
      <c r="D78" s="757"/>
      <c r="E78" s="757"/>
      <c r="F78" s="757"/>
      <c r="G78" s="757"/>
      <c r="H78" s="757"/>
      <c r="I78" s="757"/>
      <c r="J78" s="757"/>
      <c r="K78" s="757"/>
      <c r="L78" s="757"/>
      <c r="M78" s="757"/>
      <c r="N78" s="757"/>
      <c r="O78" s="201"/>
      <c r="P78" s="36"/>
      <c r="Q78" s="36"/>
      <c r="R78" s="36"/>
      <c r="S78" s="36"/>
      <c r="T78" s="36"/>
    </row>
    <row r="79" spans="1:20" s="188" customFormat="1" x14ac:dyDescent="0.2">
      <c r="A79" s="201"/>
      <c r="B79" s="100" t="s">
        <v>128</v>
      </c>
      <c r="C79" s="94" t="s">
        <v>768</v>
      </c>
      <c r="D79" s="757"/>
      <c r="E79" s="757"/>
      <c r="F79" s="757"/>
      <c r="G79" s="91" t="s">
        <v>16</v>
      </c>
      <c r="H79" s="91" t="s">
        <v>17</v>
      </c>
      <c r="I79" s="757"/>
      <c r="J79" s="757"/>
      <c r="K79" s="757"/>
      <c r="L79" s="757"/>
      <c r="M79" s="114" t="s">
        <v>104</v>
      </c>
      <c r="N79" s="94" t="s">
        <v>1009</v>
      </c>
      <c r="O79" s="201"/>
      <c r="P79" s="36"/>
      <c r="Q79" s="36"/>
      <c r="R79" s="36"/>
      <c r="S79" s="36"/>
      <c r="T79" s="36"/>
    </row>
    <row r="80" spans="1:20" s="188" customFormat="1" x14ac:dyDescent="0.2">
      <c r="A80" s="201"/>
      <c r="B80" s="856" t="s">
        <v>323</v>
      </c>
      <c r="C80" s="2603" t="s">
        <v>769</v>
      </c>
      <c r="D80" s="757"/>
      <c r="E80" s="757"/>
      <c r="F80" s="109" t="s">
        <v>1010</v>
      </c>
      <c r="G80" s="1424">
        <f>SUM('Validn data - hide'!C422:C427)/SUM('Validn data - hide'!C422:D427)</f>
        <v>0.48556263773902369</v>
      </c>
      <c r="H80" s="1425">
        <f>1-G80</f>
        <v>0.51443736226097636</v>
      </c>
      <c r="I80" s="757"/>
      <c r="J80" s="757"/>
      <c r="K80" s="757"/>
      <c r="L80" s="757"/>
      <c r="M80" s="114" t="s">
        <v>100</v>
      </c>
      <c r="N80" s="94" t="s">
        <v>101</v>
      </c>
      <c r="O80" s="201"/>
      <c r="P80" s="1051"/>
      <c r="Q80" s="1051"/>
      <c r="R80" s="36"/>
      <c r="S80" s="36"/>
      <c r="T80" s="36"/>
    </row>
    <row r="81" spans="1:20" s="188" customFormat="1" x14ac:dyDescent="0.25">
      <c r="A81" s="201"/>
      <c r="B81" s="379"/>
      <c r="C81" s="2604"/>
      <c r="D81" s="692"/>
      <c r="E81" s="757"/>
      <c r="F81" s="187"/>
      <c r="G81" s="187"/>
      <c r="H81" s="187"/>
      <c r="I81" s="757"/>
      <c r="J81" s="757"/>
      <c r="K81" s="757"/>
      <c r="L81" s="757"/>
      <c r="M81" s="755" t="s">
        <v>10</v>
      </c>
      <c r="N81" s="1368" t="s">
        <v>1014</v>
      </c>
      <c r="O81" s="201"/>
      <c r="P81" s="36"/>
      <c r="Q81" s="36"/>
      <c r="R81" s="36"/>
      <c r="S81" s="36"/>
      <c r="T81" s="36"/>
    </row>
    <row r="82" spans="1:20" s="188" customFormat="1" x14ac:dyDescent="0.25">
      <c r="A82" s="201"/>
      <c r="B82" s="756"/>
      <c r="C82" s="753" t="s">
        <v>772</v>
      </c>
      <c r="D82" s="757"/>
      <c r="E82" s="757"/>
      <c r="F82" s="777" t="s">
        <v>103</v>
      </c>
      <c r="G82" s="775">
        <f>G80/SUM($G$80:$H$80)*$H$55</f>
        <v>21331.252238513051</v>
      </c>
      <c r="H82" s="776">
        <f>H80/SUM($G$80:$H$80)*$H$55</f>
        <v>22599.747761486953</v>
      </c>
      <c r="I82" s="757"/>
      <c r="J82" s="757"/>
      <c r="K82" s="757"/>
      <c r="L82" s="757"/>
      <c r="M82" s="114" t="s">
        <v>352</v>
      </c>
      <c r="N82" s="1330"/>
      <c r="O82" s="201"/>
      <c r="P82" s="36"/>
      <c r="Q82" s="36"/>
      <c r="R82" s="36"/>
      <c r="S82" s="36"/>
      <c r="T82" s="36"/>
    </row>
    <row r="83" spans="1:20" s="188" customFormat="1" x14ac:dyDescent="0.25">
      <c r="A83" s="201"/>
      <c r="B83" s="189"/>
      <c r="C83" s="187"/>
      <c r="D83" s="757"/>
      <c r="E83" s="757"/>
      <c r="F83" s="757"/>
      <c r="G83" s="757"/>
      <c r="H83" s="757"/>
      <c r="I83" s="757"/>
      <c r="J83" s="757"/>
      <c r="K83" s="757"/>
      <c r="L83" s="757"/>
      <c r="M83" s="114" t="s">
        <v>99</v>
      </c>
      <c r="N83" s="1331"/>
      <c r="O83" s="201"/>
      <c r="P83" s="36"/>
      <c r="Q83" s="36"/>
      <c r="R83" s="36"/>
      <c r="S83" s="36"/>
      <c r="T83" s="36"/>
    </row>
    <row r="84" spans="1:20" s="188" customFormat="1" x14ac:dyDescent="0.25">
      <c r="A84" s="201"/>
      <c r="B84" s="189"/>
      <c r="C84" s="187"/>
      <c r="D84" s="757"/>
      <c r="E84" s="757"/>
      <c r="F84" s="757"/>
      <c r="G84" s="757"/>
      <c r="H84" s="757"/>
      <c r="I84" s="757"/>
      <c r="J84" s="757"/>
      <c r="K84" s="757"/>
      <c r="L84" s="757"/>
      <c r="M84" s="114" t="s">
        <v>658</v>
      </c>
      <c r="N84" s="1331"/>
      <c r="O84" s="201"/>
      <c r="P84" s="36"/>
      <c r="Q84" s="36"/>
      <c r="R84" s="36"/>
      <c r="S84" s="36"/>
      <c r="T84" s="36"/>
    </row>
    <row r="85" spans="1:20" s="188" customFormat="1" x14ac:dyDescent="0.25">
      <c r="A85" s="201"/>
      <c r="B85" s="189"/>
      <c r="C85" s="187"/>
      <c r="D85" s="757"/>
      <c r="E85" s="757"/>
      <c r="F85" s="757"/>
      <c r="G85" s="757"/>
      <c r="H85" s="757"/>
      <c r="I85" s="757"/>
      <c r="J85" s="757"/>
      <c r="K85" s="757"/>
      <c r="L85" s="757"/>
      <c r="M85" s="757"/>
      <c r="N85" s="757"/>
      <c r="O85" s="201"/>
      <c r="P85" s="36"/>
      <c r="Q85" s="36"/>
      <c r="R85" s="36"/>
      <c r="S85" s="36"/>
      <c r="T85" s="36"/>
    </row>
    <row r="86" spans="1:20" s="188" customFormat="1" x14ac:dyDescent="0.25">
      <c r="A86" s="201"/>
      <c r="O86" s="201"/>
      <c r="P86" s="36"/>
      <c r="Q86" s="36"/>
      <c r="R86" s="36"/>
      <c r="S86" s="36"/>
      <c r="T86" s="36"/>
    </row>
    <row r="87" spans="1:20" s="188" customFormat="1" x14ac:dyDescent="0.2">
      <c r="A87" s="201"/>
      <c r="B87" s="758" t="s">
        <v>130</v>
      </c>
      <c r="C87" s="2586" t="s">
        <v>774</v>
      </c>
      <c r="G87" s="24" t="s">
        <v>16</v>
      </c>
      <c r="H87" s="24" t="s">
        <v>17</v>
      </c>
      <c r="I87" s="24" t="s">
        <v>18</v>
      </c>
      <c r="M87" s="365" t="s">
        <v>393</v>
      </c>
      <c r="N87" s="2586" t="s">
        <v>469</v>
      </c>
      <c r="O87" s="201"/>
      <c r="P87" s="36"/>
      <c r="Q87" s="36"/>
      <c r="R87" s="36"/>
      <c r="S87" s="36"/>
      <c r="T87" s="36"/>
    </row>
    <row r="88" spans="1:20" s="188" customFormat="1" x14ac:dyDescent="0.25">
      <c r="A88" s="201"/>
      <c r="B88" s="221"/>
      <c r="C88" s="2587"/>
      <c r="F88" s="778" t="s">
        <v>25</v>
      </c>
      <c r="G88" s="1033">
        <v>0</v>
      </c>
      <c r="H88" s="1034">
        <f>$H$102*'Other national data'!I67</f>
        <v>3477.840656687591</v>
      </c>
      <c r="I88" s="1035">
        <v>0</v>
      </c>
      <c r="M88" s="221"/>
      <c r="N88" s="2588"/>
      <c r="O88" s="201"/>
      <c r="P88" s="36"/>
      <c r="Q88" s="36"/>
      <c r="R88" s="36"/>
      <c r="S88" s="36"/>
      <c r="T88" s="36"/>
    </row>
    <row r="89" spans="1:20" s="188" customFormat="1" x14ac:dyDescent="0.25">
      <c r="A89" s="201"/>
      <c r="B89" s="749" t="s">
        <v>353</v>
      </c>
      <c r="C89" s="2596" t="s">
        <v>773</v>
      </c>
      <c r="F89" s="953" t="s">
        <v>56</v>
      </c>
      <c r="G89" s="1036">
        <f>G75</f>
        <v>771</v>
      </c>
      <c r="H89" s="779">
        <f>$H$102*'Other national data'!I68</f>
        <v>12451.911636890392</v>
      </c>
      <c r="I89" s="1037">
        <v>0</v>
      </c>
      <c r="M89" s="113" t="s">
        <v>100</v>
      </c>
      <c r="N89" s="37" t="s">
        <v>102</v>
      </c>
      <c r="O89" s="201"/>
      <c r="P89" s="36"/>
      <c r="Q89" s="36"/>
      <c r="R89" s="36"/>
      <c r="S89" s="36"/>
      <c r="T89" s="36"/>
    </row>
    <row r="90" spans="1:20" s="188" customFormat="1" x14ac:dyDescent="0.25">
      <c r="A90" s="201"/>
      <c r="B90" s="236"/>
      <c r="C90" s="2597"/>
      <c r="F90" s="953" t="s">
        <v>52</v>
      </c>
      <c r="G90" s="1036">
        <f>G74</f>
        <v>427</v>
      </c>
      <c r="H90" s="779">
        <f>$H$102*'Other national data'!I69</f>
        <v>1397.3466924191214</v>
      </c>
      <c r="I90" s="1037">
        <v>0</v>
      </c>
      <c r="M90" s="99"/>
      <c r="N90" s="11"/>
      <c r="O90" s="201"/>
      <c r="P90" s="36"/>
      <c r="Q90" s="36"/>
      <c r="R90" s="36"/>
      <c r="S90" s="36"/>
      <c r="T90" s="36"/>
    </row>
    <row r="91" spans="1:20" s="188" customFormat="1" x14ac:dyDescent="0.25">
      <c r="A91" s="201"/>
      <c r="B91" s="750"/>
      <c r="C91" s="752" t="s">
        <v>772</v>
      </c>
      <c r="F91" s="952" t="s">
        <v>402</v>
      </c>
      <c r="G91" s="1036">
        <v>0</v>
      </c>
      <c r="H91" s="779">
        <f>$H$102*'Other national data'!I70</f>
        <v>0</v>
      </c>
      <c r="I91" s="1037">
        <v>0</v>
      </c>
      <c r="M91" s="99"/>
      <c r="N91" s="11"/>
      <c r="O91" s="201"/>
      <c r="P91" s="36"/>
      <c r="Q91" s="36"/>
      <c r="R91" s="36"/>
      <c r="S91" s="36"/>
      <c r="T91" s="36"/>
    </row>
    <row r="92" spans="1:20" s="188" customFormat="1" x14ac:dyDescent="0.25">
      <c r="A92" s="201"/>
      <c r="B92" s="1453" t="s">
        <v>714</v>
      </c>
      <c r="C92" s="2631" t="s">
        <v>916</v>
      </c>
      <c r="F92" s="952" t="s">
        <v>22</v>
      </c>
      <c r="G92" s="1038">
        <f>G82</f>
        <v>21331.252238513051</v>
      </c>
      <c r="H92" s="420">
        <f>H82</f>
        <v>22599.747761486953</v>
      </c>
      <c r="I92" s="1037">
        <v>0</v>
      </c>
      <c r="M92" s="99"/>
      <c r="N92" s="11"/>
      <c r="O92" s="201"/>
      <c r="P92" s="36"/>
      <c r="Q92" s="36"/>
      <c r="R92" s="36"/>
      <c r="S92" s="36"/>
      <c r="T92" s="36"/>
    </row>
    <row r="93" spans="1:20" s="188" customFormat="1" x14ac:dyDescent="0.25">
      <c r="A93" s="201"/>
      <c r="B93" s="1454"/>
      <c r="C93" s="2632"/>
      <c r="F93" s="953" t="s">
        <v>74</v>
      </c>
      <c r="G93" s="1038"/>
      <c r="H93" s="779">
        <f>$H$102*'Other national data'!I75</f>
        <v>28474.82037662965</v>
      </c>
      <c r="I93" s="1037">
        <v>0</v>
      </c>
      <c r="M93" s="99"/>
      <c r="N93" s="11"/>
      <c r="O93" s="201"/>
      <c r="P93" s="36"/>
      <c r="Q93" s="36"/>
      <c r="R93" s="36"/>
      <c r="S93" s="36"/>
      <c r="T93" s="36"/>
    </row>
    <row r="94" spans="1:20" s="188" customFormat="1" x14ac:dyDescent="0.25">
      <c r="A94" s="201"/>
      <c r="B94" s="1455"/>
      <c r="C94" s="2633"/>
      <c r="F94" s="953" t="s">
        <v>79</v>
      </c>
      <c r="G94" s="1038"/>
      <c r="H94" s="779">
        <f>$H$102*'Other national data'!I76</f>
        <v>10930.356349589572</v>
      </c>
      <c r="I94" s="1037">
        <v>0</v>
      </c>
      <c r="M94" s="99"/>
      <c r="N94" s="11"/>
      <c r="O94" s="201"/>
      <c r="P94" s="36"/>
      <c r="Q94" s="36"/>
      <c r="R94" s="36"/>
      <c r="S94" s="36"/>
      <c r="T94" s="36"/>
    </row>
    <row r="95" spans="1:20" s="188" customFormat="1" x14ac:dyDescent="0.25">
      <c r="A95" s="201"/>
      <c r="B95" s="99"/>
      <c r="C95" s="709"/>
      <c r="F95" s="953" t="s">
        <v>89</v>
      </c>
      <c r="G95" s="1038"/>
      <c r="H95" s="779">
        <f>$H$102*'Other national data'!I77</f>
        <v>4378.3529695799134</v>
      </c>
      <c r="I95" s="1037">
        <v>0</v>
      </c>
      <c r="M95" s="99"/>
      <c r="N95" s="11"/>
      <c r="O95" s="201"/>
      <c r="P95" s="36"/>
      <c r="Q95" s="36"/>
      <c r="R95" s="36"/>
      <c r="S95" s="36"/>
      <c r="T95" s="36"/>
    </row>
    <row r="96" spans="1:20" s="188" customFormat="1" x14ac:dyDescent="0.25">
      <c r="A96" s="201"/>
      <c r="B96" s="99"/>
      <c r="C96" s="709"/>
      <c r="F96" s="1254" t="s">
        <v>76</v>
      </c>
      <c r="G96" s="1038"/>
      <c r="H96" s="779">
        <f>$H$102*'Other national data'!I78</f>
        <v>0</v>
      </c>
      <c r="I96" s="1037">
        <v>0</v>
      </c>
      <c r="M96" s="99"/>
      <c r="N96" s="11"/>
      <c r="O96" s="201"/>
      <c r="P96" s="36"/>
      <c r="Q96" s="36"/>
      <c r="R96" s="36"/>
      <c r="S96" s="36"/>
      <c r="T96" s="36"/>
    </row>
    <row r="97" spans="1:20" s="188" customFormat="1" x14ac:dyDescent="0.25">
      <c r="A97" s="201"/>
      <c r="F97" s="952" t="s">
        <v>775</v>
      </c>
      <c r="G97" s="1038">
        <f>SUM(G71:G72)</f>
        <v>25443</v>
      </c>
      <c r="H97" s="779"/>
      <c r="I97" s="1037">
        <v>0</v>
      </c>
      <c r="M97" s="99"/>
      <c r="N97" s="11"/>
      <c r="O97" s="201"/>
      <c r="P97" s="36"/>
      <c r="Q97" s="36"/>
      <c r="R97" s="36"/>
      <c r="S97" s="36"/>
      <c r="T97" s="36"/>
    </row>
    <row r="98" spans="1:20" s="188" customFormat="1" x14ac:dyDescent="0.25">
      <c r="A98" s="201"/>
      <c r="B98" s="99"/>
      <c r="C98" s="709"/>
      <c r="F98" s="778" t="s">
        <v>32</v>
      </c>
      <c r="G98" s="1038">
        <f>G63</f>
        <v>2359</v>
      </c>
      <c r="H98" s="779">
        <f>H63</f>
        <v>2500</v>
      </c>
      <c r="I98" s="1037">
        <v>0</v>
      </c>
      <c r="M98" s="99"/>
      <c r="N98" s="11"/>
      <c r="O98" s="201"/>
      <c r="P98" s="36"/>
      <c r="Q98" s="36"/>
      <c r="R98" s="36"/>
      <c r="S98" s="36"/>
      <c r="T98" s="36"/>
    </row>
    <row r="99" spans="1:20" s="188" customFormat="1" x14ac:dyDescent="0.25">
      <c r="A99" s="201"/>
      <c r="B99" s="99"/>
      <c r="C99" s="709"/>
      <c r="F99" s="778" t="s">
        <v>30</v>
      </c>
      <c r="G99" s="1038">
        <f>G73</f>
        <v>17136</v>
      </c>
      <c r="H99" s="779">
        <f>$H$102*'Other national data'!I80</f>
        <v>2577.3283437952682</v>
      </c>
      <c r="I99" s="1037">
        <v>0</v>
      </c>
      <c r="M99" s="99"/>
      <c r="N99" s="11"/>
      <c r="O99" s="201"/>
      <c r="P99" s="36"/>
      <c r="Q99" s="36"/>
      <c r="R99" s="36"/>
      <c r="S99" s="36"/>
      <c r="T99" s="36"/>
    </row>
    <row r="100" spans="1:20" s="188" customFormat="1" x14ac:dyDescent="0.25">
      <c r="A100" s="201"/>
      <c r="B100" s="99"/>
      <c r="C100" s="709"/>
      <c r="F100" s="953" t="s">
        <v>83</v>
      </c>
      <c r="G100" s="1038">
        <v>0</v>
      </c>
      <c r="H100" s="779">
        <f>$H$102*'Other national data'!I81</f>
        <v>419.20400772573635</v>
      </c>
      <c r="I100" s="1037">
        <v>0</v>
      </c>
      <c r="M100" s="99"/>
      <c r="N100" s="11"/>
      <c r="O100" s="201"/>
      <c r="P100" s="36"/>
      <c r="Q100" s="36"/>
      <c r="R100" s="36"/>
      <c r="S100" s="36"/>
      <c r="T100" s="36"/>
    </row>
    <row r="101" spans="1:20" s="188" customFormat="1" x14ac:dyDescent="0.25">
      <c r="A101" s="201"/>
      <c r="B101" s="99"/>
      <c r="C101" s="709"/>
      <c r="F101" s="954" t="s">
        <v>568</v>
      </c>
      <c r="G101" s="1039">
        <v>0</v>
      </c>
      <c r="H101" s="1040">
        <f>$H$102*'Other national data'!I82</f>
        <v>201.83896668276199</v>
      </c>
      <c r="I101" s="1041">
        <v>0</v>
      </c>
      <c r="K101" s="652"/>
      <c r="M101" s="652"/>
      <c r="N101" s="11"/>
      <c r="O101" s="201"/>
      <c r="P101" s="36"/>
      <c r="Q101" s="36"/>
      <c r="R101" s="36"/>
      <c r="S101" s="36"/>
      <c r="T101" s="36"/>
    </row>
    <row r="102" spans="1:20" s="188" customFormat="1" x14ac:dyDescent="0.25">
      <c r="A102" s="201"/>
      <c r="B102" s="99"/>
      <c r="C102" s="709"/>
      <c r="F102" s="180" t="s">
        <v>894</v>
      </c>
      <c r="H102" s="781">
        <f>G55-SUM(G63:I63,G71:G75)</f>
        <v>64309</v>
      </c>
      <c r="J102" s="652"/>
      <c r="M102" s="99"/>
      <c r="N102" s="11"/>
      <c r="O102" s="201"/>
      <c r="P102" s="36"/>
      <c r="Q102" s="36"/>
      <c r="R102" s="36"/>
      <c r="S102" s="36"/>
      <c r="T102" s="36"/>
    </row>
    <row r="103" spans="1:20" s="188" customFormat="1" x14ac:dyDescent="0.25">
      <c r="A103" s="201"/>
      <c r="B103" s="99"/>
      <c r="C103" s="709"/>
      <c r="F103" s="819" t="s">
        <v>659</v>
      </c>
      <c r="G103" s="1263" t="str">
        <f>IF(SUM(G88:I101)=SUM(G55:H55),"Ok","Error")</f>
        <v>Ok</v>
      </c>
      <c r="I103" s="1262"/>
      <c r="M103" s="99"/>
      <c r="N103" s="11"/>
      <c r="O103" s="201"/>
      <c r="P103" s="1051"/>
      <c r="Q103" s="1051"/>
      <c r="R103" s="1051"/>
      <c r="S103" s="36"/>
      <c r="T103" s="36"/>
    </row>
    <row r="104" spans="1:20" ht="15.75" x14ac:dyDescent="0.25">
      <c r="A104" s="131"/>
      <c r="B104" s="131"/>
      <c r="C104" s="131"/>
      <c r="D104" s="131"/>
      <c r="E104" s="131"/>
      <c r="F104" s="131"/>
      <c r="G104" s="131"/>
      <c r="H104" s="131"/>
      <c r="I104" s="131"/>
      <c r="J104" s="131"/>
      <c r="K104" s="131"/>
      <c r="L104" s="131"/>
      <c r="M104" s="131"/>
      <c r="N104" s="131"/>
      <c r="O104" s="131"/>
      <c r="P104" s="1051"/>
      <c r="Q104" s="1051"/>
      <c r="R104" s="1051"/>
    </row>
    <row r="105" spans="1:20" ht="15.75" x14ac:dyDescent="0.25">
      <c r="A105" s="133"/>
      <c r="B105" s="134" t="s">
        <v>462</v>
      </c>
      <c r="C105" s="364" t="s">
        <v>574</v>
      </c>
      <c r="D105" s="133"/>
      <c r="E105" s="133"/>
      <c r="F105" s="133"/>
      <c r="G105" s="133"/>
      <c r="H105" s="133"/>
      <c r="I105" s="133"/>
      <c r="J105" s="133"/>
      <c r="K105" s="133"/>
      <c r="L105" s="133"/>
      <c r="M105" s="135"/>
      <c r="N105" s="133"/>
      <c r="O105" s="133"/>
      <c r="P105" s="1051"/>
      <c r="Q105" s="1051"/>
      <c r="R105" s="1051"/>
    </row>
    <row r="106" spans="1:20" s="188" customFormat="1" x14ac:dyDescent="0.25">
      <c r="A106" s="204"/>
      <c r="B106" s="192"/>
      <c r="C106" s="11"/>
      <c r="D106" s="11"/>
      <c r="E106" s="11"/>
      <c r="F106" s="11"/>
      <c r="G106" s="11"/>
      <c r="H106" s="11"/>
      <c r="I106" s="11"/>
      <c r="J106" s="11"/>
      <c r="K106" s="11"/>
      <c r="L106" s="11"/>
      <c r="M106" s="11"/>
      <c r="N106" s="11"/>
      <c r="O106" s="205"/>
      <c r="P106" s="1051"/>
      <c r="Q106" s="1051"/>
      <c r="R106" s="1051"/>
      <c r="S106" s="36"/>
      <c r="T106" s="36"/>
    </row>
    <row r="107" spans="1:20" s="188" customFormat="1" x14ac:dyDescent="0.25">
      <c r="A107" s="204"/>
      <c r="B107" s="97"/>
      <c r="C107" s="37" t="s">
        <v>576</v>
      </c>
      <c r="D107" s="11"/>
      <c r="E107" s="11"/>
      <c r="F107" s="11"/>
      <c r="G107" s="11"/>
      <c r="H107" s="11"/>
      <c r="I107" s="11"/>
      <c r="J107" s="11"/>
      <c r="K107" s="11"/>
      <c r="L107" s="11"/>
      <c r="M107" s="11"/>
      <c r="N107" s="11"/>
      <c r="O107" s="205"/>
      <c r="P107" s="1051"/>
      <c r="Q107" s="1051"/>
      <c r="R107" s="1051"/>
      <c r="S107" s="36"/>
      <c r="T107" s="36"/>
    </row>
    <row r="108" spans="1:20" s="188" customFormat="1" x14ac:dyDescent="0.25">
      <c r="A108" s="204"/>
      <c r="B108" s="191"/>
      <c r="C108" s="199"/>
      <c r="D108" s="197"/>
      <c r="E108" s="197"/>
      <c r="F108" s="197"/>
      <c r="G108" s="197"/>
      <c r="H108" s="197"/>
      <c r="I108" s="197"/>
      <c r="J108" s="197"/>
      <c r="K108" s="197"/>
      <c r="L108" s="197"/>
      <c r="M108" s="197"/>
      <c r="N108" s="197"/>
      <c r="O108" s="205"/>
      <c r="P108" s="1051"/>
      <c r="Q108" s="1051"/>
      <c r="R108" s="1051"/>
      <c r="S108" s="36"/>
      <c r="T108" s="36"/>
    </row>
    <row r="109" spans="1:20" s="15" customFormat="1" ht="15.75" x14ac:dyDescent="0.25">
      <c r="A109" s="133"/>
      <c r="B109" s="133"/>
      <c r="C109" s="133"/>
      <c r="D109" s="133"/>
      <c r="E109" s="133"/>
      <c r="F109" s="133"/>
      <c r="G109" s="133"/>
      <c r="H109" s="133"/>
      <c r="I109" s="133"/>
      <c r="J109" s="133"/>
      <c r="K109" s="133"/>
      <c r="L109" s="133"/>
      <c r="M109" s="133"/>
      <c r="N109" s="133"/>
      <c r="O109" s="133"/>
      <c r="P109" s="1051"/>
      <c r="Q109" s="1051"/>
      <c r="R109" s="1051"/>
      <c r="S109" s="36"/>
      <c r="T109" s="36"/>
    </row>
    <row r="110" spans="1:20" ht="15.75" x14ac:dyDescent="0.25">
      <c r="B110" s="143" t="s">
        <v>577</v>
      </c>
      <c r="M110" s="19"/>
      <c r="P110" s="1051"/>
      <c r="Q110" s="1051"/>
      <c r="R110" s="1051"/>
    </row>
    <row r="111" spans="1:20" x14ac:dyDescent="0.25">
      <c r="B111" s="141" t="s">
        <v>361</v>
      </c>
      <c r="E111" s="16"/>
      <c r="F111" s="122"/>
      <c r="G111" s="434" t="s">
        <v>113</v>
      </c>
      <c r="H111" s="435" t="s">
        <v>114</v>
      </c>
      <c r="I111" s="436" t="s">
        <v>38</v>
      </c>
      <c r="J111" s="6" t="s">
        <v>88</v>
      </c>
      <c r="L111" s="6" t="s">
        <v>368</v>
      </c>
      <c r="P111" s="1051"/>
      <c r="Q111" s="1051"/>
      <c r="R111" s="1051"/>
    </row>
    <row r="112" spans="1:20" x14ac:dyDescent="0.2">
      <c r="B112" s="7"/>
      <c r="C112" s="7"/>
      <c r="D112" s="7"/>
      <c r="E112" s="7"/>
      <c r="F112" s="138" t="s">
        <v>143</v>
      </c>
      <c r="G112" s="417">
        <f>$J112*'Other national data'!L423</f>
        <v>0</v>
      </c>
      <c r="H112" s="418">
        <f>$J112*'Other national data'!M423</f>
        <v>0</v>
      </c>
      <c r="I112" s="419">
        <f>$J112*'Other national data'!N423</f>
        <v>0</v>
      </c>
      <c r="J112" s="1495">
        <f>SUMIFS('Basel data'!E:E,'Basel data'!A:A,L112,'Basel data'!G:G,$B$1)+SUMIFS('Basel data'!F:F,'Basel data'!A:A,L112,'Basel data'!G:G,$B$1)+SUMIFS('Basel data'!E:E,'Basel data'!C:C,L112,'Basel data'!G:G,$B$1)+SUMIFS('Basel data'!F:F,'Basel data'!C:C,L112,'Basel data'!G:G,$B$1)</f>
        <v>0</v>
      </c>
      <c r="L112" s="121" t="s">
        <v>142</v>
      </c>
      <c r="O112" s="36" t="str">
        <f>IF(ROUND(SUM(G112:I112),0)=ROUND(J112,0),"OK","Error")</f>
        <v>OK</v>
      </c>
      <c r="P112" s="1051"/>
      <c r="Q112" s="1051"/>
      <c r="R112" s="1051"/>
    </row>
    <row r="113" spans="2:20" x14ac:dyDescent="0.2">
      <c r="B113" s="7"/>
      <c r="C113" s="7"/>
      <c r="D113" s="7"/>
      <c r="E113" s="7"/>
      <c r="F113" s="138" t="s">
        <v>152</v>
      </c>
      <c r="G113" s="123">
        <f>$J113*'Other national data'!L424</f>
        <v>0.54197309723192899</v>
      </c>
      <c r="H113" s="420">
        <f>$J113*'Other national data'!M424</f>
        <v>2.0580269027680451</v>
      </c>
      <c r="I113" s="421">
        <f>$J113*'Other national data'!N424</f>
        <v>2.6E-14</v>
      </c>
      <c r="J113" s="1495">
        <f>SUMIFS('Basel data'!E:E,'Basel data'!A:A,L113,'Basel data'!G:G,$B$1)+SUMIFS('Basel data'!F:F,'Basel data'!A:A,L113,'Basel data'!G:G,$B$1)+SUMIFS('Basel data'!E:E,'Basel data'!C:C,L113,'Basel data'!G:G,$B$1)+SUMIFS('Basel data'!F:F,'Basel data'!C:C,L113,'Basel data'!G:G,$B$1)</f>
        <v>2.6</v>
      </c>
      <c r="L113" s="121" t="s">
        <v>151</v>
      </c>
      <c r="O113" s="36" t="str">
        <f t="shared" ref="O113:O128" si="2">IF(ROUND(SUM(G113:I113),0)=ROUND(J113,0),"OK","Error")</f>
        <v>OK</v>
      </c>
      <c r="P113" s="1051"/>
      <c r="Q113" s="1051"/>
      <c r="R113" s="1051"/>
    </row>
    <row r="114" spans="2:20" x14ac:dyDescent="0.2">
      <c r="B114" s="7"/>
      <c r="C114" s="7"/>
      <c r="D114" s="7"/>
      <c r="E114" s="7"/>
      <c r="F114" s="138" t="s">
        <v>156</v>
      </c>
      <c r="G114" s="123">
        <f>$J114*'Other national data'!L425</f>
        <v>0.38390200695938981</v>
      </c>
      <c r="H114" s="420">
        <f>$J114*'Other national data'!M425</f>
        <v>1.2160979930405942</v>
      </c>
      <c r="I114" s="421">
        <f>$J114*'Other national data'!N425</f>
        <v>1.6000000000000001E-14</v>
      </c>
      <c r="J114" s="1495">
        <f>SUMIFS('Basel data'!E:E,'Basel data'!A:A,L114,'Basel data'!G:G,$B$1)+SUMIFS('Basel data'!F:F,'Basel data'!A:A,L114,'Basel data'!G:G,$B$1)+SUMIFS('Basel data'!E:E,'Basel data'!C:C,L114,'Basel data'!G:G,$B$1)+SUMIFS('Basel data'!F:F,'Basel data'!C:C,L114,'Basel data'!G:G,$B$1)</f>
        <v>1.6</v>
      </c>
      <c r="L114" s="121" t="s">
        <v>155</v>
      </c>
      <c r="O114" s="36" t="str">
        <f t="shared" si="2"/>
        <v>OK</v>
      </c>
      <c r="P114" s="1051"/>
      <c r="Q114" s="1051"/>
      <c r="R114" s="1051"/>
    </row>
    <row r="115" spans="2:20" x14ac:dyDescent="0.2">
      <c r="B115" s="7"/>
      <c r="C115" s="7"/>
      <c r="D115" s="7"/>
      <c r="E115" s="7"/>
      <c r="F115" s="138" t="s">
        <v>160</v>
      </c>
      <c r="G115" s="123">
        <f>$J115*'Other national data'!L426</f>
        <v>73229.091918661361</v>
      </c>
      <c r="H115" s="420">
        <f>$J115*'Other national data'!M426</f>
        <v>189375.78608133603</v>
      </c>
      <c r="I115" s="421">
        <f>$J115*'Other national data'!N426</f>
        <v>2.6260487800000004E-9</v>
      </c>
      <c r="J115" s="1495">
        <f>SUMIFS('Basel data'!E:E,'Basel data'!A:A,L115,'Basel data'!G:G,$B$1)+SUMIFS('Basel data'!F:F,'Basel data'!A:A,L115,'Basel data'!G:G,$B$1)+SUMIFS('Basel data'!E:E,'Basel data'!C:C,L115,'Basel data'!G:G,$B$1)+SUMIFS('Basel data'!F:F,'Basel data'!C:C,L115,'Basel data'!G:G,$B$1)</f>
        <v>262604.87800000003</v>
      </c>
      <c r="L115" s="121" t="s">
        <v>159</v>
      </c>
      <c r="O115" s="36" t="str">
        <f t="shared" si="2"/>
        <v>OK</v>
      </c>
      <c r="P115" s="1051"/>
      <c r="Q115" s="1051"/>
      <c r="R115" s="1051"/>
    </row>
    <row r="116" spans="2:20" x14ac:dyDescent="0.2">
      <c r="B116" s="7"/>
      <c r="C116" s="7"/>
      <c r="D116" s="7"/>
      <c r="E116" s="7"/>
      <c r="F116" s="138" t="s">
        <v>210</v>
      </c>
      <c r="G116" s="123">
        <f>$J116*'Other national data'!L427</f>
        <v>0.26845301636642199</v>
      </c>
      <c r="H116" s="420">
        <f>$J116*'Other national data'!M427</f>
        <v>24.431546983633329</v>
      </c>
      <c r="I116" s="421">
        <f>$J116*'Other national data'!N427</f>
        <v>2.4700000000000001E-13</v>
      </c>
      <c r="J116" s="1495">
        <f>SUMIFS('Basel data'!E:E,'Basel data'!A:A,L116,'Basel data'!G:G,$B$1)+SUMIFS('Basel data'!F:F,'Basel data'!A:A,L116,'Basel data'!G:G,$B$1)+SUMIFS('Basel data'!E:E,'Basel data'!C:C,L116,'Basel data'!G:G,$B$1)+SUMIFS('Basel data'!F:F,'Basel data'!C:C,L116,'Basel data'!G:G,$B$1)</f>
        <v>24.7</v>
      </c>
      <c r="L116" s="121" t="s">
        <v>209</v>
      </c>
      <c r="O116" s="36" t="str">
        <f t="shared" si="2"/>
        <v>OK</v>
      </c>
      <c r="P116" s="1051"/>
      <c r="Q116" s="1051"/>
      <c r="R116" s="1051"/>
    </row>
    <row r="117" spans="2:20" x14ac:dyDescent="0.2">
      <c r="B117" s="7"/>
      <c r="C117" s="7"/>
      <c r="D117" s="7"/>
      <c r="E117" s="7"/>
      <c r="F117" s="138" t="s">
        <v>214</v>
      </c>
      <c r="G117" s="123">
        <f>$J117*'Other national data'!L428</f>
        <v>7.5384619504295616</v>
      </c>
      <c r="H117" s="420">
        <f>$J117*'Other national data'!M428</f>
        <v>15.985538049570202</v>
      </c>
      <c r="I117" s="421">
        <f>$J117*'Other national data'!N428</f>
        <v>2.3524000000000002E-13</v>
      </c>
      <c r="J117" s="1495">
        <f>SUMIFS('Basel data'!E:E,'Basel data'!A:A,L117,'Basel data'!G:G,$B$1)+SUMIFS('Basel data'!F:F,'Basel data'!A:A,L117,'Basel data'!G:G,$B$1)+SUMIFS('Basel data'!E:E,'Basel data'!C:C,L117,'Basel data'!G:G,$B$1)+SUMIFS('Basel data'!F:F,'Basel data'!C:C,L117,'Basel data'!G:G,$B$1)</f>
        <v>23.524000000000001</v>
      </c>
      <c r="L117" s="121" t="s">
        <v>213</v>
      </c>
      <c r="O117" s="36" t="str">
        <f t="shared" si="2"/>
        <v>OK</v>
      </c>
      <c r="P117" s="1051"/>
      <c r="Q117" s="1051"/>
      <c r="R117" s="1051"/>
    </row>
    <row r="118" spans="2:20" x14ac:dyDescent="0.2">
      <c r="B118" s="7"/>
      <c r="C118" s="7"/>
      <c r="D118" s="7"/>
      <c r="E118" s="7"/>
      <c r="F118" s="138" t="s">
        <v>220</v>
      </c>
      <c r="G118" s="123">
        <f>$J118*'Other national data'!L429</f>
        <v>121.25807615904995</v>
      </c>
      <c r="H118" s="420">
        <f>$J118*'Other national data'!M429</f>
        <v>1305.5969238409359</v>
      </c>
      <c r="I118" s="421">
        <f>$J118*'Other national data'!N429</f>
        <v>1.4268549999999999E-11</v>
      </c>
      <c r="J118" s="1495">
        <f>SUMIFS('Basel data'!E:E,'Basel data'!A:A,L118,'Basel data'!G:G,$B$1)+SUMIFS('Basel data'!F:F,'Basel data'!A:A,L118,'Basel data'!G:G,$B$1)+SUMIFS('Basel data'!E:E,'Basel data'!C:C,L118,'Basel data'!G:G,$B$1)+SUMIFS('Basel data'!F:F,'Basel data'!C:C,L118,'Basel data'!G:G,$B$1)</f>
        <v>1426.855</v>
      </c>
      <c r="L118" s="121" t="s">
        <v>219</v>
      </c>
      <c r="O118" s="36" t="str">
        <f t="shared" si="2"/>
        <v>OK</v>
      </c>
      <c r="P118" s="1051"/>
      <c r="Q118" s="1051"/>
      <c r="R118" s="1051"/>
    </row>
    <row r="119" spans="2:20" x14ac:dyDescent="0.2">
      <c r="B119" s="7"/>
      <c r="C119" s="7"/>
      <c r="D119" s="7"/>
      <c r="E119" s="7"/>
      <c r="F119" s="138" t="s">
        <v>230</v>
      </c>
      <c r="G119" s="123">
        <f>$J119*'Other national data'!L430</f>
        <v>2.1530886388913646</v>
      </c>
      <c r="H119" s="420">
        <f>$J119*'Other national data'!M430</f>
        <v>29.96191136110831</v>
      </c>
      <c r="I119" s="421">
        <f>$J119*'Other national data'!N430</f>
        <v>3.2114999999999995E-13</v>
      </c>
      <c r="J119" s="1495">
        <f>SUMIFS('Basel data'!E:E,'Basel data'!A:A,L119,'Basel data'!G:G,$B$1)+SUMIFS('Basel data'!F:F,'Basel data'!A:A,L119,'Basel data'!G:G,$B$1)+SUMIFS('Basel data'!E:E,'Basel data'!C:C,L119,'Basel data'!G:G,$B$1)+SUMIFS('Basel data'!F:F,'Basel data'!C:C,L119,'Basel data'!G:G,$B$1)</f>
        <v>32.114999999999995</v>
      </c>
      <c r="L119" s="121" t="s">
        <v>229</v>
      </c>
      <c r="O119" s="36" t="str">
        <f t="shared" si="2"/>
        <v>OK</v>
      </c>
      <c r="P119" s="1051"/>
      <c r="Q119" s="1051"/>
      <c r="R119" s="1051"/>
    </row>
    <row r="120" spans="2:20" x14ac:dyDescent="0.2">
      <c r="B120" s="7"/>
      <c r="C120" s="7"/>
      <c r="D120" s="7"/>
      <c r="E120" s="7"/>
      <c r="F120" s="138" t="s">
        <v>238</v>
      </c>
      <c r="G120" s="123">
        <f>$J120*'Other national data'!L431</f>
        <v>35.897036786764168</v>
      </c>
      <c r="H120" s="420">
        <f>$J120*'Other national data'!M431</f>
        <v>298.47496321323251</v>
      </c>
      <c r="I120" s="421">
        <f>$J120*'Other national data'!N431</f>
        <v>3.3437200000000002E-12</v>
      </c>
      <c r="J120" s="1495">
        <f>SUMIFS('Basel data'!E:E,'Basel data'!A:A,L120,'Basel data'!G:G,$B$1)+SUMIFS('Basel data'!F:F,'Basel data'!A:A,L120,'Basel data'!G:G,$B$1)+SUMIFS('Basel data'!E:E,'Basel data'!C:C,L120,'Basel data'!G:G,$B$1)+SUMIFS('Basel data'!F:F,'Basel data'!C:C,L120,'Basel data'!G:G,$B$1)</f>
        <v>334.37200000000001</v>
      </c>
      <c r="L120" s="121" t="s">
        <v>237</v>
      </c>
      <c r="O120" s="36" t="str">
        <f t="shared" si="2"/>
        <v>OK</v>
      </c>
      <c r="P120" s="1051"/>
      <c r="Q120" s="1051"/>
      <c r="R120" s="1051"/>
    </row>
    <row r="121" spans="2:20" x14ac:dyDescent="0.2">
      <c r="B121" s="7"/>
      <c r="C121" s="7"/>
      <c r="D121" s="7"/>
      <c r="E121" s="7"/>
      <c r="F121" s="138" t="s">
        <v>246</v>
      </c>
      <c r="G121" s="123">
        <f>$J121*'Other national data'!L432</f>
        <v>918.42597958177646</v>
      </c>
      <c r="H121" s="420">
        <f>$J121*'Other national data'!M432</f>
        <v>17262.540346680322</v>
      </c>
      <c r="I121" s="421">
        <f>$J121*'Other national data'!N432</f>
        <v>1.8180966326262282E-10</v>
      </c>
      <c r="J121" s="1495">
        <f>SUMIFS('Basel data'!E:E,'Basel data'!A:A,L121,'Basel data'!G:G,$B$1)+SUMIFS('Basel data'!F:F,'Basel data'!A:A,L121,'Basel data'!G:G,$B$1)+SUMIFS('Basel data'!E:E,'Basel data'!C:C,L121,'Basel data'!G:G,$B$1)+SUMIFS('Basel data'!F:F,'Basel data'!C:C,L121,'Basel data'!G:G,$B$1)</f>
        <v>18180.966326262282</v>
      </c>
      <c r="L121" s="121" t="s">
        <v>245</v>
      </c>
      <c r="O121" s="36" t="str">
        <f t="shared" si="2"/>
        <v>OK</v>
      </c>
      <c r="P121" s="1051"/>
      <c r="Q121" s="1051"/>
      <c r="R121" s="1051"/>
    </row>
    <row r="122" spans="2:20" x14ac:dyDescent="0.2">
      <c r="B122" s="7"/>
      <c r="C122" s="7"/>
      <c r="D122" s="7"/>
      <c r="E122" s="7"/>
      <c r="F122" s="138" t="s">
        <v>256</v>
      </c>
      <c r="G122" s="123">
        <f>$J122*'Other national data'!L433</f>
        <v>29.024684919802532</v>
      </c>
      <c r="H122" s="420">
        <f>$J122*'Other national data'!M433</f>
        <v>10.95898608019707</v>
      </c>
      <c r="I122" s="421">
        <f>$J122*'Other national data'!N433</f>
        <v>3.9983670999999999E-13</v>
      </c>
      <c r="J122" s="1495">
        <f>SUMIFS('Basel data'!E:E,'Basel data'!A:A,L122,'Basel data'!G:G,$B$1)+SUMIFS('Basel data'!F:F,'Basel data'!A:A,L122,'Basel data'!G:G,$B$1)+SUMIFS('Basel data'!E:E,'Basel data'!C:C,L122,'Basel data'!G:G,$B$1)+SUMIFS('Basel data'!F:F,'Basel data'!C:C,L122,'Basel data'!G:G,$B$1)</f>
        <v>39.983671000000001</v>
      </c>
      <c r="L122" s="121" t="s">
        <v>255</v>
      </c>
      <c r="O122" s="36" t="str">
        <f t="shared" si="2"/>
        <v>OK</v>
      </c>
      <c r="P122" s="1051"/>
      <c r="Q122" s="1051"/>
      <c r="R122" s="1051"/>
    </row>
    <row r="123" spans="2:20" x14ac:dyDescent="0.2">
      <c r="B123" s="7"/>
      <c r="C123" s="7"/>
      <c r="D123" s="7"/>
      <c r="E123" s="7"/>
      <c r="F123" s="139" t="s">
        <v>343</v>
      </c>
      <c r="G123" s="123">
        <f>$J123*'Other national data'!L434</f>
        <v>5543.5685372499411</v>
      </c>
      <c r="H123" s="420">
        <f>$J123*'Other national data'!M434</f>
        <v>85.746462750002593</v>
      </c>
      <c r="I123" s="421">
        <f>$J123*'Other national data'!N434</f>
        <v>5.6293149999999996E-11</v>
      </c>
      <c r="J123" s="1495">
        <f>SUMIFS('Basel data'!E:E,'Basel data'!A:A,L123,'Basel data'!G:G,$B$1)+SUMIFS('Basel data'!F:F,'Basel data'!A:A,L123,'Basel data'!G:G,$B$1)+SUMIFS('Basel data'!E:E,'Basel data'!C:C,L123,'Basel data'!G:G,$B$1)+SUMIFS('Basel data'!F:F,'Basel data'!C:C,L123,'Basel data'!G:G,$B$1)</f>
        <v>5629.3149999999996</v>
      </c>
      <c r="L123" s="121" t="s">
        <v>281</v>
      </c>
      <c r="O123" s="36" t="str">
        <f t="shared" si="2"/>
        <v>OK</v>
      </c>
      <c r="P123" s="1051"/>
      <c r="Q123" s="1051"/>
      <c r="R123" s="1051"/>
    </row>
    <row r="124" spans="2:20" x14ac:dyDescent="0.2">
      <c r="B124" s="7"/>
      <c r="C124" s="7"/>
      <c r="D124" s="7"/>
      <c r="E124" s="7"/>
      <c r="F124" s="139" t="s">
        <v>97</v>
      </c>
      <c r="G124" s="123">
        <f>$J124*'Other national data'!L435</f>
        <v>11708.081935229065</v>
      </c>
      <c r="H124" s="420">
        <f>$J124*'Other national data'!M435</f>
        <v>-1.1708081935229065E-10</v>
      </c>
      <c r="I124" s="421">
        <f>$J124*'Other national data'!N435</f>
        <v>1.1708081935229065E-10</v>
      </c>
      <c r="J124" s="1495">
        <f>SUMIFS('Basel data'!E:E,'Basel data'!A:A,L124,'Basel data'!G:G,$B$1)+SUMIFS('Basel data'!F:F,'Basel data'!A:A,L124,'Basel data'!G:G,$B$1)+SUMIFS('Basel data'!E:E,'Basel data'!C:C,L124,'Basel data'!G:G,$B$1)+SUMIFS('Basel data'!F:F,'Basel data'!C:C,L124,'Basel data'!G:G,$B$1)</f>
        <v>11708.081935229065</v>
      </c>
      <c r="L124" s="121" t="s">
        <v>293</v>
      </c>
      <c r="O124" s="36" t="str">
        <f t="shared" si="2"/>
        <v>OK</v>
      </c>
      <c r="P124" s="1051"/>
      <c r="Q124" s="1051"/>
      <c r="R124" s="1051"/>
    </row>
    <row r="125" spans="2:20" x14ac:dyDescent="0.2">
      <c r="B125" s="7"/>
      <c r="C125" s="7"/>
      <c r="D125" s="7"/>
      <c r="E125" s="7"/>
      <c r="F125" s="139" t="s">
        <v>345</v>
      </c>
      <c r="G125" s="2541">
        <f>$J125*'Other national data'!M443</f>
        <v>555.90298057470523</v>
      </c>
      <c r="H125" s="2542">
        <f>J125-G125</f>
        <v>51698.977193447587</v>
      </c>
      <c r="I125" s="421">
        <f>$J125*'Other national data'!N436</f>
        <v>0</v>
      </c>
      <c r="J125" s="1495">
        <f>SUMIFS('Basel data'!E:E,'Basel data'!A:A,L125,'Basel data'!G:G,$B$1)+SUMIFS('Basel data'!F:F,'Basel data'!A:A,L125,'Basel data'!G:G,$B$1)+SUMIFS('Basel data'!E:E,'Basel data'!C:C,L125,'Basel data'!G:G,$B$1)+SUMIFS('Basel data'!F:F,'Basel data'!C:C,L125,'Basel data'!G:G,$B$1)-SUM(J123:J124)</f>
        <v>52254.880174022292</v>
      </c>
      <c r="K125" s="142" t="s">
        <v>27</v>
      </c>
      <c r="L125" s="121" t="s">
        <v>277</v>
      </c>
      <c r="O125" s="36" t="str">
        <f t="shared" si="2"/>
        <v>OK</v>
      </c>
      <c r="P125" s="1051"/>
      <c r="Q125" s="1051"/>
      <c r="R125" s="1051"/>
      <c r="T125" s="1052"/>
    </row>
    <row r="126" spans="2:20" x14ac:dyDescent="0.2">
      <c r="B126" s="7"/>
      <c r="C126" s="7"/>
      <c r="D126" s="7"/>
      <c r="E126" s="7"/>
      <c r="F126" s="138" t="s">
        <v>297</v>
      </c>
      <c r="G126" s="123">
        <f>$J126*'Other national data'!L437</f>
        <v>16.574084767385813</v>
      </c>
      <c r="H126" s="420">
        <f>$J126*'Other national data'!M437</f>
        <v>4.9009152326139755</v>
      </c>
      <c r="I126" s="421">
        <f>$J126*'Other national data'!N437</f>
        <v>2.1475000000000002E-13</v>
      </c>
      <c r="J126" s="1495">
        <f>SUMIFS('Basel data'!E:E,'Basel data'!A:A,L126,'Basel data'!G:G,$B$1)+SUMIFS('Basel data'!F:F,'Basel data'!A:A,L126,'Basel data'!G:G,$B$1)+SUMIFS('Basel data'!E:E,'Basel data'!C:C,L126,'Basel data'!G:G,$B$1)+SUMIFS('Basel data'!F:F,'Basel data'!C:C,L126,'Basel data'!G:G,$B$1)</f>
        <v>21.475000000000001</v>
      </c>
      <c r="L126" s="121" t="s">
        <v>296</v>
      </c>
      <c r="O126" s="36" t="str">
        <f t="shared" si="2"/>
        <v>OK</v>
      </c>
      <c r="P126" s="1051"/>
      <c r="Q126" s="1051"/>
      <c r="R126" s="1051"/>
    </row>
    <row r="127" spans="2:20" x14ac:dyDescent="0.2">
      <c r="B127" s="7"/>
      <c r="C127" s="7"/>
      <c r="D127" s="7"/>
      <c r="E127" s="7"/>
      <c r="F127" s="1283" t="s">
        <v>39</v>
      </c>
      <c r="G127" s="123">
        <f>$J127*'Other national data'!L438</f>
        <v>3616.7953402563253</v>
      </c>
      <c r="H127" s="420">
        <f>$J127*'Other national data'!M438</f>
        <v>6458.1868347259933</v>
      </c>
      <c r="I127" s="421">
        <f>$J127*'Other national data'!N438</f>
        <v>1.0074982174982419E-10</v>
      </c>
      <c r="J127" s="1495">
        <f>SUMIFS('Basel data'!E:E,'Basel data'!A:A,L127,'Basel data'!G:G,$B$1)+SUMIFS('Basel data'!F:F,'Basel data'!A:A,L127,'Basel data'!G:G,$B$1)+SUMIFS('Basel data'!E:E,'Basel data'!C:C,L127,'Basel data'!G:G,$B$1)+SUMIFS('Basel data'!F:F,'Basel data'!C:C,L127,'Basel data'!G:G,$B$1)</f>
        <v>10074.982174982419</v>
      </c>
      <c r="L127" s="1275" t="s">
        <v>309</v>
      </c>
      <c r="O127" s="36" t="str">
        <f t="shared" si="2"/>
        <v>OK</v>
      </c>
    </row>
    <row r="128" spans="2:20" x14ac:dyDescent="0.2">
      <c r="C128" s="7"/>
      <c r="D128" s="7"/>
      <c r="E128" s="7"/>
      <c r="F128" s="1283" t="s">
        <v>904</v>
      </c>
      <c r="G128" s="422">
        <f>$J128*'Other national data'!L439</f>
        <v>3.6167140360058081</v>
      </c>
      <c r="H128" s="423">
        <f>$J128*'Other national data'!M439</f>
        <v>15.204385963993209</v>
      </c>
      <c r="I128" s="424">
        <f>$J128*'Other national data'!N439</f>
        <v>1.8821099999999206E-13</v>
      </c>
      <c r="J128" s="1495">
        <f>SUMIFS('Basel data'!E:E,'Basel data'!A:A,L128,'Basel data'!G:G,$B$1)+SUMIFS('Basel data'!F:F,'Basel data'!A:A,L128,'Basel data'!G:G,$B$1)+SUMIFS('Basel data'!E:E,'Basel data'!C:C,L128,'Basel data'!G:G,$B$1)+SUMIFS('Basel data'!F:F,'Basel data'!C:C,L128,'Basel data'!G:G,$B$1)-J127</f>
        <v>18.821099999999205</v>
      </c>
      <c r="L128" s="121" t="s">
        <v>303</v>
      </c>
      <c r="O128" s="36" t="str">
        <f t="shared" si="2"/>
        <v>OK</v>
      </c>
    </row>
    <row r="129" spans="2:18" x14ac:dyDescent="0.25">
      <c r="J129" s="1318">
        <f>SUM(J112:J128)</f>
        <v>362379.14938149601</v>
      </c>
      <c r="N129" s="19"/>
      <c r="O129" s="35" t="str">
        <f>IF(SUM(SUMIF('Basel data'!G:G,B1,'Basel data'!E:E),SUMIF('Basel data'!G:G,B1,'Basel data'!F:F))=J129,"OK","Error")</f>
        <v>OK</v>
      </c>
      <c r="P129" s="1051"/>
      <c r="Q129" s="1051"/>
      <c r="R129" s="1051"/>
    </row>
    <row r="130" spans="2:18" x14ac:dyDescent="0.25">
      <c r="M130" s="19"/>
      <c r="P130" s="1051"/>
      <c r="Q130" s="1051"/>
      <c r="R130" s="1051"/>
    </row>
    <row r="131" spans="2:18" x14ac:dyDescent="0.25">
      <c r="K131" s="126"/>
      <c r="M131" s="19"/>
      <c r="P131" s="1051"/>
      <c r="Q131" s="1051"/>
      <c r="R131" s="1051"/>
    </row>
    <row r="132" spans="2:18" ht="15.75" x14ac:dyDescent="0.25">
      <c r="B132" s="143" t="s">
        <v>585</v>
      </c>
      <c r="F132" s="143" t="s">
        <v>586</v>
      </c>
      <c r="K132" s="126"/>
      <c r="M132" s="19"/>
      <c r="P132" s="1051"/>
      <c r="Q132" s="1051"/>
      <c r="R132" s="1051"/>
    </row>
    <row r="133" spans="2:18" x14ac:dyDescent="0.25">
      <c r="B133" s="2618"/>
      <c r="C133" s="2619"/>
      <c r="D133" s="2620"/>
      <c r="E133" s="473"/>
      <c r="F133" s="2618"/>
      <c r="G133" s="2619"/>
      <c r="H133" s="2619"/>
      <c r="I133" s="2619"/>
      <c r="J133" s="2619"/>
      <c r="K133" s="2619"/>
      <c r="L133" s="2619"/>
      <c r="M133" s="2619"/>
      <c r="N133" s="2620"/>
      <c r="P133" s="1051"/>
      <c r="Q133" s="1051"/>
      <c r="R133" s="1051"/>
    </row>
    <row r="134" spans="2:18" x14ac:dyDescent="0.25">
      <c r="B134" s="2615"/>
      <c r="C134" s="2616"/>
      <c r="D134" s="2617"/>
      <c r="E134" s="473"/>
      <c r="F134" s="2615"/>
      <c r="G134" s="2616"/>
      <c r="H134" s="2616"/>
      <c r="I134" s="2616"/>
      <c r="J134" s="2616"/>
      <c r="K134" s="2616"/>
      <c r="L134" s="2616"/>
      <c r="M134" s="2616"/>
      <c r="N134" s="2617"/>
      <c r="P134" s="1051"/>
      <c r="Q134" s="1051"/>
      <c r="R134" s="1051"/>
    </row>
    <row r="135" spans="2:18" x14ac:dyDescent="0.25">
      <c r="B135" s="2615"/>
      <c r="C135" s="2616"/>
      <c r="D135" s="2617"/>
      <c r="E135" s="473"/>
      <c r="F135" s="2615"/>
      <c r="G135" s="2616"/>
      <c r="H135" s="2616"/>
      <c r="I135" s="2616"/>
      <c r="J135" s="2616"/>
      <c r="K135" s="2616"/>
      <c r="L135" s="2616"/>
      <c r="M135" s="2616"/>
      <c r="N135" s="2617"/>
    </row>
    <row r="136" spans="2:18" x14ac:dyDescent="0.25">
      <c r="B136" s="2615"/>
      <c r="C136" s="2616"/>
      <c r="D136" s="2617"/>
      <c r="E136" s="473"/>
      <c r="F136" s="2615"/>
      <c r="G136" s="2616"/>
      <c r="H136" s="2616"/>
      <c r="I136" s="2616"/>
      <c r="J136" s="2616"/>
      <c r="K136" s="2616"/>
      <c r="L136" s="2616"/>
      <c r="M136" s="2616"/>
      <c r="N136" s="2617"/>
    </row>
    <row r="137" spans="2:18" x14ac:dyDescent="0.25">
      <c r="B137" s="2615"/>
      <c r="C137" s="2616"/>
      <c r="D137" s="2617"/>
      <c r="E137" s="473"/>
      <c r="F137" s="2615"/>
      <c r="G137" s="2616"/>
      <c r="H137" s="2616"/>
      <c r="I137" s="2616"/>
      <c r="J137" s="2616"/>
      <c r="K137" s="2616"/>
      <c r="L137" s="2616"/>
      <c r="M137" s="2616"/>
      <c r="N137" s="2617"/>
    </row>
    <row r="138" spans="2:18" x14ac:dyDescent="0.25">
      <c r="B138" s="2615"/>
      <c r="C138" s="2616"/>
      <c r="D138" s="2617"/>
      <c r="E138" s="473"/>
      <c r="F138" s="2615"/>
      <c r="G138" s="2616"/>
      <c r="H138" s="2616"/>
      <c r="I138" s="2616"/>
      <c r="J138" s="2616"/>
      <c r="K138" s="2616"/>
      <c r="L138" s="2616"/>
      <c r="M138" s="2616"/>
      <c r="N138" s="2617"/>
    </row>
    <row r="139" spans="2:18" x14ac:dyDescent="0.25">
      <c r="B139" s="2615"/>
      <c r="C139" s="2616"/>
      <c r="D139" s="2617"/>
      <c r="E139" s="473"/>
      <c r="F139" s="2615"/>
      <c r="G139" s="2616"/>
      <c r="H139" s="2616"/>
      <c r="I139" s="2616"/>
      <c r="J139" s="2616"/>
      <c r="K139" s="2616"/>
      <c r="L139" s="2616"/>
      <c r="M139" s="2616"/>
      <c r="N139" s="2617"/>
    </row>
    <row r="140" spans="2:18" x14ac:dyDescent="0.25">
      <c r="B140" s="2615"/>
      <c r="C140" s="2616"/>
      <c r="D140" s="2617"/>
      <c r="E140" s="473"/>
      <c r="F140" s="2615"/>
      <c r="G140" s="2616"/>
      <c r="H140" s="2616"/>
      <c r="I140" s="2616"/>
      <c r="J140" s="2616"/>
      <c r="K140" s="2616"/>
      <c r="L140" s="2616"/>
      <c r="M140" s="2616"/>
      <c r="N140" s="2617"/>
    </row>
    <row r="141" spans="2:18" x14ac:dyDescent="0.25">
      <c r="B141" s="2615"/>
      <c r="C141" s="2616"/>
      <c r="D141" s="2617"/>
      <c r="E141" s="473"/>
      <c r="F141" s="2615"/>
      <c r="G141" s="2616"/>
      <c r="H141" s="2616"/>
      <c r="I141" s="2616"/>
      <c r="J141" s="2616"/>
      <c r="K141" s="2616"/>
      <c r="L141" s="2616"/>
      <c r="M141" s="2616"/>
      <c r="N141" s="2617"/>
    </row>
    <row r="142" spans="2:18" x14ac:dyDescent="0.25">
      <c r="B142" s="2615"/>
      <c r="C142" s="2616"/>
      <c r="D142" s="2617"/>
      <c r="E142" s="473"/>
      <c r="F142" s="2615"/>
      <c r="G142" s="2616"/>
      <c r="H142" s="2616"/>
      <c r="I142" s="2616"/>
      <c r="J142" s="2616"/>
      <c r="K142" s="2616"/>
      <c r="L142" s="2616"/>
      <c r="M142" s="2616"/>
      <c r="N142" s="2617"/>
    </row>
    <row r="143" spans="2:18" x14ac:dyDescent="0.25">
      <c r="B143" s="2615"/>
      <c r="C143" s="2616"/>
      <c r="D143" s="2617"/>
      <c r="E143" s="473"/>
      <c r="F143" s="2615"/>
      <c r="G143" s="2616"/>
      <c r="H143" s="2616"/>
      <c r="I143" s="2616"/>
      <c r="J143" s="2616"/>
      <c r="K143" s="2616"/>
      <c r="L143" s="2616"/>
      <c r="M143" s="2616"/>
      <c r="N143" s="2617"/>
    </row>
    <row r="144" spans="2:18" x14ac:dyDescent="0.25">
      <c r="B144" s="2615"/>
      <c r="C144" s="2616"/>
      <c r="D144" s="2617"/>
      <c r="E144" s="473"/>
      <c r="F144" s="2615"/>
      <c r="G144" s="2616"/>
      <c r="H144" s="2616"/>
      <c r="I144" s="2616"/>
      <c r="J144" s="2616"/>
      <c r="K144" s="2616"/>
      <c r="L144" s="2616"/>
      <c r="M144" s="2616"/>
      <c r="N144" s="2617"/>
    </row>
    <row r="145" spans="2:18" x14ac:dyDescent="0.25">
      <c r="B145" s="2615"/>
      <c r="C145" s="2616"/>
      <c r="D145" s="2617"/>
      <c r="E145" s="473"/>
      <c r="F145" s="2615"/>
      <c r="G145" s="2616"/>
      <c r="H145" s="2616"/>
      <c r="I145" s="2616"/>
      <c r="J145" s="2616"/>
      <c r="K145" s="2616"/>
      <c r="L145" s="2616"/>
      <c r="M145" s="2616"/>
      <c r="N145" s="2617"/>
    </row>
    <row r="146" spans="2:18" x14ac:dyDescent="0.25">
      <c r="B146" s="2615"/>
      <c r="C146" s="2616"/>
      <c r="D146" s="2617"/>
      <c r="E146" s="473"/>
      <c r="F146" s="2615"/>
      <c r="G146" s="2616"/>
      <c r="H146" s="2616"/>
      <c r="I146" s="2616"/>
      <c r="J146" s="2616"/>
      <c r="K146" s="2616"/>
      <c r="L146" s="2616"/>
      <c r="M146" s="2616"/>
      <c r="N146" s="2617"/>
    </row>
    <row r="147" spans="2:18" x14ac:dyDescent="0.25">
      <c r="B147" s="2615"/>
      <c r="C147" s="2616"/>
      <c r="D147" s="2617"/>
      <c r="E147" s="473"/>
      <c r="F147" s="2615"/>
      <c r="G147" s="2616"/>
      <c r="H147" s="2616"/>
      <c r="I147" s="2616"/>
      <c r="J147" s="2616"/>
      <c r="K147" s="2616"/>
      <c r="L147" s="2616"/>
      <c r="M147" s="2616"/>
      <c r="N147" s="2617"/>
    </row>
    <row r="148" spans="2:18" x14ac:dyDescent="0.25">
      <c r="B148" s="2615"/>
      <c r="C148" s="2616"/>
      <c r="D148" s="2617"/>
      <c r="E148" s="473"/>
      <c r="F148" s="2615"/>
      <c r="G148" s="2616"/>
      <c r="H148" s="2616"/>
      <c r="I148" s="2616"/>
      <c r="J148" s="2616"/>
      <c r="K148" s="2616"/>
      <c r="L148" s="2616"/>
      <c r="M148" s="2616"/>
      <c r="N148" s="2617"/>
    </row>
    <row r="149" spans="2:18" x14ac:dyDescent="0.25">
      <c r="B149" s="2615"/>
      <c r="C149" s="2616"/>
      <c r="D149" s="2617"/>
      <c r="E149" s="473"/>
      <c r="F149" s="2615"/>
      <c r="G149" s="2616"/>
      <c r="H149" s="2616"/>
      <c r="I149" s="2616"/>
      <c r="J149" s="2616"/>
      <c r="K149" s="2616"/>
      <c r="L149" s="2616"/>
      <c r="M149" s="2616"/>
      <c r="N149" s="2617"/>
    </row>
    <row r="150" spans="2:18" x14ac:dyDescent="0.25">
      <c r="B150" s="2615"/>
      <c r="C150" s="2616"/>
      <c r="D150" s="2617"/>
      <c r="E150" s="473"/>
      <c r="F150" s="2615"/>
      <c r="G150" s="2616"/>
      <c r="H150" s="2616"/>
      <c r="I150" s="2616"/>
      <c r="J150" s="2616"/>
      <c r="K150" s="2616"/>
      <c r="L150" s="2616"/>
      <c r="M150" s="2616"/>
      <c r="N150" s="2617"/>
      <c r="P150" s="1051"/>
      <c r="Q150" s="1051"/>
      <c r="R150" s="1051"/>
    </row>
    <row r="151" spans="2:18" x14ac:dyDescent="0.25">
      <c r="B151" s="2615"/>
      <c r="C151" s="2616"/>
      <c r="D151" s="2617"/>
      <c r="E151" s="473"/>
      <c r="F151" s="2615"/>
      <c r="G151" s="2616"/>
      <c r="H151" s="2616"/>
      <c r="I151" s="2616"/>
      <c r="J151" s="2616"/>
      <c r="K151" s="2616"/>
      <c r="L151" s="2616"/>
      <c r="M151" s="2616"/>
      <c r="N151" s="2617"/>
    </row>
    <row r="152" spans="2:18" x14ac:dyDescent="0.25">
      <c r="B152" s="2615"/>
      <c r="C152" s="2616"/>
      <c r="D152" s="2617"/>
      <c r="E152" s="473"/>
      <c r="F152" s="2615"/>
      <c r="G152" s="2616"/>
      <c r="H152" s="2616"/>
      <c r="I152" s="2616"/>
      <c r="J152" s="2616"/>
      <c r="K152" s="2616"/>
      <c r="L152" s="2616"/>
      <c r="M152" s="2616"/>
      <c r="N152" s="2617"/>
    </row>
    <row r="153" spans="2:18" x14ac:dyDescent="0.25">
      <c r="B153" s="2615"/>
      <c r="C153" s="2616"/>
      <c r="D153" s="2617"/>
      <c r="E153" s="473"/>
      <c r="F153" s="2615"/>
      <c r="G153" s="2616"/>
      <c r="H153" s="2616"/>
      <c r="I153" s="2616"/>
      <c r="J153" s="2616"/>
      <c r="K153" s="2616"/>
      <c r="L153" s="2616"/>
      <c r="M153" s="2616"/>
      <c r="N153" s="2617"/>
    </row>
    <row r="154" spans="2:18" x14ac:dyDescent="0.25">
      <c r="B154" s="2615"/>
      <c r="C154" s="2616"/>
      <c r="D154" s="2617"/>
      <c r="E154" s="473"/>
      <c r="F154" s="2615"/>
      <c r="G154" s="2616"/>
      <c r="H154" s="2616"/>
      <c r="I154" s="2616"/>
      <c r="J154" s="2616"/>
      <c r="K154" s="2616"/>
      <c r="L154" s="2616"/>
      <c r="M154" s="2616"/>
      <c r="N154" s="2617"/>
    </row>
    <row r="155" spans="2:18" x14ac:dyDescent="0.25">
      <c r="B155" s="2615"/>
      <c r="C155" s="2616"/>
      <c r="D155" s="2617"/>
      <c r="E155" s="473"/>
      <c r="F155" s="2615"/>
      <c r="G155" s="2616"/>
      <c r="H155" s="2616"/>
      <c r="I155" s="2616"/>
      <c r="J155" s="2616"/>
      <c r="K155" s="2616"/>
      <c r="L155" s="2616"/>
      <c r="M155" s="2616"/>
      <c r="N155" s="2617"/>
    </row>
    <row r="156" spans="2:18" x14ac:dyDescent="0.25">
      <c r="B156" s="2634"/>
      <c r="C156" s="2635"/>
      <c r="D156" s="2636"/>
      <c r="E156" s="473"/>
      <c r="F156" s="2634"/>
      <c r="G156" s="2635"/>
      <c r="H156" s="2635"/>
      <c r="I156" s="2635"/>
      <c r="J156" s="2635"/>
      <c r="K156" s="2635"/>
      <c r="L156" s="2635"/>
      <c r="M156" s="2635"/>
      <c r="N156" s="2636"/>
    </row>
    <row r="157" spans="2:18" x14ac:dyDescent="0.25">
      <c r="C157" s="14"/>
      <c r="D157" s="14"/>
      <c r="E157" s="14"/>
      <c r="F157" s="18"/>
      <c r="L157" s="14"/>
      <c r="N157" s="14"/>
    </row>
    <row r="158" spans="2:18" ht="15.75" x14ac:dyDescent="0.25">
      <c r="B158" s="143"/>
      <c r="C158" s="14"/>
      <c r="D158" s="14"/>
      <c r="E158" s="14"/>
      <c r="F158" s="18"/>
      <c r="L158" s="14"/>
      <c r="N158" s="14"/>
    </row>
    <row r="159" spans="2:18" x14ac:dyDescent="0.25">
      <c r="C159" s="14"/>
      <c r="D159" s="14"/>
      <c r="E159" s="14"/>
      <c r="F159" s="18"/>
      <c r="L159" s="14"/>
      <c r="N159" s="14"/>
    </row>
    <row r="160" spans="2:18" x14ac:dyDescent="0.25">
      <c r="C160" s="14"/>
      <c r="D160" s="14"/>
      <c r="E160" s="14"/>
      <c r="F160" s="18"/>
      <c r="L160" s="14"/>
      <c r="N160" s="14"/>
    </row>
    <row r="161" spans="2:14" x14ac:dyDescent="0.25">
      <c r="C161" s="14"/>
      <c r="D161" s="14"/>
      <c r="E161" s="14"/>
      <c r="F161" s="17"/>
      <c r="L161" s="14"/>
      <c r="N161" s="14"/>
    </row>
    <row r="163" spans="2:14" x14ac:dyDescent="0.25">
      <c r="B163" s="7"/>
    </row>
    <row r="164" spans="2:14" x14ac:dyDescent="0.25">
      <c r="B164" s="7"/>
    </row>
    <row r="165" spans="2:14" x14ac:dyDescent="0.25">
      <c r="B165" s="7"/>
    </row>
    <row r="166" spans="2:14" x14ac:dyDescent="0.25">
      <c r="B166" s="7"/>
    </row>
    <row r="167" spans="2:14" x14ac:dyDescent="0.25">
      <c r="B167" s="7"/>
    </row>
    <row r="168" spans="2:14" x14ac:dyDescent="0.25">
      <c r="B168" s="7"/>
    </row>
    <row r="169" spans="2:14" x14ac:dyDescent="0.25">
      <c r="B169" s="7"/>
    </row>
    <row r="170" spans="2:14" x14ac:dyDescent="0.25">
      <c r="B170" s="7"/>
    </row>
    <row r="171" spans="2:14" x14ac:dyDescent="0.25">
      <c r="B171" s="7"/>
    </row>
    <row r="172" spans="2:14" x14ac:dyDescent="0.25">
      <c r="B172" s="7"/>
    </row>
    <row r="173" spans="2:14" x14ac:dyDescent="0.25">
      <c r="B173" s="7"/>
    </row>
    <row r="174" spans="2:14" x14ac:dyDescent="0.25">
      <c r="B174" s="7"/>
    </row>
    <row r="175" spans="2:14" x14ac:dyDescent="0.25">
      <c r="B175" s="7"/>
    </row>
    <row r="176" spans="2:14" x14ac:dyDescent="0.25">
      <c r="B176" s="7"/>
      <c r="C176" s="7"/>
      <c r="D176" s="7"/>
      <c r="E176" s="7"/>
      <c r="L176" s="7"/>
      <c r="M176" s="7"/>
      <c r="N176" s="7"/>
    </row>
    <row r="177" spans="2:20" x14ac:dyDescent="0.25">
      <c r="B177" s="7"/>
      <c r="C177" s="7"/>
      <c r="D177" s="7"/>
      <c r="E177" s="7"/>
      <c r="L177" s="7"/>
      <c r="M177" s="7"/>
      <c r="N177" s="7"/>
    </row>
    <row r="178" spans="2:20" x14ac:dyDescent="0.25">
      <c r="B178" s="7"/>
      <c r="C178" s="7"/>
      <c r="D178" s="7"/>
      <c r="E178" s="7"/>
      <c r="L178" s="7"/>
      <c r="M178" s="7"/>
      <c r="N178" s="7"/>
    </row>
    <row r="179" spans="2:20" x14ac:dyDescent="0.25">
      <c r="B179" s="7"/>
      <c r="C179" s="7"/>
      <c r="D179" s="7"/>
      <c r="E179" s="7"/>
      <c r="L179" s="7"/>
      <c r="M179" s="7"/>
      <c r="N179" s="7"/>
    </row>
    <row r="180" spans="2:20" x14ac:dyDescent="0.25">
      <c r="B180" s="7"/>
      <c r="C180" s="7"/>
      <c r="D180" s="7"/>
      <c r="E180" s="7"/>
      <c r="L180" s="7"/>
      <c r="M180" s="7"/>
      <c r="N180" s="7"/>
    </row>
    <row r="181" spans="2:20" x14ac:dyDescent="0.25">
      <c r="B181" s="7"/>
      <c r="C181" s="7"/>
      <c r="D181" s="7"/>
      <c r="E181" s="7"/>
      <c r="L181" s="7"/>
      <c r="M181" s="7"/>
      <c r="N181" s="7"/>
      <c r="P181" s="1051"/>
      <c r="Q181" s="1051"/>
      <c r="R181" s="1051"/>
    </row>
    <row r="182" spans="2:20" x14ac:dyDescent="0.25">
      <c r="B182" s="7"/>
      <c r="C182" s="7"/>
      <c r="D182" s="7"/>
      <c r="E182" s="7"/>
      <c r="L182" s="7"/>
      <c r="M182" s="7"/>
      <c r="N182" s="7"/>
    </row>
    <row r="183" spans="2:20" x14ac:dyDescent="0.25">
      <c r="B183" s="7"/>
      <c r="C183" s="7"/>
      <c r="D183" s="7"/>
      <c r="E183" s="7"/>
      <c r="L183" s="7"/>
      <c r="M183" s="7"/>
      <c r="N183" s="7"/>
    </row>
    <row r="184" spans="2:20" x14ac:dyDescent="0.25">
      <c r="B184" s="7"/>
      <c r="C184" s="7"/>
      <c r="D184" s="7"/>
      <c r="E184" s="7"/>
      <c r="L184" s="7"/>
      <c r="M184" s="7"/>
      <c r="N184" s="7"/>
    </row>
    <row r="185" spans="2:20" x14ac:dyDescent="0.25">
      <c r="B185" s="7"/>
      <c r="C185" s="7"/>
      <c r="D185" s="7"/>
      <c r="E185" s="7"/>
      <c r="L185" s="7"/>
      <c r="M185" s="7"/>
      <c r="N185" s="7"/>
    </row>
    <row r="186" spans="2:20" x14ac:dyDescent="0.25">
      <c r="B186" s="7"/>
      <c r="C186" s="7"/>
      <c r="D186" s="7"/>
      <c r="E186" s="7"/>
      <c r="L186" s="7"/>
      <c r="M186" s="7"/>
      <c r="N186" s="7"/>
    </row>
    <row r="187" spans="2:20" x14ac:dyDescent="0.25">
      <c r="B187" s="7"/>
      <c r="C187" s="7"/>
      <c r="D187" s="7"/>
      <c r="E187" s="7"/>
      <c r="L187" s="7"/>
      <c r="M187" s="7"/>
      <c r="N187" s="7"/>
      <c r="P187" s="302"/>
      <c r="Q187" s="302"/>
      <c r="R187" s="302"/>
      <c r="S187" s="302"/>
      <c r="T187" s="302"/>
    </row>
    <row r="188" spans="2:20" x14ac:dyDescent="0.25">
      <c r="B188" s="7"/>
      <c r="C188" s="7"/>
      <c r="D188" s="7"/>
      <c r="E188" s="7"/>
      <c r="L188" s="7"/>
      <c r="M188" s="7"/>
      <c r="N188" s="7"/>
    </row>
    <row r="189" spans="2:20" x14ac:dyDescent="0.25">
      <c r="B189" s="7"/>
      <c r="C189" s="7"/>
      <c r="D189" s="7"/>
      <c r="E189" s="7"/>
      <c r="L189" s="7"/>
      <c r="M189" s="7"/>
      <c r="N189" s="7"/>
    </row>
    <row r="190" spans="2:20" x14ac:dyDescent="0.25">
      <c r="B190" s="7"/>
      <c r="C190" s="7"/>
      <c r="D190" s="7"/>
      <c r="E190" s="7"/>
      <c r="L190" s="7"/>
      <c r="M190" s="7"/>
      <c r="N190" s="7"/>
    </row>
    <row r="191" spans="2:20" x14ac:dyDescent="0.25">
      <c r="B191" s="7"/>
      <c r="C191" s="7"/>
      <c r="D191" s="7"/>
      <c r="E191" s="7"/>
      <c r="L191" s="7"/>
      <c r="M191" s="7"/>
      <c r="N191" s="7"/>
    </row>
    <row r="192" spans="2:20" x14ac:dyDescent="0.25">
      <c r="B192" s="7"/>
      <c r="C192" s="7"/>
      <c r="D192" s="7"/>
      <c r="E192" s="7"/>
      <c r="L192" s="7"/>
      <c r="M192" s="7"/>
      <c r="N192" s="7"/>
    </row>
    <row r="193" spans="2:14" x14ac:dyDescent="0.25">
      <c r="B193" s="7"/>
      <c r="C193" s="7"/>
      <c r="D193" s="7"/>
      <c r="E193" s="7"/>
      <c r="L193" s="7"/>
      <c r="M193" s="7"/>
      <c r="N193" s="7"/>
    </row>
    <row r="194" spans="2:14" x14ac:dyDescent="0.25">
      <c r="B194" s="7"/>
      <c r="C194" s="7"/>
      <c r="D194" s="7"/>
      <c r="E194" s="7"/>
      <c r="L194" s="7"/>
      <c r="M194" s="7"/>
      <c r="N194" s="7"/>
    </row>
    <row r="195" spans="2:14" x14ac:dyDescent="0.25">
      <c r="B195" s="7"/>
      <c r="C195" s="7"/>
      <c r="D195" s="7"/>
      <c r="E195" s="7"/>
      <c r="L195" s="7"/>
      <c r="M195" s="7"/>
      <c r="N195" s="7"/>
    </row>
    <row r="196" spans="2:14" x14ac:dyDescent="0.25">
      <c r="B196" s="7"/>
      <c r="C196" s="7"/>
      <c r="D196" s="7"/>
      <c r="E196" s="7"/>
      <c r="L196" s="7"/>
      <c r="M196" s="7"/>
      <c r="N196" s="7"/>
    </row>
    <row r="197" spans="2:14" x14ac:dyDescent="0.25">
      <c r="B197" s="7"/>
      <c r="C197" s="7"/>
      <c r="D197" s="7"/>
      <c r="E197" s="7"/>
      <c r="L197" s="7"/>
      <c r="M197" s="7"/>
      <c r="N197" s="7"/>
    </row>
    <row r="198" spans="2:14" x14ac:dyDescent="0.25">
      <c r="B198" s="7"/>
      <c r="C198" s="7"/>
      <c r="D198" s="7"/>
      <c r="E198" s="7"/>
      <c r="L198" s="7"/>
      <c r="M198" s="7"/>
      <c r="N198" s="7"/>
    </row>
    <row r="199" spans="2:14" x14ac:dyDescent="0.25">
      <c r="B199" s="7"/>
      <c r="C199" s="7"/>
      <c r="D199" s="7"/>
      <c r="E199" s="7"/>
      <c r="L199" s="7"/>
      <c r="M199" s="7"/>
      <c r="N199" s="7"/>
    </row>
    <row r="200" spans="2:14" x14ac:dyDescent="0.25">
      <c r="B200" s="7"/>
      <c r="C200" s="7"/>
      <c r="D200" s="7"/>
      <c r="E200" s="7"/>
      <c r="L200" s="7"/>
      <c r="M200" s="7"/>
      <c r="N200" s="7"/>
    </row>
    <row r="201" spans="2:14" x14ac:dyDescent="0.25">
      <c r="B201" s="7"/>
      <c r="C201" s="7"/>
      <c r="D201" s="7"/>
      <c r="E201" s="7"/>
      <c r="L201" s="7"/>
      <c r="M201" s="7"/>
      <c r="N201" s="7"/>
    </row>
    <row r="202" spans="2:14" x14ac:dyDescent="0.25">
      <c r="B202" s="7"/>
      <c r="C202" s="7"/>
      <c r="D202" s="7"/>
      <c r="E202" s="7"/>
      <c r="L202" s="7"/>
      <c r="M202" s="7"/>
      <c r="N202" s="7"/>
    </row>
    <row r="203" spans="2:14" x14ac:dyDescent="0.25">
      <c r="B203" s="7"/>
      <c r="C203" s="7"/>
      <c r="D203" s="7"/>
      <c r="E203" s="7"/>
      <c r="L203" s="7"/>
      <c r="M203" s="7"/>
      <c r="N203" s="7"/>
    </row>
    <row r="204" spans="2:14" x14ac:dyDescent="0.25">
      <c r="B204" s="7"/>
      <c r="C204" s="7"/>
      <c r="D204" s="7"/>
      <c r="E204" s="7"/>
      <c r="L204" s="7"/>
      <c r="M204" s="7"/>
      <c r="N204" s="7"/>
    </row>
    <row r="205" spans="2:14" x14ac:dyDescent="0.25">
      <c r="B205" s="7"/>
      <c r="C205" s="7"/>
      <c r="D205" s="7"/>
      <c r="E205" s="7"/>
      <c r="L205" s="7"/>
      <c r="M205" s="7"/>
      <c r="N205" s="7"/>
    </row>
    <row r="206" spans="2:14" x14ac:dyDescent="0.25">
      <c r="B206" s="7"/>
      <c r="C206" s="7"/>
      <c r="D206" s="7"/>
      <c r="E206" s="7"/>
      <c r="L206" s="7"/>
      <c r="M206" s="7"/>
      <c r="N206" s="7"/>
    </row>
    <row r="207" spans="2:14" x14ac:dyDescent="0.25">
      <c r="B207" s="7"/>
      <c r="C207" s="7"/>
      <c r="D207" s="7"/>
      <c r="E207" s="7"/>
      <c r="L207" s="7"/>
      <c r="M207" s="7"/>
      <c r="N207" s="7"/>
    </row>
    <row r="208" spans="2:14" x14ac:dyDescent="0.25">
      <c r="B208" s="7"/>
      <c r="C208" s="7"/>
      <c r="D208" s="7"/>
      <c r="E208" s="7"/>
      <c r="L208" s="7"/>
      <c r="M208" s="7"/>
      <c r="N208" s="7"/>
    </row>
    <row r="209" spans="2:14" x14ac:dyDescent="0.25">
      <c r="B209" s="7"/>
      <c r="C209" s="7"/>
      <c r="D209" s="7"/>
      <c r="E209" s="7"/>
      <c r="L209" s="7"/>
      <c r="M209" s="7"/>
      <c r="N209" s="7"/>
    </row>
    <row r="210" spans="2:14" x14ac:dyDescent="0.25">
      <c r="B210" s="7"/>
      <c r="C210" s="7"/>
      <c r="D210" s="7"/>
      <c r="E210" s="7"/>
      <c r="L210" s="7"/>
      <c r="M210" s="7"/>
      <c r="N210" s="7"/>
    </row>
    <row r="211" spans="2:14" x14ac:dyDescent="0.25">
      <c r="B211" s="7"/>
      <c r="C211" s="7"/>
      <c r="D211" s="7"/>
      <c r="E211" s="7"/>
      <c r="L211" s="7"/>
      <c r="M211" s="7"/>
      <c r="N211" s="7"/>
    </row>
    <row r="212" spans="2:14" x14ac:dyDescent="0.25">
      <c r="B212" s="7"/>
      <c r="C212" s="7"/>
      <c r="D212" s="7"/>
      <c r="E212" s="7"/>
      <c r="L212" s="7"/>
      <c r="M212" s="7"/>
      <c r="N212" s="7"/>
    </row>
    <row r="213" spans="2:14" x14ac:dyDescent="0.25">
      <c r="B213" s="7"/>
      <c r="C213" s="7"/>
      <c r="D213" s="7"/>
      <c r="E213" s="7"/>
      <c r="L213" s="7"/>
      <c r="M213" s="7"/>
      <c r="N213" s="7"/>
    </row>
    <row r="214" spans="2:14" x14ac:dyDescent="0.25">
      <c r="B214" s="7"/>
      <c r="C214" s="7"/>
      <c r="D214" s="7"/>
      <c r="E214" s="7"/>
      <c r="L214" s="7"/>
      <c r="M214" s="7"/>
      <c r="N214" s="7"/>
    </row>
    <row r="215" spans="2:14" x14ac:dyDescent="0.25">
      <c r="B215" s="7"/>
      <c r="C215" s="7"/>
      <c r="D215" s="7"/>
      <c r="E215" s="7"/>
      <c r="L215" s="7"/>
      <c r="M215" s="7"/>
      <c r="N215" s="7"/>
    </row>
    <row r="216" spans="2:14" x14ac:dyDescent="0.25">
      <c r="B216" s="7"/>
      <c r="C216" s="7"/>
      <c r="D216" s="7"/>
      <c r="E216" s="7"/>
      <c r="L216" s="7"/>
      <c r="M216" s="7"/>
      <c r="N216" s="7"/>
    </row>
    <row r="217" spans="2:14" x14ac:dyDescent="0.25">
      <c r="B217" s="7"/>
      <c r="C217" s="7"/>
      <c r="D217" s="7"/>
      <c r="E217" s="7"/>
      <c r="L217" s="7"/>
      <c r="M217" s="7"/>
      <c r="N217" s="7"/>
    </row>
    <row r="218" spans="2:14" x14ac:dyDescent="0.25">
      <c r="B218" s="7"/>
      <c r="C218" s="7"/>
      <c r="D218" s="7"/>
      <c r="E218" s="7"/>
      <c r="L218" s="7"/>
      <c r="M218" s="7"/>
      <c r="N218" s="7"/>
    </row>
    <row r="219" spans="2:14" x14ac:dyDescent="0.25">
      <c r="B219" s="7"/>
      <c r="C219" s="7"/>
      <c r="D219" s="7"/>
      <c r="E219" s="7"/>
      <c r="L219" s="7"/>
      <c r="M219" s="7"/>
      <c r="N219" s="7"/>
    </row>
    <row r="220" spans="2:14" x14ac:dyDescent="0.25">
      <c r="B220" s="7"/>
      <c r="C220" s="7"/>
      <c r="D220" s="7"/>
      <c r="E220" s="7"/>
      <c r="L220" s="7"/>
      <c r="M220" s="7"/>
      <c r="N220" s="7"/>
    </row>
    <row r="221" spans="2:14" x14ac:dyDescent="0.25">
      <c r="B221" s="7"/>
      <c r="C221" s="7"/>
      <c r="D221" s="7"/>
      <c r="E221" s="7"/>
      <c r="L221" s="7"/>
      <c r="M221" s="7"/>
      <c r="N221" s="7"/>
    </row>
    <row r="222" spans="2:14" x14ac:dyDescent="0.25">
      <c r="B222" s="7"/>
      <c r="C222" s="7"/>
      <c r="D222" s="7"/>
      <c r="E222" s="7"/>
      <c r="L222" s="7"/>
      <c r="M222" s="7"/>
      <c r="N222" s="7"/>
    </row>
    <row r="223" spans="2:14" x14ac:dyDescent="0.25">
      <c r="B223" s="7"/>
      <c r="C223" s="7"/>
      <c r="D223" s="7"/>
      <c r="E223" s="7"/>
      <c r="L223" s="7"/>
      <c r="M223" s="7"/>
      <c r="N223" s="7"/>
    </row>
    <row r="224" spans="2:14" x14ac:dyDescent="0.25">
      <c r="B224" s="7"/>
      <c r="C224" s="7"/>
      <c r="D224" s="7"/>
      <c r="E224" s="7"/>
      <c r="L224" s="7"/>
      <c r="M224" s="7"/>
      <c r="N224" s="7"/>
    </row>
    <row r="225" spans="2:14" x14ac:dyDescent="0.25">
      <c r="B225" s="7"/>
      <c r="C225" s="7"/>
      <c r="D225" s="7"/>
      <c r="E225" s="7"/>
      <c r="L225" s="7"/>
      <c r="M225" s="7"/>
      <c r="N225" s="7"/>
    </row>
    <row r="226" spans="2:14" x14ac:dyDescent="0.25">
      <c r="B226" s="7"/>
      <c r="C226" s="7"/>
      <c r="D226" s="7"/>
      <c r="E226" s="7"/>
      <c r="L226" s="7"/>
      <c r="M226" s="7"/>
      <c r="N226" s="7"/>
    </row>
    <row r="227" spans="2:14" x14ac:dyDescent="0.25">
      <c r="B227" s="7"/>
      <c r="C227" s="7"/>
      <c r="D227" s="7"/>
      <c r="E227" s="7"/>
      <c r="L227" s="7"/>
      <c r="M227" s="7"/>
      <c r="N227" s="7"/>
    </row>
    <row r="228" spans="2:14" x14ac:dyDescent="0.25">
      <c r="B228" s="7"/>
      <c r="C228" s="7"/>
      <c r="D228" s="7"/>
      <c r="E228" s="7"/>
      <c r="L228" s="7"/>
      <c r="M228" s="7"/>
      <c r="N228" s="7"/>
    </row>
    <row r="229" spans="2:14" x14ac:dyDescent="0.25">
      <c r="B229" s="7"/>
      <c r="C229" s="7"/>
      <c r="D229" s="7"/>
      <c r="E229" s="7"/>
      <c r="L229" s="7"/>
      <c r="M229" s="7"/>
      <c r="N229" s="7"/>
    </row>
    <row r="230" spans="2:14" x14ac:dyDescent="0.25">
      <c r="B230" s="7"/>
      <c r="C230" s="7"/>
      <c r="D230" s="7"/>
      <c r="E230" s="7"/>
      <c r="L230" s="7"/>
      <c r="M230" s="7"/>
      <c r="N230" s="7"/>
    </row>
    <row r="231" spans="2:14" x14ac:dyDescent="0.25">
      <c r="B231" s="7"/>
      <c r="C231" s="7"/>
      <c r="D231" s="7"/>
      <c r="E231" s="7"/>
      <c r="L231" s="7"/>
      <c r="M231" s="7"/>
      <c r="N231" s="7"/>
    </row>
    <row r="232" spans="2:14" x14ac:dyDescent="0.25">
      <c r="B232" s="7"/>
      <c r="C232" s="7"/>
      <c r="D232" s="7"/>
      <c r="E232" s="7"/>
      <c r="L232" s="7"/>
      <c r="M232" s="7"/>
      <c r="N232" s="7"/>
    </row>
    <row r="233" spans="2:14" x14ac:dyDescent="0.25">
      <c r="B233" s="7"/>
      <c r="C233" s="7"/>
      <c r="D233" s="7"/>
      <c r="E233" s="7"/>
      <c r="L233" s="7"/>
      <c r="M233" s="7"/>
      <c r="N233" s="7"/>
    </row>
    <row r="234" spans="2:14" x14ac:dyDescent="0.25">
      <c r="B234" s="7"/>
      <c r="C234" s="7"/>
      <c r="D234" s="7"/>
      <c r="E234" s="7"/>
      <c r="L234" s="7"/>
      <c r="M234" s="7"/>
      <c r="N234" s="7"/>
    </row>
    <row r="235" spans="2:14" x14ac:dyDescent="0.25">
      <c r="B235" s="7"/>
      <c r="C235" s="7"/>
      <c r="D235" s="7"/>
      <c r="E235" s="7"/>
      <c r="L235" s="7"/>
      <c r="M235" s="7"/>
      <c r="N235" s="7"/>
    </row>
    <row r="236" spans="2:14" x14ac:dyDescent="0.25">
      <c r="B236" s="7"/>
      <c r="C236" s="7"/>
      <c r="D236" s="7"/>
      <c r="E236" s="7"/>
      <c r="L236" s="7"/>
      <c r="M236" s="7"/>
      <c r="N236" s="7"/>
    </row>
    <row r="237" spans="2:14" x14ac:dyDescent="0.25">
      <c r="B237" s="7"/>
      <c r="C237" s="7"/>
      <c r="D237" s="7"/>
      <c r="E237" s="7"/>
      <c r="L237" s="7"/>
      <c r="M237" s="7"/>
      <c r="N237" s="7"/>
    </row>
    <row r="238" spans="2:14" x14ac:dyDescent="0.25">
      <c r="B238" s="7"/>
      <c r="C238" s="7"/>
      <c r="D238" s="7"/>
      <c r="E238" s="7"/>
      <c r="L238" s="7"/>
      <c r="M238" s="7"/>
      <c r="N238" s="7"/>
    </row>
    <row r="239" spans="2:14" x14ac:dyDescent="0.25">
      <c r="B239" s="7"/>
      <c r="C239" s="7"/>
      <c r="D239" s="7"/>
      <c r="E239" s="7"/>
      <c r="L239" s="7"/>
      <c r="M239" s="7"/>
      <c r="N239" s="7"/>
    </row>
    <row r="240" spans="2:14" x14ac:dyDescent="0.25">
      <c r="B240" s="7"/>
      <c r="C240" s="7"/>
      <c r="D240" s="7"/>
      <c r="E240" s="7"/>
      <c r="L240" s="7"/>
      <c r="M240" s="7"/>
      <c r="N240" s="7"/>
    </row>
    <row r="241" spans="2:14" x14ac:dyDescent="0.25">
      <c r="B241" s="7"/>
      <c r="C241" s="7"/>
      <c r="D241" s="7"/>
      <c r="E241" s="7"/>
      <c r="L241" s="7"/>
      <c r="M241" s="7"/>
      <c r="N241" s="7"/>
    </row>
    <row r="242" spans="2:14" x14ac:dyDescent="0.25">
      <c r="B242" s="7"/>
      <c r="C242" s="7"/>
      <c r="D242" s="7"/>
      <c r="E242" s="7"/>
      <c r="L242" s="7"/>
      <c r="M242" s="7"/>
      <c r="N242" s="7"/>
    </row>
    <row r="243" spans="2:14" x14ac:dyDescent="0.25">
      <c r="B243" s="7"/>
      <c r="C243" s="7"/>
      <c r="D243" s="7"/>
      <c r="E243" s="7"/>
      <c r="L243" s="7"/>
      <c r="M243" s="7"/>
      <c r="N243" s="7"/>
    </row>
    <row r="244" spans="2:14" x14ac:dyDescent="0.25">
      <c r="B244" s="7"/>
      <c r="C244" s="7"/>
      <c r="D244" s="7"/>
      <c r="E244" s="7"/>
      <c r="L244" s="7"/>
      <c r="M244" s="7"/>
      <c r="N244" s="7"/>
    </row>
    <row r="245" spans="2:14" x14ac:dyDescent="0.25">
      <c r="B245" s="7"/>
      <c r="C245" s="7"/>
      <c r="D245" s="7"/>
      <c r="E245" s="7"/>
      <c r="L245" s="7"/>
      <c r="M245" s="7"/>
      <c r="N245" s="7"/>
    </row>
    <row r="246" spans="2:14" x14ac:dyDescent="0.25">
      <c r="B246" s="7"/>
      <c r="C246" s="7"/>
      <c r="D246" s="7"/>
      <c r="E246" s="7"/>
      <c r="L246" s="7"/>
      <c r="M246" s="7"/>
      <c r="N246" s="7"/>
    </row>
    <row r="247" spans="2:14" x14ac:dyDescent="0.25">
      <c r="B247" s="7"/>
      <c r="C247" s="7"/>
      <c r="D247" s="7"/>
      <c r="E247" s="7"/>
      <c r="L247" s="7"/>
      <c r="M247" s="7"/>
      <c r="N247" s="7"/>
    </row>
    <row r="248" spans="2:14" x14ac:dyDescent="0.25">
      <c r="B248" s="7"/>
      <c r="C248" s="7"/>
      <c r="D248" s="7"/>
      <c r="E248" s="7"/>
      <c r="L248" s="7"/>
      <c r="M248" s="7"/>
      <c r="N248" s="7"/>
    </row>
    <row r="249" spans="2:14" x14ac:dyDescent="0.25">
      <c r="B249" s="7"/>
      <c r="C249" s="7"/>
      <c r="D249" s="7"/>
      <c r="E249" s="7"/>
      <c r="L249" s="7"/>
      <c r="M249" s="7"/>
      <c r="N249" s="7"/>
    </row>
    <row r="250" spans="2:14" x14ac:dyDescent="0.25">
      <c r="B250" s="7"/>
      <c r="C250" s="7"/>
      <c r="D250" s="7"/>
      <c r="E250" s="7"/>
      <c r="L250" s="7"/>
      <c r="M250" s="7"/>
      <c r="N250" s="7"/>
    </row>
    <row r="251" spans="2:14" x14ac:dyDescent="0.25">
      <c r="B251" s="7"/>
      <c r="C251" s="7"/>
      <c r="D251" s="7"/>
      <c r="E251" s="7"/>
      <c r="L251" s="7"/>
      <c r="M251" s="7"/>
      <c r="N251" s="7"/>
    </row>
    <row r="252" spans="2:14" x14ac:dyDescent="0.25">
      <c r="B252" s="7"/>
      <c r="C252" s="7"/>
      <c r="D252" s="7"/>
      <c r="E252" s="7"/>
      <c r="L252" s="7"/>
      <c r="M252" s="7"/>
      <c r="N252" s="7"/>
    </row>
    <row r="253" spans="2:14" x14ac:dyDescent="0.25">
      <c r="B253" s="7"/>
      <c r="C253" s="7"/>
      <c r="D253" s="7"/>
      <c r="E253" s="7"/>
      <c r="L253" s="7"/>
      <c r="M253" s="7"/>
      <c r="N253" s="7"/>
    </row>
    <row r="254" spans="2:14" x14ac:dyDescent="0.25">
      <c r="B254" s="7"/>
      <c r="C254" s="7"/>
      <c r="D254" s="7"/>
      <c r="E254" s="7"/>
      <c r="L254" s="7"/>
      <c r="M254" s="7"/>
      <c r="N254" s="7"/>
    </row>
    <row r="255" spans="2:14" x14ac:dyDescent="0.25">
      <c r="B255" s="7"/>
      <c r="C255" s="7"/>
      <c r="D255" s="7"/>
      <c r="E255" s="7"/>
      <c r="L255" s="7"/>
      <c r="M255" s="7"/>
      <c r="N255" s="7"/>
    </row>
    <row r="256" spans="2:14" x14ac:dyDescent="0.25">
      <c r="B256" s="7"/>
      <c r="C256" s="7"/>
      <c r="D256" s="7"/>
      <c r="E256" s="7"/>
      <c r="L256" s="7"/>
      <c r="M256" s="7"/>
      <c r="N256" s="7"/>
    </row>
    <row r="257" spans="2:14" x14ac:dyDescent="0.25">
      <c r="B257" s="7"/>
      <c r="C257" s="7"/>
      <c r="D257" s="7"/>
      <c r="E257" s="7"/>
      <c r="L257" s="7"/>
      <c r="M257" s="7"/>
      <c r="N257" s="7"/>
    </row>
    <row r="258" spans="2:14" x14ac:dyDescent="0.25">
      <c r="B258" s="7"/>
      <c r="C258" s="7"/>
      <c r="D258" s="7"/>
      <c r="E258" s="7"/>
      <c r="L258" s="7"/>
      <c r="M258" s="7"/>
      <c r="N258" s="7"/>
    </row>
    <row r="259" spans="2:14" x14ac:dyDescent="0.25">
      <c r="B259" s="7"/>
      <c r="C259" s="7"/>
      <c r="D259" s="7"/>
      <c r="E259" s="7"/>
      <c r="L259" s="7"/>
      <c r="M259" s="7"/>
      <c r="N259" s="7"/>
    </row>
    <row r="260" spans="2:14" x14ac:dyDescent="0.25">
      <c r="B260" s="7"/>
      <c r="C260" s="7"/>
      <c r="D260" s="7"/>
      <c r="E260" s="7"/>
      <c r="L260" s="7"/>
      <c r="M260" s="7"/>
      <c r="N260" s="7"/>
    </row>
    <row r="261" spans="2:14" x14ac:dyDescent="0.25">
      <c r="B261" s="7"/>
      <c r="C261" s="7"/>
      <c r="D261" s="7"/>
      <c r="E261" s="7"/>
      <c r="L261" s="7"/>
      <c r="M261" s="7"/>
      <c r="N261" s="7"/>
    </row>
    <row r="262" spans="2:14" x14ac:dyDescent="0.25">
      <c r="B262" s="7"/>
      <c r="C262" s="7"/>
      <c r="D262" s="7"/>
      <c r="E262" s="7"/>
      <c r="L262" s="7"/>
      <c r="M262" s="7"/>
      <c r="N262" s="7"/>
    </row>
  </sheetData>
  <sheetProtection sheet="1" objects="1" scenarios="1"/>
  <mergeCells count="71">
    <mergeCell ref="C92:C94"/>
    <mergeCell ref="C28:C30"/>
    <mergeCell ref="B155:D155"/>
    <mergeCell ref="F155:N155"/>
    <mergeCell ref="B156:D156"/>
    <mergeCell ref="F156:N156"/>
    <mergeCell ref="B152:D152"/>
    <mergeCell ref="F152:N152"/>
    <mergeCell ref="B153:D153"/>
    <mergeCell ref="F153:N153"/>
    <mergeCell ref="B154:D154"/>
    <mergeCell ref="F154:N154"/>
    <mergeCell ref="B149:D149"/>
    <mergeCell ref="F149:N149"/>
    <mergeCell ref="B150:D150"/>
    <mergeCell ref="F150:N150"/>
    <mergeCell ref="B151:D151"/>
    <mergeCell ref="F151:N151"/>
    <mergeCell ref="B146:D146"/>
    <mergeCell ref="F146:N146"/>
    <mergeCell ref="B147:D147"/>
    <mergeCell ref="F147:N147"/>
    <mergeCell ref="B148:D148"/>
    <mergeCell ref="F148:N148"/>
    <mergeCell ref="B143:D143"/>
    <mergeCell ref="F143:N143"/>
    <mergeCell ref="B144:D144"/>
    <mergeCell ref="F144:N144"/>
    <mergeCell ref="B145:D145"/>
    <mergeCell ref="F145:N145"/>
    <mergeCell ref="B140:D140"/>
    <mergeCell ref="F140:N140"/>
    <mergeCell ref="B141:D141"/>
    <mergeCell ref="F141:N141"/>
    <mergeCell ref="B142:D142"/>
    <mergeCell ref="F142:N142"/>
    <mergeCell ref="B137:D137"/>
    <mergeCell ref="F137:N137"/>
    <mergeCell ref="B138:D138"/>
    <mergeCell ref="F138:N138"/>
    <mergeCell ref="B139:D139"/>
    <mergeCell ref="F139:N139"/>
    <mergeCell ref="B136:D136"/>
    <mergeCell ref="F136:N136"/>
    <mergeCell ref="B133:D133"/>
    <mergeCell ref="F133:N133"/>
    <mergeCell ref="B134:D134"/>
    <mergeCell ref="F134:N134"/>
    <mergeCell ref="B135:D135"/>
    <mergeCell ref="F135:N135"/>
    <mergeCell ref="C89:C90"/>
    <mergeCell ref="C87:C88"/>
    <mergeCell ref="M26:M28"/>
    <mergeCell ref="N26:N28"/>
    <mergeCell ref="M70:M71"/>
    <mergeCell ref="N70:N71"/>
    <mergeCell ref="M39:M41"/>
    <mergeCell ref="N39:N41"/>
    <mergeCell ref="C62:C63"/>
    <mergeCell ref="D4:E4"/>
    <mergeCell ref="J4:K4"/>
    <mergeCell ref="C80:C81"/>
    <mergeCell ref="N87:N88"/>
    <mergeCell ref="D13:I13"/>
    <mergeCell ref="J13:M13"/>
    <mergeCell ref="N8:N10"/>
    <mergeCell ref="D10:I10"/>
    <mergeCell ref="D11:I11"/>
    <mergeCell ref="J11:M11"/>
    <mergeCell ref="D12:I12"/>
    <mergeCell ref="J12:M12"/>
  </mergeCells>
  <conditionalFormatting sqref="N8:N9">
    <cfRule type="expression" dxfId="115" priority="66">
      <formula>AND(ISNUMBER($D$9),$O$14&gt;0)</formula>
    </cfRule>
  </conditionalFormatting>
  <conditionalFormatting sqref="N11">
    <cfRule type="expression" dxfId="114" priority="64">
      <formula>AND(ISNUMBER($D$9),O11&gt;0)</formula>
    </cfRule>
  </conditionalFormatting>
  <conditionalFormatting sqref="J8:M10">
    <cfRule type="expression" dxfId="113" priority="63">
      <formula>$P$14&lt;0</formula>
    </cfRule>
  </conditionalFormatting>
  <conditionalFormatting sqref="J11:M13">
    <cfRule type="expression" dxfId="112" priority="62">
      <formula>P11&lt;0</formula>
    </cfRule>
  </conditionalFormatting>
  <conditionalFormatting sqref="B10:C10">
    <cfRule type="expression" dxfId="111" priority="61">
      <formula>$D$9&gt;0</formula>
    </cfRule>
  </conditionalFormatting>
  <conditionalFormatting sqref="B11:I13">
    <cfRule type="expression" dxfId="110" priority="60">
      <formula>$D$9=3</formula>
    </cfRule>
  </conditionalFormatting>
  <conditionalFormatting sqref="B11:I12">
    <cfRule type="expression" dxfId="109" priority="59">
      <formula>$D$9=2</formula>
    </cfRule>
  </conditionalFormatting>
  <conditionalFormatting sqref="B11:I11">
    <cfRule type="expression" dxfId="108" priority="58">
      <formula>$D$9=1</formula>
    </cfRule>
  </conditionalFormatting>
  <conditionalFormatting sqref="D11:I11">
    <cfRule type="expression" dxfId="107" priority="55">
      <formula>ISBLANK($D$9)</formula>
    </cfRule>
  </conditionalFormatting>
  <conditionalFormatting sqref="D12:I12">
    <cfRule type="expression" dxfId="106" priority="54">
      <formula>$D$9&lt;2</formula>
    </cfRule>
  </conditionalFormatting>
  <conditionalFormatting sqref="D13:I13">
    <cfRule type="expression" dxfId="105" priority="53">
      <formula>$D$9&lt;3</formula>
    </cfRule>
  </conditionalFormatting>
  <conditionalFormatting sqref="N12">
    <cfRule type="expression" dxfId="104" priority="52">
      <formula>AND($D$9&gt;1,O12&gt;0)</formula>
    </cfRule>
  </conditionalFormatting>
  <conditionalFormatting sqref="N13">
    <cfRule type="expression" dxfId="103" priority="51">
      <formula>AND($D$9&gt;2,O13&gt;0)</formula>
    </cfRule>
  </conditionalFormatting>
  <conditionalFormatting sqref="N20 N73 N75 N22">
    <cfRule type="expression" dxfId="102" priority="43">
      <formula>$B$14=$R$15</formula>
    </cfRule>
  </conditionalFormatting>
  <conditionalFormatting sqref="N56 N58:N59 G80:H80 N83:N84">
    <cfRule type="expression" dxfId="101" priority="41">
      <formula>AND($P$14=0,$Q$14&gt;0)</formula>
    </cfRule>
  </conditionalFormatting>
  <conditionalFormatting sqref="G55:H55">
    <cfRule type="expression" dxfId="100" priority="33">
      <formula>AND($P$14=0,$Q$14&gt;0)</formula>
    </cfRule>
  </conditionalFormatting>
  <conditionalFormatting sqref="O129">
    <cfRule type="cellIs" dxfId="99" priority="31" operator="equal">
      <formula>"Error"</formula>
    </cfRule>
  </conditionalFormatting>
  <conditionalFormatting sqref="D10:I10">
    <cfRule type="expression" dxfId="98" priority="30">
      <formula>$D$9&gt;0</formula>
    </cfRule>
  </conditionalFormatting>
  <conditionalFormatting sqref="N23">
    <cfRule type="expression" dxfId="97" priority="29">
      <formula>$B$14=$R$15</formula>
    </cfRule>
  </conditionalFormatting>
  <conditionalFormatting sqref="N76">
    <cfRule type="expression" dxfId="96" priority="27">
      <formula>$B$14=$R$15</formula>
    </cfRule>
  </conditionalFormatting>
  <conditionalFormatting sqref="N81">
    <cfRule type="expression" dxfId="95" priority="21">
      <formula>AND($P$14=0,$Q$14&gt;0)</formula>
    </cfRule>
  </conditionalFormatting>
  <conditionalFormatting sqref="N82">
    <cfRule type="expression" dxfId="94" priority="20">
      <formula>$B$14=$R$15</formula>
    </cfRule>
  </conditionalFormatting>
  <conditionalFormatting sqref="N74">
    <cfRule type="expression" dxfId="93" priority="19">
      <formula>$B$14=$R$15</formula>
    </cfRule>
  </conditionalFormatting>
  <conditionalFormatting sqref="N57">
    <cfRule type="expression" dxfId="92" priority="17">
      <formula>$B$14=$R$15</formula>
    </cfRule>
  </conditionalFormatting>
  <conditionalFormatting sqref="N21">
    <cfRule type="expression" dxfId="91" priority="16">
      <formula>$B$14=$R$15</formula>
    </cfRule>
  </conditionalFormatting>
  <conditionalFormatting sqref="D4:E4">
    <cfRule type="expression" dxfId="90" priority="13">
      <formula>COUNTIF(P16:T500,1)&gt;0</formula>
    </cfRule>
  </conditionalFormatting>
  <conditionalFormatting sqref="J4:K4">
    <cfRule type="expression" dxfId="89" priority="12">
      <formula>COUNTIF(P16:T500,-1)&gt;0</formula>
    </cfRule>
  </conditionalFormatting>
  <conditionalFormatting sqref="G55:H55 G80:H80">
    <cfRule type="expression" dxfId="88" priority="9">
      <formula>P55=-1</formula>
    </cfRule>
    <cfRule type="expression" dxfId="87" priority="10">
      <formula>P55=1</formula>
    </cfRule>
  </conditionalFormatting>
  <conditionalFormatting sqref="G19:H19">
    <cfRule type="expression" dxfId="86" priority="8">
      <formula>AND($P$14=0,$Q$14&gt;0)</formula>
    </cfRule>
  </conditionalFormatting>
  <conditionalFormatting sqref="I19">
    <cfRule type="expression" dxfId="85" priority="7">
      <formula>AND($P$14=0,$Q$14&gt;0)</formula>
    </cfRule>
  </conditionalFormatting>
  <conditionalFormatting sqref="G19:I19">
    <cfRule type="expression" dxfId="84" priority="5">
      <formula>P19=-1</formula>
    </cfRule>
    <cfRule type="expression" dxfId="83" priority="6">
      <formula>P19=1</formula>
    </cfRule>
  </conditionalFormatting>
  <conditionalFormatting sqref="G71:G75">
    <cfRule type="expression" dxfId="82" priority="4">
      <formula>AND($P$14=0,$Q$14&gt;0)</formula>
    </cfRule>
  </conditionalFormatting>
  <conditionalFormatting sqref="G71:G75">
    <cfRule type="expression" dxfId="81" priority="2">
      <formula>P71=-1</formula>
    </cfRule>
    <cfRule type="expression" dxfId="80" priority="3">
      <formula>P71=1</formula>
    </cfRule>
  </conditionalFormatting>
  <conditionalFormatting sqref="O112:O128">
    <cfRule type="cellIs" dxfId="79" priority="1" operator="equal">
      <formula>"Error"</formula>
    </cfRule>
  </conditionalFormatting>
  <dataValidations count="3">
    <dataValidation type="list" allowBlank="1" showInputMessage="1" showErrorMessage="1" error="Please select from the two possible options by clicking on the small triangle to the right of this cell" sqref="D11:I13">
      <formula1>$R$11:$R$12</formula1>
    </dataValidation>
    <dataValidation type="list" allowBlank="1" showInputMessage="1" showErrorMessage="1" sqref="D9">
      <formula1>"1,2,3"</formula1>
    </dataValidation>
    <dataValidation type="list" allowBlank="1" showInputMessage="1" showErrorMessage="1" error="Please either leave this cell blank or, if you have updated the relevant data, confirm this by clicking on the small arrow to the right of this cell and selecting the available text " sqref="N11:N13">
      <formula1>$R$13</formula1>
    </dataValidation>
  </dataValidations>
  <hyperlinks>
    <hyperlink ref="B3" location="Comments_Tas" display="Link to the areas for providing general comments or footnotes"/>
    <hyperlink ref="F5" location="Tas!B159" display="Tas!B159"/>
    <hyperlink ref="M5" location="Data_validn_explan" display="Data_validn_explan"/>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109" operator="equal" id="{C9E32034-A78C-45A8-8889-DB89674E4110}">
            <xm:f>Intro!$B$37</xm:f>
            <x14:dxf>
              <font>
                <color rgb="FFFF0000"/>
              </font>
            </x14:dxf>
          </x14:cfRule>
          <xm:sqref>D11:I13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U237"/>
  <sheetViews>
    <sheetView zoomScale="80" zoomScaleNormal="80" workbookViewId="0">
      <pane ySplit="6" topLeftCell="A7" activePane="bottomLeft" state="frozen"/>
      <selection activeCell="A7" sqref="A7"/>
      <selection pane="bottomLeft" activeCell="D11" sqref="D11:I11"/>
    </sheetView>
  </sheetViews>
  <sheetFormatPr defaultColWidth="9.140625" defaultRowHeight="12.75" x14ac:dyDescent="0.25"/>
  <cols>
    <col min="1" max="1" width="1.7109375" style="7" customWidth="1"/>
    <col min="2" max="2" width="35" style="5" customWidth="1"/>
    <col min="3" max="3" width="65.28515625" style="10" customWidth="1"/>
    <col min="4" max="4" width="8.42578125" style="10" customWidth="1"/>
    <col min="5" max="5" width="2.85546875" style="10" customWidth="1"/>
    <col min="6" max="6" width="24.140625" style="7" customWidth="1"/>
    <col min="7" max="8" width="12.5703125" style="7" customWidth="1"/>
    <col min="9" max="9" width="13.140625" style="7" customWidth="1"/>
    <col min="10" max="11" width="12.5703125" style="7" customWidth="1"/>
    <col min="12" max="12" width="2.5703125" style="10" customWidth="1"/>
    <col min="13" max="13" width="22.28515625" style="5" customWidth="1"/>
    <col min="14" max="14" width="44.85546875" style="10" customWidth="1"/>
    <col min="15" max="15" width="2.42578125" style="7" customWidth="1"/>
    <col min="16" max="20" width="3.5703125" style="36" customWidth="1"/>
    <col min="21" max="21" width="10.28515625" style="36" customWidth="1"/>
    <col min="22" max="22" width="10.7109375" style="7" customWidth="1"/>
    <col min="23" max="24" width="9.140625" style="7"/>
    <col min="25" max="25" width="11" style="7" customWidth="1"/>
    <col min="26" max="16384" width="9.140625" style="7"/>
  </cols>
  <sheetData>
    <row r="1" spans="1:21" s="1710" customFormat="1" ht="18.75" x14ac:dyDescent="0.25">
      <c r="A1" s="1712"/>
      <c r="B1" s="1712" t="s">
        <v>11</v>
      </c>
      <c r="C1" s="1713" t="s">
        <v>958</v>
      </c>
      <c r="D1" s="1713"/>
      <c r="E1" s="1713"/>
      <c r="L1" s="1713"/>
      <c r="M1" s="1712"/>
      <c r="N1" s="1713"/>
      <c r="P1" s="1714"/>
      <c r="Q1" s="1714"/>
      <c r="R1" s="1714"/>
      <c r="S1" s="1714"/>
      <c r="T1" s="1714"/>
      <c r="U1" s="1714"/>
    </row>
    <row r="2" spans="1:21" x14ac:dyDescent="0.25">
      <c r="C2" s="6" t="s">
        <v>12</v>
      </c>
      <c r="E2" s="124" t="s">
        <v>13</v>
      </c>
      <c r="F2" s="126" t="s">
        <v>362</v>
      </c>
      <c r="G2" s="624" t="s">
        <v>708</v>
      </c>
      <c r="H2" s="623" t="s">
        <v>709</v>
      </c>
      <c r="K2" s="1053" t="s">
        <v>855</v>
      </c>
      <c r="L2" s="126" t="s">
        <v>364</v>
      </c>
    </row>
    <row r="3" spans="1:21" ht="15" x14ac:dyDescent="0.25">
      <c r="B3" s="329" t="s">
        <v>584</v>
      </c>
      <c r="E3" s="125" t="s">
        <v>14</v>
      </c>
      <c r="F3" s="988" t="s">
        <v>363</v>
      </c>
      <c r="G3" s="9" t="s">
        <v>15</v>
      </c>
      <c r="H3" s="126" t="s">
        <v>365</v>
      </c>
      <c r="K3" s="1054" t="s">
        <v>366</v>
      </c>
      <c r="L3" s="141" t="s">
        <v>367</v>
      </c>
    </row>
    <row r="4" spans="1:21" s="1055" customFormat="1" ht="18.75" x14ac:dyDescent="0.3">
      <c r="B4" s="1056"/>
      <c r="C4" s="1057"/>
      <c r="D4" s="2605" t="str">
        <f>IF(COUNTIF(P16:T500,1)&gt;0,"Red outline","")</f>
        <v>Red outline</v>
      </c>
      <c r="E4" s="2605"/>
      <c r="F4" s="1058" t="str">
        <f>IF(COUNTIF(P16:T500,1)&gt;0,": The data input value is surprisingly high - please check","")</f>
        <v>: The data input value is surprisingly high - please check</v>
      </c>
      <c r="J4" s="2605" t="str">
        <f>IF(COUNTIF(P16:T500,-1)&gt;0,"Dotted red outline","")</f>
        <v>Dotted red outline</v>
      </c>
      <c r="K4" s="2605"/>
      <c r="L4" s="1058" t="str">
        <f>IF(COUNTIF(P16:T500,-1)&gt;0,": The data input value is surprisingly low - please check","")</f>
        <v>: The data input value is surprisingly low - please check</v>
      </c>
      <c r="O4" s="1059"/>
      <c r="P4" s="1060"/>
      <c r="Q4" s="1060"/>
      <c r="R4" s="1060"/>
      <c r="S4" s="1060"/>
      <c r="T4" s="1060"/>
      <c r="U4" s="1060"/>
    </row>
    <row r="5" spans="1:21" ht="15" x14ac:dyDescent="0.25">
      <c r="C5" s="14"/>
      <c r="D5" s="14"/>
      <c r="E5" s="14"/>
      <c r="F5" s="1220" t="str">
        <f>IF(COUNTIF(P16:T500,1)&gt;0,"Click here for an explanation","")</f>
        <v>Click here for an explanation</v>
      </c>
      <c r="L5" s="7"/>
      <c r="M5" s="83" t="str">
        <f>IF(COUNTIF(P16:T499,-1)&gt;0,"Click here for an explanation","")</f>
        <v>Click here for an explanation</v>
      </c>
      <c r="N5" s="14"/>
    </row>
    <row r="6" spans="1:21" s="105" customFormat="1" ht="15.75" x14ac:dyDescent="0.25">
      <c r="A6" s="103"/>
      <c r="B6" s="3" t="s">
        <v>322</v>
      </c>
      <c r="C6" s="4"/>
      <c r="D6" s="4"/>
      <c r="E6" s="104"/>
      <c r="F6" s="136" t="s">
        <v>328</v>
      </c>
      <c r="G6" s="73"/>
      <c r="H6" s="73"/>
      <c r="I6" s="73"/>
      <c r="J6" s="73"/>
      <c r="K6" s="73"/>
      <c r="L6" s="73"/>
      <c r="M6" s="154" t="s">
        <v>321</v>
      </c>
      <c r="N6" s="73"/>
      <c r="P6" s="1050"/>
      <c r="Q6" s="1050"/>
      <c r="R6" s="1050"/>
      <c r="S6" s="1050"/>
      <c r="T6" s="1050"/>
      <c r="U6" s="1050"/>
    </row>
    <row r="7" spans="1:21" ht="7.5" customHeight="1" x14ac:dyDescent="0.25">
      <c r="C7" s="7"/>
      <c r="D7" s="7"/>
      <c r="E7" s="7"/>
      <c r="L7" s="7"/>
      <c r="N7" s="7"/>
    </row>
    <row r="8" spans="1:21" ht="15.75" x14ac:dyDescent="0.25">
      <c r="B8" s="146" t="s">
        <v>572</v>
      </c>
      <c r="C8" s="127"/>
      <c r="D8" s="127"/>
      <c r="E8" s="127"/>
      <c r="F8" s="127"/>
      <c r="G8" s="129"/>
      <c r="H8" s="129"/>
      <c r="I8" s="127"/>
      <c r="J8" s="147"/>
      <c r="K8" s="147"/>
      <c r="L8" s="147"/>
      <c r="M8" s="147"/>
      <c r="N8" s="2607" t="s">
        <v>360</v>
      </c>
    </row>
    <row r="9" spans="1:21" s="126" customFormat="1" ht="18.75" x14ac:dyDescent="0.25">
      <c r="B9" s="149"/>
      <c r="C9" s="150" t="s">
        <v>357</v>
      </c>
      <c r="D9" s="1319">
        <v>1</v>
      </c>
      <c r="E9" s="128"/>
      <c r="F9" s="455" t="str">
        <f>IF(AND(D9&gt;0,P14=0,O14&lt;D9),"Please fill in the white boxes below","")</f>
        <v/>
      </c>
      <c r="G9" s="129"/>
      <c r="H9" s="129"/>
      <c r="I9" s="128"/>
      <c r="J9" s="147"/>
      <c r="K9" s="147"/>
      <c r="L9" s="147"/>
      <c r="M9" s="147"/>
      <c r="N9" s="2607"/>
      <c r="P9" s="36"/>
      <c r="Q9" s="36"/>
      <c r="R9" s="36"/>
      <c r="S9" s="36"/>
      <c r="T9" s="36"/>
      <c r="U9" s="36"/>
    </row>
    <row r="10" spans="1:21" x14ac:dyDescent="0.25">
      <c r="B10" s="453" t="s">
        <v>99</v>
      </c>
      <c r="C10" s="453" t="s">
        <v>351</v>
      </c>
      <c r="D10" s="2608" t="s">
        <v>640</v>
      </c>
      <c r="E10" s="2608"/>
      <c r="F10" s="2608"/>
      <c r="G10" s="2608"/>
      <c r="H10" s="2608"/>
      <c r="I10" s="2608"/>
      <c r="J10" s="147" t="s">
        <v>320</v>
      </c>
      <c r="K10" s="147"/>
      <c r="L10" s="147"/>
      <c r="M10" s="147"/>
      <c r="N10" s="2607"/>
      <c r="O10" s="302" t="s">
        <v>458</v>
      </c>
    </row>
    <row r="11" spans="1:21" ht="38.25" customHeight="1" x14ac:dyDescent="0.25">
      <c r="B11" s="1545">
        <v>42594</v>
      </c>
      <c r="C11" s="1546" t="s">
        <v>1033</v>
      </c>
      <c r="D11" s="2601" t="s">
        <v>358</v>
      </c>
      <c r="E11" s="2601"/>
      <c r="F11" s="2601"/>
      <c r="G11" s="2601"/>
      <c r="H11" s="2601"/>
      <c r="I11" s="2601"/>
      <c r="J11" s="2602"/>
      <c r="K11" s="2602"/>
      <c r="L11" s="2602"/>
      <c r="M11" s="2602"/>
      <c r="N11" s="1324" t="s">
        <v>562</v>
      </c>
      <c r="O11" s="36">
        <f>IF(AND(D11=Validated,OR(D9=1,D9=2,D9=3)),1,0)</f>
        <v>1</v>
      </c>
      <c r="P11" s="148">
        <f>IF(AND(D11=Not_validated,OR(D9=1,D9=2,D9=3)),-1,0)</f>
        <v>0</v>
      </c>
      <c r="Q11" s="148">
        <f>IF(AND(O11=1,ISBLANK(N11)),1,0)</f>
        <v>0</v>
      </c>
      <c r="R11" s="36" t="str">
        <f>Validated</f>
        <v>Yes, I believe the calculation steps, assumptions &amp; classifications below reasonably convert our waste data for this year to the form required for the national waste data set.</v>
      </c>
    </row>
    <row r="12" spans="1:21" ht="38.25" customHeight="1" x14ac:dyDescent="0.25">
      <c r="B12" s="1321"/>
      <c r="C12" s="1320"/>
      <c r="D12" s="2601"/>
      <c r="E12" s="2601"/>
      <c r="F12" s="2601"/>
      <c r="G12" s="2601"/>
      <c r="H12" s="2601"/>
      <c r="I12" s="2601"/>
      <c r="J12" s="2602"/>
      <c r="K12" s="2602"/>
      <c r="L12" s="2602"/>
      <c r="M12" s="2602"/>
      <c r="N12" s="457"/>
      <c r="O12" s="36">
        <f>IF(AND(D12=Validated,OR(D9=2,D9=3)),1,0)</f>
        <v>0</v>
      </c>
      <c r="P12" s="148">
        <f>IF(AND(D12=Not_validated,OR(D9=2,D9=3)),-1,0)</f>
        <v>0</v>
      </c>
      <c r="Q12" s="148">
        <f>IF(AND(O12=1,ISBLANK(N12)),1,0)</f>
        <v>0</v>
      </c>
      <c r="R12" s="36" t="str">
        <f>Not_validated</f>
        <v>No, I don't believe the calculation steps, assumptions &amp; classifications below reasonably convert our waste data for this year to the form required for the national waste data set.</v>
      </c>
    </row>
    <row r="13" spans="1:21" ht="38.25" customHeight="1" x14ac:dyDescent="0.25">
      <c r="B13" s="1322"/>
      <c r="C13" s="1323"/>
      <c r="D13" s="2601"/>
      <c r="E13" s="2601"/>
      <c r="F13" s="2601"/>
      <c r="G13" s="2601"/>
      <c r="H13" s="2601"/>
      <c r="I13" s="2601"/>
      <c r="J13" s="2602"/>
      <c r="K13" s="2602"/>
      <c r="L13" s="2602"/>
      <c r="M13" s="2602"/>
      <c r="N13" s="457"/>
      <c r="O13" s="36">
        <f>IF(AND(D13=Validated,D9=3),1,0)</f>
        <v>0</v>
      </c>
      <c r="P13" s="148">
        <f>IF(AND(D13=Not_validated,D9=3),-1,0)</f>
        <v>0</v>
      </c>
      <c r="Q13" s="148">
        <f>IF(AND(O13=1,ISBLANK(N13)),1,0)</f>
        <v>0</v>
      </c>
      <c r="R13" s="36" t="str">
        <f>Intro!B38</f>
        <v>Yes, I have updated all relevant data in the white cells below</v>
      </c>
    </row>
    <row r="14" spans="1:21" ht="26.25" x14ac:dyDescent="0.25">
      <c r="B14" s="152" t="str">
        <f>IF(P14&lt;0,R14,IF(Q14&gt;0,R15,""))</f>
        <v/>
      </c>
      <c r="C14" s="151"/>
      <c r="D14" s="151"/>
      <c r="E14" s="151"/>
      <c r="F14" s="151"/>
      <c r="G14" s="151"/>
      <c r="H14" s="151"/>
      <c r="I14" s="151"/>
      <c r="J14" s="151"/>
      <c r="K14" s="151"/>
      <c r="L14" s="151"/>
      <c r="M14" s="151"/>
      <c r="N14" s="151"/>
      <c r="O14" s="36">
        <f>SUM(O11:O13)</f>
        <v>1</v>
      </c>
      <c r="P14" s="148">
        <f>SUM(P11:P13)</f>
        <v>0</v>
      </c>
      <c r="Q14" s="148">
        <f>SUM(Q11:Q13)</f>
        <v>0</v>
      </c>
      <c r="R14" s="36" t="s">
        <v>807</v>
      </c>
    </row>
    <row r="15" spans="1:21" x14ac:dyDescent="0.25">
      <c r="C15" s="7"/>
      <c r="D15" s="7"/>
      <c r="E15" s="7"/>
      <c r="L15" s="7"/>
      <c r="N15" s="7"/>
      <c r="R15" s="36" t="s">
        <v>561</v>
      </c>
    </row>
    <row r="16" spans="1:21" ht="15.75" x14ac:dyDescent="0.25">
      <c r="A16" s="130"/>
      <c r="B16" s="130" t="s">
        <v>438</v>
      </c>
      <c r="C16" s="362" t="s">
        <v>570</v>
      </c>
      <c r="D16" s="130"/>
      <c r="E16" s="130"/>
      <c r="F16" s="130"/>
      <c r="G16" s="130"/>
      <c r="H16" s="130"/>
      <c r="I16" s="130"/>
      <c r="J16" s="130"/>
      <c r="K16" s="130"/>
      <c r="L16" s="130"/>
      <c r="M16" s="130"/>
      <c r="N16" s="130"/>
      <c r="O16" s="130"/>
    </row>
    <row r="17" spans="1:21" s="188" customFormat="1" x14ac:dyDescent="0.25">
      <c r="A17" s="185"/>
      <c r="F17" s="191"/>
      <c r="G17" s="6"/>
      <c r="H17" s="6"/>
      <c r="I17" s="191"/>
      <c r="J17" s="191"/>
      <c r="M17" s="192"/>
      <c r="O17" s="185"/>
      <c r="P17" s="36"/>
      <c r="Q17" s="36"/>
      <c r="R17" s="36"/>
      <c r="S17" s="36"/>
      <c r="T17" s="36"/>
      <c r="U17" s="36"/>
    </row>
    <row r="18" spans="1:21" s="191" customFormat="1" x14ac:dyDescent="0.2">
      <c r="A18" s="185"/>
      <c r="B18" s="97" t="s">
        <v>125</v>
      </c>
      <c r="C18" s="37" t="s">
        <v>934</v>
      </c>
      <c r="D18" s="11"/>
      <c r="E18" s="11"/>
      <c r="G18" s="24" t="s">
        <v>16</v>
      </c>
      <c r="H18" s="24" t="s">
        <v>40</v>
      </c>
      <c r="L18" s="11"/>
      <c r="M18" s="113" t="s">
        <v>104</v>
      </c>
      <c r="N18" s="37" t="s">
        <v>755</v>
      </c>
      <c r="O18" s="185"/>
      <c r="P18" s="1051"/>
      <c r="Q18" s="1051"/>
      <c r="R18" s="1051"/>
      <c r="S18" s="1051"/>
      <c r="T18" s="1051"/>
      <c r="U18" s="1051"/>
    </row>
    <row r="19" spans="1:21" s="191" customFormat="1" x14ac:dyDescent="0.25">
      <c r="A19" s="185"/>
      <c r="B19" s="113" t="s">
        <v>714</v>
      </c>
      <c r="C19" s="816" t="s">
        <v>939</v>
      </c>
      <c r="D19" s="11"/>
      <c r="E19" s="11"/>
      <c r="G19" s="1325">
        <f>1843527-(1566998-1560895)</f>
        <v>1837424</v>
      </c>
      <c r="H19" s="1327">
        <f>2281953-(1939660-1928268)</f>
        <v>2270561</v>
      </c>
      <c r="L19" s="11"/>
      <c r="M19" s="113" t="s">
        <v>100</v>
      </c>
      <c r="N19" s="37" t="s">
        <v>102</v>
      </c>
      <c r="O19" s="185"/>
      <c r="P19" s="1051">
        <f>IF(AND(ISNUMBER(G19),'Validn data - hide'!C380&gt;0),IF(G19/'Validn data - hide'!C380-1&gt;'Validn data - hide'!$L380,1,IF(G19/'Validn data - hide'!C380-1&lt;-'Validn data - hide'!$L380,-1,0)),0)</f>
        <v>0</v>
      </c>
      <c r="Q19" s="1051">
        <f>IF(AND(ISNUMBER(H19),'Validn data - hide'!D380&gt;0),IF(H19/'Validn data - hide'!D380-1&gt;'Validn data - hide'!$L380,1,IF(H19/'Validn data - hide'!D380-1&lt;-'Validn data - hide'!$L380,-1,0)),0)</f>
        <v>0</v>
      </c>
      <c r="R19" s="1051"/>
      <c r="S19" s="1051"/>
      <c r="T19" s="1051"/>
      <c r="U19" s="1051"/>
    </row>
    <row r="20" spans="1:21" s="191" customFormat="1" x14ac:dyDescent="0.25">
      <c r="A20" s="185"/>
      <c r="B20" s="193"/>
      <c r="C20" s="188"/>
      <c r="D20" s="11"/>
      <c r="E20" s="11"/>
      <c r="L20" s="11"/>
      <c r="M20" s="113" t="s">
        <v>10</v>
      </c>
      <c r="N20" s="38" t="s">
        <v>1032</v>
      </c>
      <c r="O20" s="185"/>
      <c r="P20" s="1051"/>
      <c r="Q20" s="1051"/>
      <c r="R20" s="1051"/>
      <c r="S20" s="1051"/>
      <c r="T20" s="1051"/>
      <c r="U20" s="1051"/>
    </row>
    <row r="21" spans="1:21" s="191" customFormat="1" ht="38.25" x14ac:dyDescent="0.25">
      <c r="A21" s="185"/>
      <c r="B21" s="193"/>
      <c r="C21" s="188"/>
      <c r="D21" s="12"/>
      <c r="E21" s="12"/>
      <c r="L21" s="12"/>
      <c r="M21" s="113" t="s">
        <v>352</v>
      </c>
      <c r="N21" s="1329" t="s">
        <v>1059</v>
      </c>
      <c r="O21" s="185"/>
      <c r="R21" s="1051"/>
      <c r="S21" s="1051"/>
      <c r="T21" s="1051"/>
      <c r="U21" s="1051"/>
    </row>
    <row r="22" spans="1:21" s="191" customFormat="1" x14ac:dyDescent="0.25">
      <c r="A22" s="185"/>
      <c r="B22" s="193"/>
      <c r="C22" s="188"/>
      <c r="D22" s="12"/>
      <c r="E22" s="12"/>
      <c r="G22" s="137"/>
      <c r="H22" s="137"/>
      <c r="L22" s="12"/>
      <c r="M22" s="113" t="s">
        <v>99</v>
      </c>
      <c r="N22" s="1606">
        <v>42594</v>
      </c>
      <c r="O22" s="185"/>
      <c r="P22" s="1051"/>
      <c r="Q22" s="1051"/>
      <c r="R22" s="1051"/>
      <c r="S22" s="1051"/>
      <c r="T22" s="1051"/>
      <c r="U22" s="1051"/>
    </row>
    <row r="23" spans="1:21" s="191" customFormat="1" x14ac:dyDescent="0.25">
      <c r="A23" s="185"/>
      <c r="B23" s="193"/>
      <c r="C23" s="188"/>
      <c r="D23" s="12"/>
      <c r="E23" s="12"/>
      <c r="G23" s="137"/>
      <c r="H23" s="137"/>
      <c r="L23" s="12"/>
      <c r="M23" s="113" t="s">
        <v>658</v>
      </c>
      <c r="N23" s="1328" t="s">
        <v>681</v>
      </c>
      <c r="O23" s="185"/>
      <c r="P23" s="1051"/>
      <c r="Q23" s="1051"/>
      <c r="R23" s="1051"/>
      <c r="S23" s="1051"/>
      <c r="T23" s="1051"/>
      <c r="U23" s="1051"/>
    </row>
    <row r="24" spans="1:21" s="191" customFormat="1" x14ac:dyDescent="0.25">
      <c r="A24" s="185"/>
      <c r="B24" s="193"/>
      <c r="C24" s="188"/>
      <c r="D24" s="12"/>
      <c r="E24" s="12"/>
      <c r="G24" s="137"/>
      <c r="H24" s="137"/>
      <c r="L24" s="12"/>
      <c r="M24" s="99"/>
      <c r="N24" s="12"/>
      <c r="O24" s="185"/>
      <c r="P24" s="1051"/>
      <c r="Q24" s="1051"/>
      <c r="R24" s="1051"/>
      <c r="S24" s="1051"/>
      <c r="T24" s="1051"/>
      <c r="U24" s="1051"/>
    </row>
    <row r="25" spans="1:21" s="188" customFormat="1" x14ac:dyDescent="0.25">
      <c r="A25" s="185"/>
      <c r="B25" s="98"/>
      <c r="C25" s="196"/>
      <c r="D25" s="196"/>
      <c r="E25" s="196"/>
      <c r="F25" s="187"/>
      <c r="G25" s="92"/>
      <c r="H25" s="93"/>
      <c r="I25" s="187"/>
      <c r="J25" s="187"/>
      <c r="K25" s="187"/>
      <c r="L25" s="196"/>
      <c r="M25" s="98"/>
      <c r="N25" s="196"/>
      <c r="O25" s="185"/>
      <c r="P25" s="36"/>
      <c r="Q25" s="36"/>
      <c r="R25" s="36"/>
      <c r="S25" s="36"/>
      <c r="T25" s="36"/>
      <c r="U25" s="36"/>
    </row>
    <row r="26" spans="1:21" s="188" customFormat="1" ht="12.75" customHeight="1" x14ac:dyDescent="0.2">
      <c r="A26" s="185"/>
      <c r="B26" s="1571" t="s">
        <v>126</v>
      </c>
      <c r="C26" s="1597" t="s">
        <v>994</v>
      </c>
      <c r="D26" s="196"/>
      <c r="E26" s="196"/>
      <c r="F26" s="187"/>
      <c r="G26" s="90" t="s">
        <v>16</v>
      </c>
      <c r="H26" s="90" t="s">
        <v>40</v>
      </c>
      <c r="I26" s="187"/>
      <c r="J26" s="187"/>
      <c r="K26" s="187"/>
      <c r="L26" s="196"/>
      <c r="M26" s="114" t="s">
        <v>104</v>
      </c>
      <c r="N26" s="94" t="s">
        <v>745</v>
      </c>
      <c r="O26" s="185"/>
      <c r="P26" s="36"/>
      <c r="Q26" s="36"/>
      <c r="R26" s="36"/>
      <c r="S26" s="36"/>
      <c r="T26" s="36"/>
      <c r="U26" s="36"/>
    </row>
    <row r="27" spans="1:21" s="188" customFormat="1" x14ac:dyDescent="0.25">
      <c r="A27" s="185"/>
      <c r="B27" s="1598"/>
      <c r="C27" s="1599" t="s">
        <v>995</v>
      </c>
      <c r="D27" s="190"/>
      <c r="E27" s="190"/>
      <c r="F27" s="765" t="s">
        <v>746</v>
      </c>
      <c r="G27" s="1426">
        <v>0</v>
      </c>
      <c r="H27" s="1427">
        <v>0</v>
      </c>
      <c r="I27" s="187"/>
      <c r="J27" s="187"/>
      <c r="K27" s="187"/>
      <c r="L27" s="190"/>
      <c r="M27" s="114" t="s">
        <v>100</v>
      </c>
      <c r="N27" s="210" t="s">
        <v>102</v>
      </c>
      <c r="O27" s="185"/>
      <c r="P27" s="1051"/>
      <c r="Q27" s="1051"/>
      <c r="R27" s="36"/>
      <c r="S27" s="36"/>
      <c r="T27" s="36"/>
      <c r="U27" s="36"/>
    </row>
    <row r="28" spans="1:21" s="188" customFormat="1" ht="12.75" customHeight="1" x14ac:dyDescent="0.25">
      <c r="A28" s="185"/>
      <c r="B28" s="1572" t="s">
        <v>714</v>
      </c>
      <c r="C28" s="2628" t="s">
        <v>997</v>
      </c>
      <c r="D28" s="190"/>
      <c r="E28" s="190"/>
      <c r="F28" s="765" t="s">
        <v>747</v>
      </c>
      <c r="G28" s="1428">
        <v>15000</v>
      </c>
      <c r="H28" s="1429">
        <v>0</v>
      </c>
      <c r="I28" s="187"/>
      <c r="J28" s="187"/>
      <c r="K28" s="187"/>
      <c r="L28" s="190"/>
      <c r="M28" s="114" t="s">
        <v>10</v>
      </c>
      <c r="N28" s="1612" t="s">
        <v>1044</v>
      </c>
      <c r="O28" s="185"/>
      <c r="P28" s="1051"/>
      <c r="Q28" s="1051"/>
      <c r="R28" s="36"/>
      <c r="S28" s="36"/>
      <c r="T28" s="36"/>
      <c r="U28" s="36"/>
    </row>
    <row r="29" spans="1:21" s="188" customFormat="1" x14ac:dyDescent="0.25">
      <c r="A29" s="185"/>
      <c r="B29" s="1601"/>
      <c r="C29" s="2676"/>
      <c r="D29" s="190"/>
      <c r="E29" s="190"/>
      <c r="F29" s="190"/>
      <c r="G29" s="190"/>
      <c r="H29" s="190"/>
      <c r="I29" s="189"/>
      <c r="J29" s="189"/>
      <c r="K29" s="187"/>
      <c r="L29" s="190"/>
      <c r="M29" s="114" t="s">
        <v>352</v>
      </c>
      <c r="N29" s="1330" t="s">
        <v>356</v>
      </c>
      <c r="O29" s="185"/>
      <c r="P29" s="36"/>
      <c r="Q29" s="36"/>
      <c r="R29" s="36"/>
      <c r="S29" s="36"/>
      <c r="T29" s="36"/>
      <c r="U29" s="36"/>
    </row>
    <row r="30" spans="1:21" s="188" customFormat="1" x14ac:dyDescent="0.25">
      <c r="A30" s="185"/>
      <c r="B30" s="481"/>
      <c r="C30" s="2629"/>
      <c r="D30" s="190"/>
      <c r="E30" s="190"/>
      <c r="F30" s="101" t="s">
        <v>103</v>
      </c>
      <c r="G30" s="432">
        <f>G19+G28-G27</f>
        <v>1852424</v>
      </c>
      <c r="H30" s="433">
        <f>H19+H28-H27</f>
        <v>2270561</v>
      </c>
      <c r="I30" s="189"/>
      <c r="J30" s="189"/>
      <c r="K30" s="187"/>
      <c r="L30" s="190"/>
      <c r="M30" s="114" t="s">
        <v>99</v>
      </c>
      <c r="N30" s="1605">
        <v>42599</v>
      </c>
      <c r="O30" s="185"/>
      <c r="P30" s="36"/>
      <c r="Q30" s="36"/>
      <c r="R30" s="36"/>
      <c r="S30" s="36"/>
      <c r="T30" s="36"/>
      <c r="U30" s="36"/>
    </row>
    <row r="31" spans="1:21" s="191" customFormat="1" x14ac:dyDescent="0.25">
      <c r="A31" s="185"/>
      <c r="B31" s="189"/>
      <c r="C31" s="187"/>
      <c r="D31" s="307"/>
      <c r="E31" s="307"/>
      <c r="F31" s="195"/>
      <c r="G31" s="308"/>
      <c r="H31" s="308"/>
      <c r="I31" s="195"/>
      <c r="J31" s="195"/>
      <c r="K31" s="195"/>
      <c r="L31" s="307"/>
      <c r="M31" s="114" t="s">
        <v>658</v>
      </c>
      <c r="N31" s="1331" t="s">
        <v>681</v>
      </c>
      <c r="O31" s="185"/>
      <c r="P31" s="1051"/>
      <c r="Q31" s="1051"/>
      <c r="R31" s="1051"/>
      <c r="S31" s="1051"/>
      <c r="T31" s="1051"/>
      <c r="U31" s="1051"/>
    </row>
    <row r="32" spans="1:21" s="191" customFormat="1" x14ac:dyDescent="0.25">
      <c r="A32" s="185"/>
      <c r="B32" s="189"/>
      <c r="C32" s="187"/>
      <c r="D32" s="307"/>
      <c r="E32" s="307"/>
      <c r="F32" s="195"/>
      <c r="G32" s="308"/>
      <c r="H32" s="308"/>
      <c r="I32" s="195"/>
      <c r="J32" s="195"/>
      <c r="K32" s="195"/>
      <c r="L32" s="307"/>
      <c r="M32" s="98"/>
      <c r="N32" s="307"/>
      <c r="O32" s="185"/>
      <c r="P32" s="1051"/>
      <c r="Q32" s="1051"/>
      <c r="R32" s="1051"/>
      <c r="S32" s="1051"/>
      <c r="T32" s="1051"/>
      <c r="U32" s="1051"/>
    </row>
    <row r="33" spans="1:21" s="188" customFormat="1" x14ac:dyDescent="0.25">
      <c r="A33" s="185"/>
      <c r="B33" s="194"/>
      <c r="C33" s="197"/>
      <c r="D33" s="197"/>
      <c r="E33" s="197"/>
      <c r="L33" s="197"/>
      <c r="M33" s="194"/>
      <c r="N33" s="197"/>
      <c r="O33" s="185"/>
      <c r="P33" s="36"/>
      <c r="Q33" s="36"/>
      <c r="R33" s="36"/>
      <c r="S33" s="36"/>
      <c r="T33" s="36"/>
      <c r="U33" s="36"/>
    </row>
    <row r="34" spans="1:21" s="188" customFormat="1" x14ac:dyDescent="0.2">
      <c r="A34" s="185"/>
      <c r="B34" s="97" t="s">
        <v>127</v>
      </c>
      <c r="C34" s="37" t="s">
        <v>563</v>
      </c>
      <c r="D34" s="11"/>
      <c r="E34" s="11"/>
      <c r="G34" s="23" t="s">
        <v>16</v>
      </c>
      <c r="H34" s="180" t="s">
        <v>17</v>
      </c>
      <c r="I34" s="180" t="s">
        <v>18</v>
      </c>
      <c r="L34" s="11"/>
      <c r="M34" s="113" t="s">
        <v>104</v>
      </c>
      <c r="N34" s="37" t="s">
        <v>129</v>
      </c>
      <c r="O34" s="185"/>
      <c r="P34" s="36"/>
      <c r="Q34" s="36"/>
      <c r="R34" s="36"/>
      <c r="S34" s="36"/>
      <c r="T34" s="36"/>
      <c r="U34" s="36"/>
    </row>
    <row r="35" spans="1:21" s="188" customFormat="1" x14ac:dyDescent="0.25">
      <c r="A35" s="185"/>
      <c r="B35" s="193"/>
      <c r="D35" s="11"/>
      <c r="E35" s="11"/>
      <c r="H35" s="1430">
        <v>0.6</v>
      </c>
      <c r="I35" s="1431">
        <v>0.4</v>
      </c>
      <c r="L35" s="11"/>
      <c r="M35" s="113" t="s">
        <v>100</v>
      </c>
      <c r="N35" s="37" t="s">
        <v>101</v>
      </c>
      <c r="O35" s="185"/>
      <c r="P35" s="36"/>
      <c r="Q35" s="1051">
        <f>IF(AND(ISNUMBER(H35),'Validn data - hide'!D389&gt;0),IF(H35/'Validn data - hide'!D389-1&gt;'Validn data - hide'!$L389,1,IF(H35/'Validn data - hide'!D389-1&lt;-'Validn data - hide'!$L389,-1,0)),0)</f>
        <v>0</v>
      </c>
      <c r="R35" s="1051">
        <f>IF(AND(ISNUMBER(I35),'Validn data - hide'!E389&gt;0),IF(I35/'Validn data - hide'!E389-1&gt;'Validn data - hide'!$L389,1,IF(I35/'Validn data - hide'!E389-1&lt;-'Validn data - hide'!$L389,-1,0)),0)</f>
        <v>0</v>
      </c>
      <c r="S35" s="36"/>
      <c r="T35" s="36"/>
      <c r="U35" s="36"/>
    </row>
    <row r="36" spans="1:21" s="188" customFormat="1" ht="25.5" x14ac:dyDescent="0.25">
      <c r="A36" s="185"/>
      <c r="B36" s="193"/>
      <c r="D36" s="11"/>
      <c r="E36" s="11"/>
      <c r="H36" s="191"/>
      <c r="L36" s="11"/>
      <c r="M36" s="113" t="s">
        <v>10</v>
      </c>
      <c r="N36" s="37" t="s">
        <v>1030</v>
      </c>
      <c r="O36" s="185"/>
      <c r="P36" s="36"/>
      <c r="Q36" s="36"/>
      <c r="R36" s="36"/>
      <c r="S36" s="36"/>
      <c r="T36" s="36"/>
      <c r="U36" s="36"/>
    </row>
    <row r="37" spans="1:21" s="188" customFormat="1" x14ac:dyDescent="0.25">
      <c r="A37" s="185"/>
      <c r="B37" s="193"/>
      <c r="D37" s="11"/>
      <c r="E37" s="11"/>
      <c r="F37" s="63" t="s">
        <v>103</v>
      </c>
      <c r="G37" s="429">
        <f>G30</f>
        <v>1852424</v>
      </c>
      <c r="H37" s="430">
        <f>H35*H30</f>
        <v>1362336.5999999999</v>
      </c>
      <c r="I37" s="431">
        <f>I35*H30</f>
        <v>908224.4</v>
      </c>
      <c r="L37" s="11"/>
      <c r="M37" s="113" t="s">
        <v>352</v>
      </c>
      <c r="N37" s="1329" t="s">
        <v>131</v>
      </c>
      <c r="O37" s="185"/>
      <c r="P37" s="36"/>
      <c r="Q37" s="36"/>
      <c r="R37" s="36"/>
      <c r="S37" s="36"/>
      <c r="T37" s="36"/>
      <c r="U37" s="36"/>
    </row>
    <row r="38" spans="1:21" s="188" customFormat="1" x14ac:dyDescent="0.25">
      <c r="A38" s="185"/>
      <c r="B38" s="193"/>
      <c r="D38" s="11"/>
      <c r="E38" s="11"/>
      <c r="F38" s="63"/>
      <c r="G38" s="309"/>
      <c r="H38" s="309"/>
      <c r="I38" s="310"/>
      <c r="L38" s="11"/>
      <c r="M38" s="113" t="s">
        <v>99</v>
      </c>
      <c r="N38" s="1606">
        <v>42594</v>
      </c>
      <c r="O38" s="185"/>
      <c r="P38" s="36"/>
      <c r="Q38" s="36"/>
      <c r="R38" s="36"/>
      <c r="S38" s="36"/>
      <c r="T38" s="36"/>
      <c r="U38" s="36"/>
    </row>
    <row r="39" spans="1:21" s="188" customFormat="1" x14ac:dyDescent="0.25">
      <c r="A39" s="185"/>
      <c r="B39" s="193"/>
      <c r="D39" s="11"/>
      <c r="E39" s="11"/>
      <c r="F39" s="63"/>
      <c r="G39" s="309"/>
      <c r="H39" s="309"/>
      <c r="I39" s="310"/>
      <c r="L39" s="11"/>
      <c r="M39" s="113" t="s">
        <v>658</v>
      </c>
      <c r="N39" s="1328" t="s">
        <v>681</v>
      </c>
      <c r="O39" s="185"/>
      <c r="P39" s="36"/>
      <c r="Q39" s="36"/>
      <c r="R39" s="36"/>
      <c r="S39" s="36"/>
      <c r="T39" s="36"/>
      <c r="U39" s="36"/>
    </row>
    <row r="40" spans="1:21" s="188" customFormat="1" x14ac:dyDescent="0.25">
      <c r="A40" s="185"/>
      <c r="B40" s="193"/>
      <c r="D40" s="11"/>
      <c r="E40" s="11"/>
      <c r="F40" s="63"/>
      <c r="G40" s="309"/>
      <c r="H40" s="309"/>
      <c r="I40" s="310"/>
      <c r="L40" s="11"/>
      <c r="M40" s="99"/>
      <c r="N40" s="12"/>
      <c r="O40" s="185"/>
      <c r="P40" s="36"/>
      <c r="Q40" s="36"/>
      <c r="R40" s="36"/>
      <c r="S40" s="36"/>
      <c r="T40" s="36"/>
      <c r="U40" s="36"/>
    </row>
    <row r="41" spans="1:21" s="188" customFormat="1" x14ac:dyDescent="0.25">
      <c r="A41" s="185"/>
      <c r="B41" s="186"/>
      <c r="C41" s="187"/>
      <c r="D41" s="187"/>
      <c r="E41" s="187"/>
      <c r="F41" s="187"/>
      <c r="G41" s="187"/>
      <c r="H41" s="187"/>
      <c r="I41" s="187"/>
      <c r="J41" s="187"/>
      <c r="K41" s="187"/>
      <c r="L41" s="187"/>
      <c r="M41" s="186"/>
      <c r="N41" s="187"/>
      <c r="O41" s="185"/>
      <c r="P41" s="36"/>
      <c r="Q41" s="36"/>
      <c r="R41" s="36"/>
      <c r="S41" s="36"/>
      <c r="T41" s="36"/>
      <c r="U41" s="36"/>
    </row>
    <row r="42" spans="1:21" s="188" customFormat="1" ht="12" customHeight="1" x14ac:dyDescent="0.25">
      <c r="A42" s="185"/>
      <c r="B42" s="887" t="s">
        <v>128</v>
      </c>
      <c r="C42" s="2612" t="s">
        <v>752</v>
      </c>
      <c r="D42" s="187"/>
      <c r="E42" s="187"/>
      <c r="F42" s="320"/>
      <c r="G42" s="95" t="s">
        <v>16</v>
      </c>
      <c r="H42" s="95" t="s">
        <v>17</v>
      </c>
      <c r="I42" s="95" t="s">
        <v>18</v>
      </c>
      <c r="J42" s="187"/>
      <c r="K42" s="187"/>
      <c r="L42" s="187"/>
      <c r="M42" s="885" t="s">
        <v>104</v>
      </c>
      <c r="N42" s="2612" t="s">
        <v>759</v>
      </c>
      <c r="O42" s="185"/>
      <c r="P42" s="36"/>
      <c r="Q42" s="36"/>
      <c r="R42" s="36"/>
      <c r="S42" s="36"/>
      <c r="T42" s="36"/>
      <c r="U42" s="36"/>
    </row>
    <row r="43" spans="1:21" s="188" customFormat="1" x14ac:dyDescent="0.25">
      <c r="A43" s="185"/>
      <c r="B43" s="888"/>
      <c r="C43" s="2614"/>
      <c r="D43" s="187"/>
      <c r="E43" s="187"/>
      <c r="F43" s="109" t="s">
        <v>19</v>
      </c>
      <c r="G43" s="393">
        <v>0.109</v>
      </c>
      <c r="H43" s="394">
        <v>0.188</v>
      </c>
      <c r="I43" s="395">
        <v>8.0000000000000002E-3</v>
      </c>
      <c r="J43" s="187"/>
      <c r="K43" s="187"/>
      <c r="L43" s="187"/>
      <c r="M43" s="886"/>
      <c r="N43" s="2695"/>
      <c r="O43" s="185"/>
      <c r="P43" s="1051">
        <f>IF(AND(ISNUMBER(G43),'Validn data - hide'!C393&gt;0),IF(G43/'Validn data - hide'!C393-1&gt;'Validn data - hide'!$L393,1,IF(G43/'Validn data - hide'!C393-1&lt;-'Validn data - hide'!$L393,-1,0)),0)</f>
        <v>0</v>
      </c>
      <c r="Q43" s="1051">
        <f>IF(AND(ISNUMBER(H43),'Validn data - hide'!D393&gt;0),IF(H43/'Validn data - hide'!D393-1&gt;'Validn data - hide'!$L393,1,IF(H43/'Validn data - hide'!D393-1&lt;-'Validn data - hide'!$L393,-1,0)),0)</f>
        <v>0</v>
      </c>
      <c r="R43" s="1051">
        <f>IF(AND(ISNUMBER(I43),'Validn data - hide'!E393&gt;0),IF(I43/'Validn data - hide'!E393-1&gt;'Validn data - hide'!$L393,1,IF(I43/'Validn data - hide'!E393-1&lt;-'Validn data - hide'!$L393,-1,0)),0)</f>
        <v>0</v>
      </c>
      <c r="S43" s="36"/>
      <c r="T43" s="36"/>
      <c r="U43" s="36"/>
    </row>
    <row r="44" spans="1:21" s="188" customFormat="1" x14ac:dyDescent="0.25">
      <c r="A44" s="185"/>
      <c r="B44" s="742" t="s">
        <v>323</v>
      </c>
      <c r="C44" s="321" t="s">
        <v>325</v>
      </c>
      <c r="D44" s="88"/>
      <c r="E44" s="88"/>
      <c r="F44" s="109" t="s">
        <v>21</v>
      </c>
      <c r="G44" s="396">
        <v>0.36</v>
      </c>
      <c r="H44" s="392">
        <v>0.17100000000000001</v>
      </c>
      <c r="I44" s="397">
        <v>0</v>
      </c>
      <c r="J44" s="187"/>
      <c r="K44" s="187"/>
      <c r="L44" s="88"/>
      <c r="M44" s="114" t="s">
        <v>100</v>
      </c>
      <c r="N44" s="94" t="s">
        <v>101</v>
      </c>
      <c r="O44" s="185"/>
      <c r="P44" s="1051">
        <f>IF(AND(ISNUMBER(G44),'Validn data - hide'!C394&gt;0),IF(G44/'Validn data - hide'!C394-1&gt;'Validn data - hide'!$L394,1,IF(G44/'Validn data - hide'!C394-1&lt;-'Validn data - hide'!$L394,-1,0)),0)</f>
        <v>0</v>
      </c>
      <c r="Q44" s="1051">
        <f>IF(AND(ISNUMBER(H44),'Validn data - hide'!D394&gt;0),IF(H44/'Validn data - hide'!D394-1&gt;'Validn data - hide'!$L394,1,IF(H44/'Validn data - hide'!D394-1&lt;-'Validn data - hide'!$L394,-1,0)),0)</f>
        <v>0</v>
      </c>
      <c r="R44" s="1051">
        <f>IF(AND(ISNUMBER(I44),'Validn data - hide'!E394&gt;0),IF(I44/'Validn data - hide'!E394-1&gt;'Validn data - hide'!$L394,1,IF(I44/'Validn data - hide'!E394-1&lt;-'Validn data - hide'!$L394,-1,0)),0)</f>
        <v>0</v>
      </c>
      <c r="S44" s="36"/>
      <c r="T44" s="36"/>
      <c r="U44" s="36"/>
    </row>
    <row r="45" spans="1:21" s="188" customFormat="1" x14ac:dyDescent="0.25">
      <c r="A45" s="185"/>
      <c r="B45" s="828"/>
      <c r="C45" s="2603" t="s">
        <v>327</v>
      </c>
      <c r="D45" s="88"/>
      <c r="E45" s="88"/>
      <c r="F45" s="109" t="s">
        <v>23</v>
      </c>
      <c r="G45" s="396">
        <v>7.3999999999999996E-2</v>
      </c>
      <c r="H45" s="392">
        <v>7.0000000000000007E-2</v>
      </c>
      <c r="I45" s="397">
        <v>2.7E-2</v>
      </c>
      <c r="J45" s="187"/>
      <c r="K45" s="187"/>
      <c r="L45" s="88"/>
      <c r="M45" s="114" t="s">
        <v>10</v>
      </c>
      <c r="N45" s="94" t="s">
        <v>131</v>
      </c>
      <c r="O45" s="185"/>
      <c r="P45" s="1051">
        <f>IF(AND(ISNUMBER(G45),'Validn data - hide'!C395&gt;0),IF(G45/'Validn data - hide'!C395-1&gt;'Validn data - hide'!$L395,1,IF(G45/'Validn data - hide'!C395-1&lt;-'Validn data - hide'!$L395,-1,0)),0)</f>
        <v>0</v>
      </c>
      <c r="Q45" s="1051">
        <f>IF(AND(ISNUMBER(H45),'Validn data - hide'!D395&gt;0),IF(H45/'Validn data - hide'!D395-1&gt;'Validn data - hide'!$L395,1,IF(H45/'Validn data - hide'!D395-1&lt;-'Validn data - hide'!$L395,-1,0)),0)</f>
        <v>0</v>
      </c>
      <c r="R45" s="1051">
        <f>IF(AND(ISNUMBER(I45),'Validn data - hide'!E395&gt;0),IF(I45/'Validn data - hide'!E395-1&gt;'Validn data - hide'!$L395,1,IF(I45/'Validn data - hide'!E395-1&lt;-'Validn data - hide'!$L395,-1,0)),0)</f>
        <v>0</v>
      </c>
      <c r="S45" s="36"/>
      <c r="T45" s="36"/>
      <c r="U45" s="36"/>
    </row>
    <row r="46" spans="1:21" s="188" customFormat="1" x14ac:dyDescent="0.25">
      <c r="A46" s="185"/>
      <c r="B46" s="829"/>
      <c r="C46" s="2604"/>
      <c r="D46" s="322"/>
      <c r="E46" s="88"/>
      <c r="F46" s="109" t="s">
        <v>24</v>
      </c>
      <c r="G46" s="396">
        <v>3.0000000000000001E-3</v>
      </c>
      <c r="H46" s="392">
        <v>0.13</v>
      </c>
      <c r="I46" s="397">
        <v>0.11799999999999999</v>
      </c>
      <c r="J46" s="187"/>
      <c r="K46" s="187"/>
      <c r="L46" s="88"/>
      <c r="M46" s="114" t="s">
        <v>352</v>
      </c>
      <c r="N46" s="1330" t="s">
        <v>131</v>
      </c>
      <c r="O46" s="185"/>
      <c r="P46" s="1051">
        <f>IF(AND(ISNUMBER(G46),'Validn data - hide'!C396&gt;0),IF(G46/'Validn data - hide'!C396-1&gt;'Validn data - hide'!$L396,1,IF(G46/'Validn data - hide'!C396-1&lt;-'Validn data - hide'!$L396,-1,0)),0)</f>
        <v>0</v>
      </c>
      <c r="Q46" s="1051">
        <f>IF(AND(ISNUMBER(H46),'Validn data - hide'!D396&gt;0),IF(H46/'Validn data - hide'!D396-1&gt;'Validn data - hide'!$L396,1,IF(H46/'Validn data - hide'!D396-1&lt;-'Validn data - hide'!$L396,-1,0)),0)</f>
        <v>0</v>
      </c>
      <c r="R46" s="1051">
        <f>IF(AND(ISNUMBER(I46),'Validn data - hide'!E396&gt;0),IF(I46/'Validn data - hide'!E396-1&gt;'Validn data - hide'!$L396,1,IF(I46/'Validn data - hide'!E396-1&lt;-'Validn data - hide'!$L396,-1,0)),0)</f>
        <v>0</v>
      </c>
      <c r="S46" s="36"/>
      <c r="T46" s="36"/>
      <c r="U46" s="36"/>
    </row>
    <row r="47" spans="1:21" s="188" customFormat="1" x14ac:dyDescent="0.25">
      <c r="A47" s="185"/>
      <c r="B47" s="830"/>
      <c r="C47" s="438" t="s">
        <v>534</v>
      </c>
      <c r="D47" s="324"/>
      <c r="E47" s="88"/>
      <c r="F47" s="109" t="s">
        <v>26</v>
      </c>
      <c r="G47" s="396">
        <v>2.7E-2</v>
      </c>
      <c r="H47" s="392">
        <v>6.5000000000000002E-2</v>
      </c>
      <c r="I47" s="397">
        <v>1.2999999999999999E-2</v>
      </c>
      <c r="J47" s="187"/>
      <c r="K47" s="187"/>
      <c r="L47" s="325"/>
      <c r="M47" s="114" t="s">
        <v>99</v>
      </c>
      <c r="N47" s="1605">
        <v>42594</v>
      </c>
      <c r="O47" s="185"/>
      <c r="P47" s="1051">
        <f>IF(AND(ISNUMBER(G47),'Validn data - hide'!C397&gt;0),IF(G47/'Validn data - hide'!C397-1&gt;'Validn data - hide'!$L397,1,IF(G47/'Validn data - hide'!C397-1&lt;-'Validn data - hide'!$L397,-1,0)),0)</f>
        <v>0</v>
      </c>
      <c r="Q47" s="1051">
        <f>IF(AND(ISNUMBER(H47),'Validn data - hide'!D397&gt;0),IF(H47/'Validn data - hide'!D397-1&gt;'Validn data - hide'!$L397,1,IF(H47/'Validn data - hide'!D397-1&lt;-'Validn data - hide'!$L397,-1,0)),0)</f>
        <v>0</v>
      </c>
      <c r="R47" s="1051">
        <f>IF(AND(ISNUMBER(I47),'Validn data - hide'!E397&gt;0),IF(I47/'Validn data - hide'!E397-1&gt;'Validn data - hide'!$L397,1,IF(I47/'Validn data - hide'!E397-1&lt;-'Validn data - hide'!$L397,-1,0)),0)</f>
        <v>0</v>
      </c>
      <c r="S47" s="36"/>
      <c r="T47" s="36"/>
      <c r="U47" s="36"/>
    </row>
    <row r="48" spans="1:21" s="188" customFormat="1" x14ac:dyDescent="0.25">
      <c r="A48" s="185"/>
      <c r="B48" s="831"/>
      <c r="C48" s="2603" t="s">
        <v>533</v>
      </c>
      <c r="D48" s="324"/>
      <c r="E48" s="88"/>
      <c r="F48" s="109" t="s">
        <v>29</v>
      </c>
      <c r="G48" s="396">
        <v>0</v>
      </c>
      <c r="H48" s="392">
        <v>4.0000000000000001E-3</v>
      </c>
      <c r="I48" s="397">
        <v>0</v>
      </c>
      <c r="J48" s="187"/>
      <c r="K48" s="187"/>
      <c r="L48" s="325"/>
      <c r="M48" s="114" t="s">
        <v>658</v>
      </c>
      <c r="N48" s="1331" t="s">
        <v>681</v>
      </c>
      <c r="O48" s="185"/>
      <c r="P48" s="1051">
        <f>IF(AND(ISNUMBER(G48),'Validn data - hide'!C398&gt;0),IF(G48/'Validn data - hide'!C398-1&gt;'Validn data - hide'!$L398,1,IF(G48/'Validn data - hide'!C398-1&lt;-'Validn data - hide'!$L398,-1,0)),0)</f>
        <v>0</v>
      </c>
      <c r="Q48" s="1051">
        <f>IF(AND(ISNUMBER(H48),'Validn data - hide'!D398&gt;0),IF(H48/'Validn data - hide'!D398-1&gt;'Validn data - hide'!$L398,1,IF(H48/'Validn data - hide'!D398-1&lt;-'Validn data - hide'!$L398,-1,0)),0)</f>
        <v>0</v>
      </c>
      <c r="R48" s="1051">
        <f>IF(AND(ISNUMBER(I48),'Validn data - hide'!E398&gt;0),IF(I48/'Validn data - hide'!E398-1&gt;'Validn data - hide'!$L398,1,IF(I48/'Validn data - hide'!E398-1&lt;-'Validn data - hide'!$L398,-1,0)),0)</f>
        <v>0</v>
      </c>
      <c r="S48" s="36"/>
      <c r="T48" s="36"/>
      <c r="U48" s="36"/>
    </row>
    <row r="49" spans="1:21" s="188" customFormat="1" x14ac:dyDescent="0.25">
      <c r="A49" s="185"/>
      <c r="B49" s="832"/>
      <c r="C49" s="2604"/>
      <c r="D49" s="324"/>
      <c r="E49" s="214"/>
      <c r="F49" s="109" t="s">
        <v>30</v>
      </c>
      <c r="G49" s="396">
        <v>2.8000000000000001E-2</v>
      </c>
      <c r="H49" s="392">
        <v>0.02</v>
      </c>
      <c r="I49" s="397">
        <v>1E-3</v>
      </c>
      <c r="J49" s="187"/>
      <c r="K49" s="187"/>
      <c r="L49" s="325"/>
      <c r="M49" s="186"/>
      <c r="N49" s="190"/>
      <c r="O49" s="185"/>
      <c r="P49" s="1051">
        <f>IF(AND(ISNUMBER(G49),'Validn data - hide'!C399&gt;0),IF(G49/'Validn data - hide'!C399-1&gt;'Validn data - hide'!$L399,1,IF(G49/'Validn data - hide'!C399-1&lt;-'Validn data - hide'!$L399,-1,0)),0)</f>
        <v>0</v>
      </c>
      <c r="Q49" s="1051">
        <f>IF(AND(ISNUMBER(H49),'Validn data - hide'!D399&gt;0),IF(H49/'Validn data - hide'!D399-1&gt;'Validn data - hide'!$L399,1,IF(H49/'Validn data - hide'!D399-1&lt;-'Validn data - hide'!$L399,-1,0)),0)</f>
        <v>0</v>
      </c>
      <c r="R49" s="1051">
        <f>IF(AND(ISNUMBER(I49),'Validn data - hide'!E399&gt;0),IF(I49/'Validn data - hide'!E399-1&gt;'Validn data - hide'!$L399,1,IF(I49/'Validn data - hide'!E399-1&lt;-'Validn data - hide'!$L399,-1,0)),0)</f>
        <v>0</v>
      </c>
      <c r="S49" s="36"/>
      <c r="T49" s="36"/>
      <c r="U49" s="36"/>
    </row>
    <row r="50" spans="1:21" s="188" customFormat="1" x14ac:dyDescent="0.25">
      <c r="A50" s="185"/>
      <c r="B50" s="1491" t="s">
        <v>720</v>
      </c>
      <c r="C50" s="640" t="s">
        <v>715</v>
      </c>
      <c r="D50" s="324"/>
      <c r="E50" s="214"/>
      <c r="F50" s="109" t="s">
        <v>31</v>
      </c>
      <c r="G50" s="396">
        <v>3.9E-2</v>
      </c>
      <c r="H50" s="392">
        <v>7.3999999999999996E-2</v>
      </c>
      <c r="I50" s="397">
        <v>1.2999999999999999E-2</v>
      </c>
      <c r="J50" s="187"/>
      <c r="K50" s="187"/>
      <c r="L50" s="325"/>
      <c r="M50" s="186"/>
      <c r="N50" s="190"/>
      <c r="O50" s="185"/>
      <c r="P50" s="1051">
        <f>IF(AND(ISNUMBER(G50),'Validn data - hide'!C400&gt;0),IF(G50/'Validn data - hide'!C400-1&gt;'Validn data - hide'!$L400,1,IF(G50/'Validn data - hide'!C400-1&lt;-'Validn data - hide'!$L400,-1,0)),0)</f>
        <v>0</v>
      </c>
      <c r="Q50" s="1051">
        <f>IF(AND(ISNUMBER(H50),'Validn data - hide'!D400&gt;0),IF(H50/'Validn data - hide'!D400-1&gt;'Validn data - hide'!$L400,1,IF(H50/'Validn data - hide'!D400-1&lt;-'Validn data - hide'!$L400,-1,0)),0)</f>
        <v>0</v>
      </c>
      <c r="R50" s="1051">
        <f>IF(AND(ISNUMBER(I50),'Validn data - hide'!E400&gt;0),IF(I50/'Validn data - hide'!E400-1&gt;'Validn data - hide'!$L400,1,IF(I50/'Validn data - hide'!E400-1&lt;-'Validn data - hide'!$L400,-1,0)),0)</f>
        <v>0</v>
      </c>
      <c r="S50" s="36"/>
      <c r="T50" s="36"/>
      <c r="U50" s="36"/>
    </row>
    <row r="51" spans="1:21" s="188" customFormat="1" x14ac:dyDescent="0.25">
      <c r="A51" s="185"/>
      <c r="B51" s="379"/>
      <c r="C51" s="2623" t="s">
        <v>916</v>
      </c>
      <c r="D51" s="324"/>
      <c r="E51" s="320"/>
      <c r="F51" s="109" t="s">
        <v>33</v>
      </c>
      <c r="G51" s="396">
        <v>5.3999999999999999E-2</v>
      </c>
      <c r="H51" s="392">
        <v>8.7999999999999995E-2</v>
      </c>
      <c r="I51" s="397">
        <v>6.0000000000000001E-3</v>
      </c>
      <c r="J51" s="187"/>
      <c r="K51" s="187"/>
      <c r="L51" s="325"/>
      <c r="M51" s="186"/>
      <c r="N51" s="190"/>
      <c r="O51" s="185"/>
      <c r="P51" s="1051">
        <f>IF(AND(ISNUMBER(G51),'Validn data - hide'!C401&gt;0),IF(G51/'Validn data - hide'!C401-1&gt;'Validn data - hide'!$L401,1,IF(G51/'Validn data - hide'!C401-1&lt;-'Validn data - hide'!$L401,-1,0)),0)</f>
        <v>0</v>
      </c>
      <c r="Q51" s="1051">
        <f>IF(AND(ISNUMBER(H51),'Validn data - hide'!D401&gt;0),IF(H51/'Validn data - hide'!D401-1&gt;'Validn data - hide'!$L401,1,IF(H51/'Validn data - hide'!D401-1&lt;-'Validn data - hide'!$L401,-1,0)),0)</f>
        <v>0</v>
      </c>
      <c r="R51" s="1051">
        <f>IF(AND(ISNUMBER(I51),'Validn data - hide'!E401&gt;0),IF(I51/'Validn data - hide'!E401-1&gt;'Validn data - hide'!$L401,1,IF(I51/'Validn data - hide'!E401-1&lt;-'Validn data - hide'!$L401,-1,0)),0)</f>
        <v>0</v>
      </c>
      <c r="S51" s="36"/>
      <c r="T51" s="36"/>
      <c r="U51" s="36"/>
    </row>
    <row r="52" spans="1:21" s="188" customFormat="1" x14ac:dyDescent="0.25">
      <c r="A52" s="185"/>
      <c r="B52" s="379"/>
      <c r="C52" s="2624"/>
      <c r="D52" s="324"/>
      <c r="E52" s="187"/>
      <c r="F52" s="109" t="s">
        <v>28</v>
      </c>
      <c r="G52" s="396">
        <v>1.7000000000000001E-2</v>
      </c>
      <c r="H52" s="392">
        <v>2.1999999999999999E-2</v>
      </c>
      <c r="I52" s="397">
        <v>7.0000000000000001E-3</v>
      </c>
      <c r="J52" s="187"/>
      <c r="K52" s="187"/>
      <c r="L52" s="325"/>
      <c r="M52" s="186"/>
      <c r="N52" s="190"/>
      <c r="O52" s="185"/>
      <c r="P52" s="1051">
        <f>IF(AND(ISNUMBER(G52),'Validn data - hide'!C402&gt;0),IF(G52/'Validn data - hide'!C402-1&gt;'Validn data - hide'!$L402,1,IF(G52/'Validn data - hide'!C402-1&lt;-'Validn data - hide'!$L402,-1,0)),0)</f>
        <v>0</v>
      </c>
      <c r="Q52" s="1051">
        <f>IF(AND(ISNUMBER(H52),'Validn data - hide'!D402&gt;0),IF(H52/'Validn data - hide'!D402-1&gt;'Validn data - hide'!$L402,1,IF(H52/'Validn data - hide'!D402-1&lt;-'Validn data - hide'!$L402,-1,0)),0)</f>
        <v>0</v>
      </c>
      <c r="R52" s="1051">
        <f>IF(AND(ISNUMBER(I52),'Validn data - hide'!E402&gt;0),IF(I52/'Validn data - hide'!E402-1&gt;'Validn data - hide'!$L402,1,IF(I52/'Validn data - hide'!E402-1&lt;-'Validn data - hide'!$L402,-1,0)),0)</f>
        <v>0</v>
      </c>
      <c r="S52" s="36"/>
      <c r="T52" s="36"/>
      <c r="U52" s="36"/>
    </row>
    <row r="53" spans="1:21" s="188" customFormat="1" x14ac:dyDescent="0.25">
      <c r="A53" s="185"/>
      <c r="B53" s="375"/>
      <c r="C53" s="2625"/>
      <c r="D53" s="324"/>
      <c r="E53" s="187"/>
      <c r="F53" s="109" t="s">
        <v>34</v>
      </c>
      <c r="G53" s="396">
        <v>0</v>
      </c>
      <c r="H53" s="392">
        <v>0</v>
      </c>
      <c r="I53" s="397">
        <v>0</v>
      </c>
      <c r="J53" s="187"/>
      <c r="K53" s="187"/>
      <c r="L53" s="325"/>
      <c r="M53" s="186"/>
      <c r="N53" s="190"/>
      <c r="O53" s="185"/>
      <c r="P53" s="1051">
        <f>IF(AND(ISNUMBER(G53),'Validn data - hide'!C403&gt;0),IF(G53/'Validn data - hide'!C403-1&gt;'Validn data - hide'!$L403,1,IF(G53/'Validn data - hide'!C403-1&lt;-'Validn data - hide'!$L403,-1,0)),0)</f>
        <v>0</v>
      </c>
      <c r="Q53" s="1051">
        <f>IF(AND(ISNUMBER(H53),'Validn data - hide'!D403&gt;0),IF(H53/'Validn data - hide'!D403-1&gt;'Validn data - hide'!$L403,1,IF(H53/'Validn data - hide'!D403-1&lt;-'Validn data - hide'!$L403,-1,0)),0)</f>
        <v>0</v>
      </c>
      <c r="R53" s="1051">
        <f>IF(AND(ISNUMBER(I53),'Validn data - hide'!E403&gt;0),IF(I53/'Validn data - hide'!E403-1&gt;'Validn data - hide'!$L403,1,IF(I53/'Validn data - hide'!E403-1&lt;-'Validn data - hide'!$L403,-1,0)),0)</f>
        <v>0</v>
      </c>
      <c r="S53" s="36"/>
      <c r="T53" s="36"/>
      <c r="U53" s="36"/>
    </row>
    <row r="54" spans="1:21" s="188" customFormat="1" x14ac:dyDescent="0.25">
      <c r="A54" s="185"/>
      <c r="B54" s="172" t="s">
        <v>326</v>
      </c>
      <c r="C54" s="323" t="s">
        <v>122</v>
      </c>
      <c r="D54" s="324"/>
      <c r="E54" s="187"/>
      <c r="F54" s="109" t="s">
        <v>36</v>
      </c>
      <c r="G54" s="396">
        <v>1.2999999999999999E-2</v>
      </c>
      <c r="H54" s="392">
        <v>0.11600000000000001</v>
      </c>
      <c r="I54" s="397">
        <v>0.8</v>
      </c>
      <c r="J54" s="187"/>
      <c r="K54" s="187"/>
      <c r="L54" s="325"/>
      <c r="M54" s="186"/>
      <c r="N54" s="190"/>
      <c r="O54" s="185"/>
      <c r="P54" s="1051">
        <f>IF(AND(ISNUMBER(G54),'Validn data - hide'!C404&gt;0),IF(G54/'Validn data - hide'!C404-1&gt;'Validn data - hide'!$L404,1,IF(G54/'Validn data - hide'!C404-1&lt;-'Validn data - hide'!$L404,-1,0)),0)</f>
        <v>0</v>
      </c>
      <c r="Q54" s="1051">
        <f>IF(AND(ISNUMBER(H54),'Validn data - hide'!D404&gt;0),IF(H54/'Validn data - hide'!D404-1&gt;'Validn data - hide'!$L404,1,IF(H54/'Validn data - hide'!D404-1&lt;-'Validn data - hide'!$L404,-1,0)),0)</f>
        <v>0</v>
      </c>
      <c r="R54" s="1051">
        <f>IF(AND(ISNUMBER(I54),'Validn data - hide'!E404&gt;0),IF(I54/'Validn data - hide'!E404-1&gt;'Validn data - hide'!$L404,1,IF(I54/'Validn data - hide'!E404-1&lt;-'Validn data - hide'!$L404,-1,0)),0)</f>
        <v>0</v>
      </c>
      <c r="S54" s="36"/>
      <c r="T54" s="36"/>
      <c r="U54" s="36"/>
    </row>
    <row r="55" spans="1:21" s="188" customFormat="1" x14ac:dyDescent="0.25">
      <c r="A55" s="185"/>
      <c r="B55" s="326" t="s">
        <v>19</v>
      </c>
      <c r="C55" s="325" t="s">
        <v>20</v>
      </c>
      <c r="D55" s="324"/>
      <c r="E55" s="187"/>
      <c r="F55" s="109" t="s">
        <v>27</v>
      </c>
      <c r="G55" s="398">
        <v>0.27600000000000002</v>
      </c>
      <c r="H55" s="399">
        <v>5.1999999999999998E-2</v>
      </c>
      <c r="I55" s="400">
        <v>7.0000000000000001E-3</v>
      </c>
      <c r="J55" s="187"/>
      <c r="K55" s="187"/>
      <c r="L55" s="325"/>
      <c r="M55" s="186"/>
      <c r="N55" s="190"/>
      <c r="O55" s="185"/>
      <c r="P55" s="1051">
        <f>IF(AND(ISNUMBER(G55),'Validn data - hide'!C405&gt;0),IF(G55/'Validn data - hide'!C405-1&gt;'Validn data - hide'!$L405,1,IF(G55/'Validn data - hide'!C405-1&lt;-'Validn data - hide'!$L405,-1,0)),0)</f>
        <v>0</v>
      </c>
      <c r="Q55" s="1051">
        <f>IF(AND(ISNUMBER(H55),'Validn data - hide'!D405&gt;0),IF(H55/'Validn data - hide'!D405-1&gt;'Validn data - hide'!$L405,1,IF(H55/'Validn data - hide'!D405-1&lt;-'Validn data - hide'!$L405,-1,0)),0)</f>
        <v>0</v>
      </c>
      <c r="R55" s="1051">
        <f>IF(AND(ISNUMBER(I55),'Validn data - hide'!E405&gt;0),IF(I55/'Validn data - hide'!E405-1&gt;'Validn data - hide'!$L405,1,IF(I55/'Validn data - hide'!E405-1&lt;-'Validn data - hide'!$L405,-1,0)),0)</f>
        <v>0</v>
      </c>
      <c r="S55" s="36"/>
      <c r="T55" s="36"/>
      <c r="U55" s="36"/>
    </row>
    <row r="56" spans="1:21" s="188" customFormat="1" x14ac:dyDescent="0.25">
      <c r="A56" s="185"/>
      <c r="B56" s="326" t="s">
        <v>21</v>
      </c>
      <c r="C56" s="325" t="s">
        <v>61</v>
      </c>
      <c r="D56" s="324"/>
      <c r="E56" s="187"/>
      <c r="F56" s="96" t="s">
        <v>37</v>
      </c>
      <c r="G56" s="327">
        <f>SUM(G43:G55)</f>
        <v>1</v>
      </c>
      <c r="H56" s="327">
        <f>SUM(H43:H55)</f>
        <v>0.99999999999999989</v>
      </c>
      <c r="I56" s="327">
        <f>SUM(I43:I55)</f>
        <v>1</v>
      </c>
      <c r="J56" s="187"/>
      <c r="K56" s="187"/>
      <c r="L56" s="325"/>
      <c r="M56" s="186"/>
      <c r="N56" s="190"/>
      <c r="O56" s="185"/>
      <c r="P56" s="1051"/>
      <c r="Q56" s="1051"/>
      <c r="R56" s="1051"/>
      <c r="S56" s="36"/>
      <c r="T56" s="36"/>
      <c r="U56" s="36"/>
    </row>
    <row r="57" spans="1:21" s="188" customFormat="1" x14ac:dyDescent="0.25">
      <c r="A57" s="185"/>
      <c r="B57" s="326" t="s">
        <v>23</v>
      </c>
      <c r="C57" s="373" t="s">
        <v>63</v>
      </c>
      <c r="D57" s="325"/>
      <c r="E57" s="187"/>
      <c r="F57" s="89" t="s">
        <v>103</v>
      </c>
      <c r="G57" s="95"/>
      <c r="H57" s="95"/>
      <c r="I57" s="95"/>
      <c r="J57" s="187"/>
      <c r="K57" s="187"/>
      <c r="L57" s="325"/>
      <c r="M57" s="186"/>
      <c r="N57" s="190"/>
      <c r="O57" s="185"/>
      <c r="P57" s="36"/>
      <c r="Q57" s="36"/>
      <c r="R57" s="36"/>
      <c r="S57" s="36"/>
      <c r="T57" s="36"/>
      <c r="U57" s="36"/>
    </row>
    <row r="58" spans="1:21" s="188" customFormat="1" x14ac:dyDescent="0.25">
      <c r="A58" s="185"/>
      <c r="B58" s="326" t="s">
        <v>24</v>
      </c>
      <c r="C58" s="373" t="s">
        <v>67</v>
      </c>
      <c r="D58" s="325"/>
      <c r="E58" s="187"/>
      <c r="F58" s="186" t="s">
        <v>25</v>
      </c>
      <c r="G58" s="383">
        <f t="shared" ref="G58:I68" si="0">SUMIF($C$55:$C$67,$F58,G$43:G$55)/(1-SUMIF($C$55:$C$67,"n/a",G$43:G$55))</f>
        <v>1.7955801104972375E-2</v>
      </c>
      <c r="H58" s="426">
        <f t="shared" si="0"/>
        <v>0.12236286919831225</v>
      </c>
      <c r="I58" s="384">
        <f t="shared" si="0"/>
        <v>0.80563947633434041</v>
      </c>
      <c r="J58" s="187"/>
      <c r="K58" s="187"/>
      <c r="L58" s="325"/>
      <c r="M58" s="186"/>
      <c r="N58" s="187"/>
      <c r="O58" s="185"/>
      <c r="P58" s="36"/>
      <c r="Q58" s="36"/>
      <c r="R58" s="36"/>
      <c r="S58" s="36"/>
      <c r="T58" s="36"/>
      <c r="U58" s="36"/>
    </row>
    <row r="59" spans="1:21" s="188" customFormat="1" x14ac:dyDescent="0.25">
      <c r="A59" s="185"/>
      <c r="B59" s="326" t="s">
        <v>26</v>
      </c>
      <c r="C59" s="373" t="s">
        <v>27</v>
      </c>
      <c r="D59" s="325"/>
      <c r="E59" s="187"/>
      <c r="F59" s="186" t="s">
        <v>28</v>
      </c>
      <c r="G59" s="385">
        <f t="shared" si="0"/>
        <v>2.3480662983425417E-2</v>
      </c>
      <c r="H59" s="427">
        <f t="shared" si="0"/>
        <v>2.3206751054852322E-2</v>
      </c>
      <c r="I59" s="386">
        <f t="shared" si="0"/>
        <v>7.0493454179254783E-3</v>
      </c>
      <c r="J59" s="187"/>
      <c r="K59" s="187"/>
      <c r="L59" s="325"/>
      <c r="M59" s="186"/>
      <c r="N59" s="187"/>
      <c r="O59" s="185"/>
      <c r="P59" s="36"/>
      <c r="Q59" s="36"/>
      <c r="R59" s="36"/>
      <c r="S59" s="36"/>
      <c r="T59" s="36"/>
      <c r="U59" s="36"/>
    </row>
    <row r="60" spans="1:21" s="188" customFormat="1" x14ac:dyDescent="0.25">
      <c r="A60" s="185"/>
      <c r="B60" s="326" t="s">
        <v>29</v>
      </c>
      <c r="C60" s="373" t="s">
        <v>65</v>
      </c>
      <c r="D60" s="187"/>
      <c r="E60" s="187"/>
      <c r="F60" s="186" t="s">
        <v>61</v>
      </c>
      <c r="G60" s="385">
        <f t="shared" si="0"/>
        <v>0.49723756906077349</v>
      </c>
      <c r="H60" s="427">
        <f t="shared" si="0"/>
        <v>0.18037974683544306</v>
      </c>
      <c r="I60" s="386">
        <f t="shared" si="0"/>
        <v>0</v>
      </c>
      <c r="J60" s="187"/>
      <c r="K60" s="187"/>
      <c r="L60" s="187"/>
      <c r="M60" s="186"/>
      <c r="N60" s="187"/>
      <c r="O60" s="185"/>
      <c r="P60" s="36"/>
      <c r="Q60" s="36"/>
      <c r="R60" s="36"/>
      <c r="S60" s="36"/>
      <c r="T60" s="36"/>
      <c r="U60" s="36"/>
    </row>
    <row r="61" spans="1:21" s="188" customFormat="1" x14ac:dyDescent="0.25">
      <c r="A61" s="185"/>
      <c r="B61" s="326" t="s">
        <v>30</v>
      </c>
      <c r="C61" s="373" t="s">
        <v>30</v>
      </c>
      <c r="D61" s="187"/>
      <c r="E61" s="187"/>
      <c r="F61" s="186" t="s">
        <v>63</v>
      </c>
      <c r="G61" s="385">
        <f t="shared" si="0"/>
        <v>0.10220994475138122</v>
      </c>
      <c r="H61" s="427">
        <f t="shared" si="0"/>
        <v>7.3839662447257398E-2</v>
      </c>
      <c r="I61" s="386">
        <f t="shared" si="0"/>
        <v>2.7190332326283987E-2</v>
      </c>
      <c r="J61" s="187"/>
      <c r="K61" s="187"/>
      <c r="L61" s="187"/>
      <c r="M61" s="186"/>
      <c r="N61" s="187"/>
      <c r="O61" s="185"/>
      <c r="P61" s="36"/>
      <c r="Q61" s="36"/>
      <c r="R61" s="36"/>
      <c r="S61" s="36"/>
      <c r="T61" s="36"/>
      <c r="U61" s="36"/>
    </row>
    <row r="62" spans="1:21" s="188" customFormat="1" x14ac:dyDescent="0.25">
      <c r="A62" s="185"/>
      <c r="B62" s="326" t="s">
        <v>31</v>
      </c>
      <c r="C62" s="373" t="s">
        <v>123</v>
      </c>
      <c r="D62" s="187"/>
      <c r="E62" s="187"/>
      <c r="F62" s="186" t="s">
        <v>67</v>
      </c>
      <c r="G62" s="385">
        <f t="shared" si="0"/>
        <v>4.1436464088397788E-3</v>
      </c>
      <c r="H62" s="427">
        <f t="shared" si="0"/>
        <v>0.13713080168776373</v>
      </c>
      <c r="I62" s="386">
        <f t="shared" si="0"/>
        <v>0.1188318227593152</v>
      </c>
      <c r="J62" s="187"/>
      <c r="K62" s="187"/>
      <c r="L62" s="187"/>
      <c r="M62" s="186"/>
      <c r="N62" s="187"/>
      <c r="O62" s="185"/>
      <c r="P62" s="36"/>
      <c r="Q62" s="36"/>
      <c r="R62" s="36"/>
      <c r="S62" s="36"/>
      <c r="T62" s="36"/>
      <c r="U62" s="36"/>
    </row>
    <row r="63" spans="1:21" s="188" customFormat="1" x14ac:dyDescent="0.25">
      <c r="A63" s="185"/>
      <c r="B63" s="326" t="s">
        <v>33</v>
      </c>
      <c r="C63" s="373" t="s">
        <v>124</v>
      </c>
      <c r="D63" s="187"/>
      <c r="E63" s="187"/>
      <c r="F63" s="186" t="s">
        <v>65</v>
      </c>
      <c r="G63" s="385">
        <f t="shared" si="0"/>
        <v>0</v>
      </c>
      <c r="H63" s="427">
        <f t="shared" si="0"/>
        <v>4.2194092827004225E-3</v>
      </c>
      <c r="I63" s="386">
        <f t="shared" si="0"/>
        <v>0</v>
      </c>
      <c r="J63" s="187"/>
      <c r="K63" s="187"/>
      <c r="L63" s="187"/>
      <c r="M63" s="186"/>
      <c r="N63" s="187"/>
      <c r="O63" s="185"/>
      <c r="P63" s="36"/>
      <c r="Q63" s="36"/>
      <c r="R63" s="36"/>
      <c r="S63" s="36"/>
      <c r="T63" s="36"/>
      <c r="U63" s="36"/>
    </row>
    <row r="64" spans="1:21" s="188" customFormat="1" x14ac:dyDescent="0.25">
      <c r="A64" s="185"/>
      <c r="B64" s="326" t="s">
        <v>28</v>
      </c>
      <c r="C64" s="373" t="s">
        <v>28</v>
      </c>
      <c r="D64" s="187"/>
      <c r="E64" s="187"/>
      <c r="F64" s="186" t="s">
        <v>20</v>
      </c>
      <c r="G64" s="385">
        <f t="shared" si="0"/>
        <v>0.15055248618784531</v>
      </c>
      <c r="H64" s="427">
        <f t="shared" si="0"/>
        <v>0.19831223628691985</v>
      </c>
      <c r="I64" s="386">
        <f t="shared" si="0"/>
        <v>8.0563947633434038E-3</v>
      </c>
      <c r="J64" s="187"/>
      <c r="K64" s="187"/>
      <c r="L64" s="187"/>
      <c r="M64" s="186"/>
      <c r="N64" s="187"/>
      <c r="O64" s="185"/>
      <c r="P64" s="36"/>
      <c r="Q64" s="36"/>
      <c r="R64" s="36"/>
      <c r="S64" s="36"/>
      <c r="T64" s="36"/>
      <c r="U64" s="36"/>
    </row>
    <row r="65" spans="1:21" s="188" customFormat="1" ht="12.75" customHeight="1" x14ac:dyDescent="0.25">
      <c r="A65" s="185"/>
      <c r="B65" s="326" t="s">
        <v>34</v>
      </c>
      <c r="C65" s="391" t="s">
        <v>532</v>
      </c>
      <c r="D65" s="187"/>
      <c r="E65" s="187"/>
      <c r="F65" s="186" t="s">
        <v>123</v>
      </c>
      <c r="G65" s="385">
        <f t="shared" si="0"/>
        <v>5.3867403314917128E-2</v>
      </c>
      <c r="H65" s="427">
        <f t="shared" si="0"/>
        <v>7.805907172995781E-2</v>
      </c>
      <c r="I65" s="386">
        <f t="shared" si="0"/>
        <v>1.309164149043303E-2</v>
      </c>
      <c r="J65" s="187"/>
      <c r="K65" s="187"/>
      <c r="L65" s="187"/>
      <c r="M65" s="186"/>
      <c r="N65" s="187"/>
      <c r="O65" s="185"/>
      <c r="P65" s="36"/>
      <c r="Q65" s="36"/>
      <c r="R65" s="36"/>
      <c r="S65" s="36"/>
      <c r="T65" s="36"/>
      <c r="U65" s="36"/>
    </row>
    <row r="66" spans="1:21" s="188" customFormat="1" x14ac:dyDescent="0.25">
      <c r="A66" s="185"/>
      <c r="B66" s="326" t="s">
        <v>36</v>
      </c>
      <c r="C66" s="373" t="s">
        <v>25</v>
      </c>
      <c r="D66" s="187"/>
      <c r="E66" s="187"/>
      <c r="F66" s="186" t="s">
        <v>124</v>
      </c>
      <c r="G66" s="385">
        <f t="shared" si="0"/>
        <v>7.4585635359116026E-2</v>
      </c>
      <c r="H66" s="427">
        <f t="shared" si="0"/>
        <v>9.2827004219409287E-2</v>
      </c>
      <c r="I66" s="386">
        <f t="shared" si="0"/>
        <v>6.0422960725075529E-3</v>
      </c>
      <c r="J66" s="187"/>
      <c r="K66" s="187"/>
      <c r="L66" s="187"/>
      <c r="M66" s="186"/>
      <c r="N66" s="187"/>
      <c r="O66" s="185"/>
      <c r="P66" s="36"/>
      <c r="Q66" s="36"/>
      <c r="R66" s="36"/>
      <c r="S66" s="36"/>
      <c r="T66" s="36"/>
      <c r="U66" s="36"/>
    </row>
    <row r="67" spans="1:21" s="188" customFormat="1" x14ac:dyDescent="0.25">
      <c r="A67" s="185"/>
      <c r="B67" s="296" t="s">
        <v>27</v>
      </c>
      <c r="C67" s="440" t="s">
        <v>107</v>
      </c>
      <c r="D67" s="187"/>
      <c r="E67" s="187"/>
      <c r="F67" s="186" t="s">
        <v>30</v>
      </c>
      <c r="G67" s="385">
        <f t="shared" si="0"/>
        <v>3.8674033149171276E-2</v>
      </c>
      <c r="H67" s="427">
        <f t="shared" si="0"/>
        <v>2.1097046413502112E-2</v>
      </c>
      <c r="I67" s="386">
        <f t="shared" si="0"/>
        <v>1.0070493454179255E-3</v>
      </c>
      <c r="J67" s="187"/>
      <c r="K67" s="187"/>
      <c r="L67" s="187"/>
      <c r="M67" s="186"/>
      <c r="N67" s="187"/>
      <c r="O67" s="185"/>
      <c r="P67" s="36"/>
      <c r="Q67" s="36"/>
      <c r="R67" s="36"/>
      <c r="S67" s="36"/>
      <c r="T67" s="36"/>
      <c r="U67" s="36"/>
    </row>
    <row r="68" spans="1:21" s="188" customFormat="1" x14ac:dyDescent="0.25">
      <c r="A68" s="185"/>
      <c r="B68" s="186"/>
      <c r="C68" s="187"/>
      <c r="D68" s="187"/>
      <c r="E68" s="187"/>
      <c r="F68" s="186" t="s">
        <v>27</v>
      </c>
      <c r="G68" s="387">
        <f t="shared" si="0"/>
        <v>3.7292817679558013E-2</v>
      </c>
      <c r="H68" s="428">
        <f t="shared" si="0"/>
        <v>6.8565400843881866E-2</v>
      </c>
      <c r="I68" s="388">
        <f t="shared" si="0"/>
        <v>1.309164149043303E-2</v>
      </c>
      <c r="J68" s="187"/>
      <c r="K68" s="187"/>
      <c r="L68" s="187"/>
      <c r="M68" s="186"/>
      <c r="N68" s="187"/>
      <c r="O68" s="185"/>
      <c r="P68" s="36"/>
      <c r="Q68" s="36"/>
      <c r="R68" s="36"/>
      <c r="S68" s="36"/>
      <c r="T68" s="36"/>
      <c r="U68" s="36"/>
    </row>
    <row r="69" spans="1:21" s="188" customFormat="1" x14ac:dyDescent="0.25">
      <c r="A69" s="185"/>
      <c r="B69" s="186"/>
      <c r="C69" s="187"/>
      <c r="D69" s="187"/>
      <c r="E69" s="187"/>
      <c r="F69" s="96" t="s">
        <v>37</v>
      </c>
      <c r="G69" s="327">
        <f>SUM(G57:G68)</f>
        <v>1</v>
      </c>
      <c r="H69" s="327">
        <f>SUM(H57:H68)</f>
        <v>1</v>
      </c>
      <c r="I69" s="327">
        <f>SUM(I57:I68)</f>
        <v>1</v>
      </c>
      <c r="J69" s="187"/>
      <c r="K69" s="187"/>
      <c r="L69" s="187"/>
      <c r="M69" s="186"/>
      <c r="N69" s="187"/>
      <c r="O69" s="185"/>
      <c r="P69" s="36"/>
      <c r="Q69" s="36"/>
      <c r="R69" s="36"/>
      <c r="S69" s="36"/>
      <c r="T69" s="36"/>
      <c r="U69" s="36"/>
    </row>
    <row r="70" spans="1:21" s="188" customFormat="1" x14ac:dyDescent="0.25">
      <c r="A70" s="185"/>
      <c r="B70" s="194"/>
      <c r="M70" s="194"/>
      <c r="O70" s="185"/>
      <c r="P70" s="36"/>
      <c r="Q70" s="36"/>
      <c r="R70" s="36"/>
      <c r="S70" s="36"/>
      <c r="T70" s="36"/>
      <c r="U70" s="36"/>
    </row>
    <row r="71" spans="1:21" s="188" customFormat="1" x14ac:dyDescent="0.25">
      <c r="A71" s="185"/>
      <c r="B71" s="97" t="s">
        <v>130</v>
      </c>
      <c r="C71" s="37" t="s">
        <v>535</v>
      </c>
      <c r="F71" s="2" t="s">
        <v>103</v>
      </c>
      <c r="G71" s="34" t="s">
        <v>16</v>
      </c>
      <c r="H71" s="34" t="s">
        <v>17</v>
      </c>
      <c r="I71" s="34" t="s">
        <v>18</v>
      </c>
      <c r="M71" s="2679" t="s">
        <v>393</v>
      </c>
      <c r="N71" s="2586" t="s">
        <v>427</v>
      </c>
      <c r="O71" s="185"/>
      <c r="P71" s="36"/>
      <c r="Q71" s="36"/>
      <c r="R71" s="36"/>
      <c r="S71" s="36"/>
      <c r="T71" s="36"/>
      <c r="U71" s="36"/>
    </row>
    <row r="72" spans="1:21" s="188" customFormat="1" x14ac:dyDescent="0.25">
      <c r="A72" s="185"/>
      <c r="B72" s="193"/>
      <c r="F72" s="194" t="s">
        <v>25</v>
      </c>
      <c r="G72" s="609">
        <f t="shared" ref="G72:I82" si="1">G58*G$37</f>
        <v>33261.756906077346</v>
      </c>
      <c r="H72" s="610">
        <f t="shared" si="1"/>
        <v>166699.41518987343</v>
      </c>
      <c r="I72" s="611">
        <f t="shared" si="1"/>
        <v>731701.43001007056</v>
      </c>
      <c r="M72" s="2680"/>
      <c r="N72" s="2587"/>
      <c r="O72" s="185"/>
      <c r="P72" s="36"/>
      <c r="Q72" s="36"/>
      <c r="R72" s="36"/>
      <c r="S72" s="36"/>
      <c r="T72" s="36"/>
      <c r="U72" s="36"/>
    </row>
    <row r="73" spans="1:21" s="188" customFormat="1" x14ac:dyDescent="0.25">
      <c r="A73" s="185"/>
      <c r="B73" s="194"/>
      <c r="C73" s="199"/>
      <c r="D73" s="199"/>
      <c r="F73" s="194" t="s">
        <v>28</v>
      </c>
      <c r="G73" s="612">
        <f t="shared" si="1"/>
        <v>43496.143646408847</v>
      </c>
      <c r="H73" s="309">
        <f t="shared" si="1"/>
        <v>31615.406329113921</v>
      </c>
      <c r="I73" s="613">
        <f t="shared" si="1"/>
        <v>6402.3875125881168</v>
      </c>
      <c r="L73" s="199"/>
      <c r="M73" s="2681"/>
      <c r="N73" s="2588"/>
      <c r="O73" s="185"/>
      <c r="P73" s="36"/>
      <c r="Q73" s="36"/>
      <c r="R73" s="36"/>
      <c r="S73" s="36"/>
      <c r="T73" s="36"/>
      <c r="U73" s="36"/>
    </row>
    <row r="74" spans="1:21" s="188" customFormat="1" x14ac:dyDescent="0.25">
      <c r="A74" s="185"/>
      <c r="B74" s="194"/>
      <c r="C74" s="199"/>
      <c r="D74" s="199"/>
      <c r="F74" s="194" t="s">
        <v>61</v>
      </c>
      <c r="G74" s="612">
        <f t="shared" si="1"/>
        <v>921094.80662983423</v>
      </c>
      <c r="H74" s="309">
        <f t="shared" si="1"/>
        <v>245737.93101265823</v>
      </c>
      <c r="I74" s="613">
        <f t="shared" si="1"/>
        <v>0</v>
      </c>
      <c r="L74" s="199"/>
      <c r="M74" s="113" t="s">
        <v>100</v>
      </c>
      <c r="N74" s="38" t="s">
        <v>102</v>
      </c>
      <c r="O74" s="185"/>
      <c r="P74" s="36"/>
      <c r="Q74" s="36"/>
      <c r="R74" s="36"/>
      <c r="S74" s="36"/>
      <c r="T74" s="36"/>
      <c r="U74" s="36"/>
    </row>
    <row r="75" spans="1:21" s="188" customFormat="1" x14ac:dyDescent="0.25">
      <c r="A75" s="185"/>
      <c r="B75" s="193"/>
      <c r="F75" s="194" t="s">
        <v>63</v>
      </c>
      <c r="G75" s="612">
        <f t="shared" si="1"/>
        <v>189336.15469613261</v>
      </c>
      <c r="H75" s="309">
        <f t="shared" si="1"/>
        <v>100594.47468354431</v>
      </c>
      <c r="I75" s="613">
        <f t="shared" si="1"/>
        <v>24694.923262839879</v>
      </c>
      <c r="M75" s="194"/>
      <c r="O75" s="185"/>
      <c r="P75" s="36"/>
      <c r="Q75" s="36"/>
      <c r="R75" s="36"/>
      <c r="S75" s="36"/>
      <c r="T75" s="36"/>
      <c r="U75" s="36"/>
    </row>
    <row r="76" spans="1:21" s="188" customFormat="1" x14ac:dyDescent="0.25">
      <c r="A76" s="185"/>
      <c r="B76" s="194"/>
      <c r="F76" s="194" t="s">
        <v>67</v>
      </c>
      <c r="G76" s="612">
        <f t="shared" si="1"/>
        <v>7675.790055248618</v>
      </c>
      <c r="H76" s="309">
        <f t="shared" si="1"/>
        <v>186818.31012658228</v>
      </c>
      <c r="I76" s="613">
        <f t="shared" si="1"/>
        <v>107925.96092648539</v>
      </c>
      <c r="M76" s="194"/>
      <c r="O76" s="185"/>
      <c r="P76" s="36"/>
      <c r="Q76" s="36"/>
      <c r="R76" s="36"/>
      <c r="S76" s="36"/>
      <c r="T76" s="36"/>
      <c r="U76" s="36"/>
    </row>
    <row r="77" spans="1:21" s="188" customFormat="1" x14ac:dyDescent="0.25">
      <c r="A77" s="185"/>
      <c r="B77" s="194"/>
      <c r="F77" s="194" t="s">
        <v>65</v>
      </c>
      <c r="G77" s="612">
        <f t="shared" si="1"/>
        <v>0</v>
      </c>
      <c r="H77" s="309">
        <f t="shared" si="1"/>
        <v>5748.2556962025319</v>
      </c>
      <c r="I77" s="613">
        <f t="shared" si="1"/>
        <v>0</v>
      </c>
      <c r="M77" s="194"/>
      <c r="O77" s="185"/>
      <c r="P77" s="36"/>
      <c r="Q77" s="36"/>
      <c r="R77" s="36"/>
      <c r="S77" s="36"/>
      <c r="T77" s="36"/>
      <c r="U77" s="36"/>
    </row>
    <row r="78" spans="1:21" s="188" customFormat="1" x14ac:dyDescent="0.25">
      <c r="A78" s="185"/>
      <c r="B78" s="194"/>
      <c r="F78" s="194" t="s">
        <v>20</v>
      </c>
      <c r="G78" s="612">
        <f t="shared" si="1"/>
        <v>278887.03867403313</v>
      </c>
      <c r="H78" s="309">
        <f t="shared" si="1"/>
        <v>270168.01772151899</v>
      </c>
      <c r="I78" s="613">
        <f t="shared" si="1"/>
        <v>7317.0143001007054</v>
      </c>
      <c r="M78" s="194"/>
      <c r="O78" s="185"/>
      <c r="P78" s="36"/>
      <c r="Q78" s="36"/>
      <c r="R78" s="36"/>
      <c r="S78" s="36"/>
      <c r="T78" s="36"/>
      <c r="U78" s="36"/>
    </row>
    <row r="79" spans="1:21" s="188" customFormat="1" x14ac:dyDescent="0.25">
      <c r="A79" s="185"/>
      <c r="B79" s="194"/>
      <c r="F79" s="194" t="s">
        <v>123</v>
      </c>
      <c r="G79" s="612">
        <f t="shared" si="1"/>
        <v>99785.270718232045</v>
      </c>
      <c r="H79" s="309">
        <f t="shared" si="1"/>
        <v>106342.73037974683</v>
      </c>
      <c r="I79" s="613">
        <f t="shared" si="1"/>
        <v>11890.148237663645</v>
      </c>
      <c r="M79" s="194"/>
      <c r="O79" s="185"/>
      <c r="P79" s="36"/>
      <c r="Q79" s="36"/>
      <c r="R79" s="36"/>
      <c r="S79" s="36"/>
      <c r="T79" s="36"/>
      <c r="U79" s="36"/>
    </row>
    <row r="80" spans="1:21" s="188" customFormat="1" x14ac:dyDescent="0.25">
      <c r="A80" s="185"/>
      <c r="B80" s="194"/>
      <c r="F80" s="194" t="s">
        <v>124</v>
      </c>
      <c r="G80" s="612">
        <f t="shared" si="1"/>
        <v>138164.22099447515</v>
      </c>
      <c r="H80" s="309">
        <f t="shared" si="1"/>
        <v>126461.62531645568</v>
      </c>
      <c r="I80" s="613">
        <f t="shared" si="1"/>
        <v>5487.7607250755291</v>
      </c>
      <c r="M80" s="194"/>
      <c r="O80" s="185"/>
      <c r="P80" s="36"/>
      <c r="Q80" s="36"/>
      <c r="R80" s="36"/>
      <c r="S80" s="36"/>
      <c r="T80" s="36"/>
      <c r="U80" s="36"/>
    </row>
    <row r="81" spans="1:21" s="188" customFormat="1" x14ac:dyDescent="0.25">
      <c r="A81" s="185"/>
      <c r="B81" s="194"/>
      <c r="F81" s="194" t="s">
        <v>30</v>
      </c>
      <c r="G81" s="612">
        <f t="shared" si="1"/>
        <v>71640.707182320446</v>
      </c>
      <c r="H81" s="309">
        <f t="shared" si="1"/>
        <v>28741.278481012658</v>
      </c>
      <c r="I81" s="613">
        <f t="shared" si="1"/>
        <v>914.62678751258818</v>
      </c>
      <c r="M81" s="194"/>
      <c r="O81" s="185"/>
      <c r="P81" s="36"/>
      <c r="Q81" s="36"/>
      <c r="R81" s="36"/>
      <c r="S81" s="36"/>
      <c r="T81" s="36"/>
      <c r="U81" s="36"/>
    </row>
    <row r="82" spans="1:21" s="188" customFormat="1" x14ac:dyDescent="0.25">
      <c r="A82" s="185"/>
      <c r="B82" s="194"/>
      <c r="F82" s="194" t="s">
        <v>27</v>
      </c>
      <c r="G82" s="614">
        <f t="shared" si="1"/>
        <v>69082.110497237576</v>
      </c>
      <c r="H82" s="615">
        <f t="shared" si="1"/>
        <v>93409.155063291139</v>
      </c>
      <c r="I82" s="616">
        <f t="shared" si="1"/>
        <v>11890.148237663645</v>
      </c>
      <c r="M82" s="194"/>
      <c r="O82" s="185"/>
      <c r="P82" s="36"/>
      <c r="Q82" s="36"/>
      <c r="R82" s="36"/>
      <c r="S82" s="36"/>
      <c r="T82" s="36"/>
      <c r="U82" s="36"/>
    </row>
    <row r="83" spans="1:21" s="188" customFormat="1" x14ac:dyDescent="0.25">
      <c r="A83" s="185"/>
      <c r="B83" s="194"/>
      <c r="F83" s="33" t="s">
        <v>37</v>
      </c>
      <c r="G83" s="328" t="str">
        <f>IF(SUM(G72:G82)=G37,"Ok","Error")</f>
        <v>Ok</v>
      </c>
      <c r="H83" s="328" t="str">
        <f>IF(SUM(H72:H82)=H37,"Ok","Error")</f>
        <v>Ok</v>
      </c>
      <c r="I83" s="328" t="str">
        <f>IF(SUM(I72:I82)=I37,"Ok","Error")</f>
        <v>Ok</v>
      </c>
      <c r="M83" s="194"/>
      <c r="O83" s="185"/>
      <c r="P83" s="36"/>
      <c r="Q83" s="36"/>
      <c r="R83" s="36"/>
      <c r="S83" s="36"/>
      <c r="T83" s="36"/>
      <c r="U83" s="36"/>
    </row>
    <row r="84" spans="1:21" s="188" customFormat="1" x14ac:dyDescent="0.25">
      <c r="A84" s="185"/>
      <c r="B84" s="186"/>
      <c r="C84" s="187"/>
      <c r="D84" s="187"/>
      <c r="E84" s="187"/>
      <c r="F84" s="96"/>
      <c r="G84" s="620"/>
      <c r="H84" s="620"/>
      <c r="I84" s="620"/>
      <c r="J84" s="187"/>
      <c r="K84" s="187"/>
      <c r="L84" s="187"/>
      <c r="M84" s="186"/>
      <c r="N84" s="187"/>
      <c r="O84" s="185"/>
      <c r="P84" s="36"/>
      <c r="Q84" s="36"/>
      <c r="R84" s="36"/>
      <c r="S84" s="36"/>
      <c r="T84" s="36"/>
      <c r="U84" s="36"/>
    </row>
    <row r="85" spans="1:21" s="188" customFormat="1" x14ac:dyDescent="0.25">
      <c r="A85" s="185"/>
      <c r="B85" s="100" t="s">
        <v>132</v>
      </c>
      <c r="C85" s="94" t="s">
        <v>707</v>
      </c>
      <c r="D85" s="187"/>
      <c r="E85" s="187"/>
      <c r="F85" s="89" t="s">
        <v>103</v>
      </c>
      <c r="G85" s="95" t="s">
        <v>16</v>
      </c>
      <c r="H85" s="95" t="s">
        <v>17</v>
      </c>
      <c r="I85" s="95" t="s">
        <v>18</v>
      </c>
      <c r="J85" s="187"/>
      <c r="K85" s="187"/>
      <c r="L85" s="187"/>
      <c r="M85" s="2609" t="s">
        <v>393</v>
      </c>
      <c r="N85" s="2612" t="s">
        <v>713</v>
      </c>
      <c r="O85" s="185"/>
      <c r="P85" s="36"/>
      <c r="Q85" s="36"/>
      <c r="R85" s="36"/>
      <c r="S85" s="36"/>
      <c r="T85" s="36"/>
      <c r="U85" s="36"/>
    </row>
    <row r="86" spans="1:21" s="188" customFormat="1" x14ac:dyDescent="0.25">
      <c r="A86" s="185"/>
      <c r="B86" s="186"/>
      <c r="C86" s="187"/>
      <c r="D86" s="187"/>
      <c r="E86" s="187"/>
      <c r="F86" s="186" t="s">
        <v>25</v>
      </c>
      <c r="G86" s="990">
        <f t="shared" ref="G86:I87" si="2">G72</f>
        <v>33261.756906077346</v>
      </c>
      <c r="H86" s="991">
        <f t="shared" si="2"/>
        <v>166699.41518987343</v>
      </c>
      <c r="I86" s="992">
        <f t="shared" si="2"/>
        <v>731701.43001007056</v>
      </c>
      <c r="J86" s="187"/>
      <c r="K86" s="187"/>
      <c r="L86" s="187"/>
      <c r="M86" s="2610"/>
      <c r="N86" s="2613"/>
      <c r="O86" s="185"/>
      <c r="P86" s="36"/>
      <c r="Q86" s="36"/>
      <c r="R86" s="36"/>
      <c r="S86" s="36"/>
      <c r="T86" s="36"/>
      <c r="U86" s="36"/>
    </row>
    <row r="87" spans="1:21" s="188" customFormat="1" x14ac:dyDescent="0.25">
      <c r="A87" s="185"/>
      <c r="B87" s="186"/>
      <c r="C87" s="187"/>
      <c r="D87" s="187"/>
      <c r="E87" s="187"/>
      <c r="F87" s="186" t="s">
        <v>28</v>
      </c>
      <c r="G87" s="993">
        <f t="shared" si="2"/>
        <v>43496.143646408847</v>
      </c>
      <c r="H87" s="621">
        <f t="shared" si="2"/>
        <v>31615.406329113921</v>
      </c>
      <c r="I87" s="994">
        <f t="shared" si="2"/>
        <v>6402.3875125881168</v>
      </c>
      <c r="J87" s="187"/>
      <c r="K87" s="187"/>
      <c r="L87" s="187"/>
      <c r="M87" s="2611"/>
      <c r="N87" s="2614"/>
      <c r="O87" s="185"/>
      <c r="P87" s="36"/>
      <c r="Q87" s="36"/>
      <c r="R87" s="36"/>
      <c r="S87" s="36"/>
      <c r="T87" s="36"/>
      <c r="U87" s="36"/>
    </row>
    <row r="88" spans="1:21" s="188" customFormat="1" x14ac:dyDescent="0.25">
      <c r="A88" s="185"/>
      <c r="B88" s="186"/>
      <c r="C88" s="187"/>
      <c r="D88" s="187"/>
      <c r="E88" s="187"/>
      <c r="F88" s="186" t="s">
        <v>61</v>
      </c>
      <c r="G88" s="993">
        <f>G74-'Other national data'!G347</f>
        <v>642804.06297812716</v>
      </c>
      <c r="H88" s="621">
        <f>H74-'Other national data'!H347</f>
        <v>171493.03127735067</v>
      </c>
      <c r="I88" s="994">
        <f>I74-'Other national data'!I347</f>
        <v>0</v>
      </c>
      <c r="J88" s="187"/>
      <c r="K88" s="187"/>
      <c r="L88" s="187"/>
      <c r="M88" s="114" t="s">
        <v>100</v>
      </c>
      <c r="N88" s="94" t="s">
        <v>102</v>
      </c>
      <c r="O88" s="185"/>
      <c r="P88" s="36"/>
      <c r="Q88" s="36"/>
      <c r="R88" s="36"/>
      <c r="S88" s="36"/>
      <c r="T88" s="36"/>
      <c r="U88" s="36"/>
    </row>
    <row r="89" spans="1:21" s="188" customFormat="1" x14ac:dyDescent="0.25">
      <c r="A89" s="185"/>
      <c r="B89" s="186"/>
      <c r="C89" s="187"/>
      <c r="D89" s="187"/>
      <c r="E89" s="187"/>
      <c r="F89" s="186" t="s">
        <v>63</v>
      </c>
      <c r="G89" s="993">
        <f>G75-'Other national data'!G348</f>
        <v>173332.59638891308</v>
      </c>
      <c r="H89" s="621">
        <f>H75-'Other national data'!H348</f>
        <v>92091.769304500791</v>
      </c>
      <c r="I89" s="994">
        <f>I75-'Other national data'!I348</f>
        <v>22607.595330340981</v>
      </c>
      <c r="J89" s="187"/>
      <c r="K89" s="187"/>
      <c r="L89" s="187"/>
      <c r="M89" s="186"/>
      <c r="N89" s="187"/>
      <c r="O89" s="185"/>
      <c r="P89" s="36"/>
      <c r="Q89" s="36"/>
      <c r="R89" s="36"/>
      <c r="S89" s="36"/>
      <c r="T89" s="36"/>
      <c r="U89" s="36"/>
    </row>
    <row r="90" spans="1:21" s="188" customFormat="1" x14ac:dyDescent="0.25">
      <c r="A90" s="185"/>
      <c r="B90" s="186"/>
      <c r="C90" s="187"/>
      <c r="D90" s="187"/>
      <c r="E90" s="187"/>
      <c r="F90" s="622" t="s">
        <v>67</v>
      </c>
      <c r="G90" s="993">
        <f>G76-'Other national data'!G349</f>
        <v>7082.2135682930921</v>
      </c>
      <c r="H90" s="621">
        <f>H76-'Other national data'!H349</f>
        <v>172371.46420899773</v>
      </c>
      <c r="I90" s="994">
        <f>I76-'Other national data'!I349</f>
        <v>99579.938917423598</v>
      </c>
      <c r="J90" s="187"/>
      <c r="K90" s="187"/>
      <c r="L90" s="187"/>
      <c r="M90" s="186"/>
      <c r="N90" s="187"/>
      <c r="O90" s="185"/>
      <c r="P90" s="36"/>
      <c r="Q90" s="36"/>
      <c r="R90" s="36"/>
      <c r="S90" s="36"/>
      <c r="T90" s="36"/>
      <c r="U90" s="36"/>
    </row>
    <row r="91" spans="1:21" s="188" customFormat="1" x14ac:dyDescent="0.25">
      <c r="A91" s="185"/>
      <c r="B91" s="186"/>
      <c r="C91" s="187"/>
      <c r="D91" s="187"/>
      <c r="E91" s="187"/>
      <c r="F91" s="622" t="s">
        <v>65</v>
      </c>
      <c r="G91" s="993">
        <f>G77-'Other national data'!G350</f>
        <v>0</v>
      </c>
      <c r="H91" s="621">
        <f>H77-'Other national data'!H350</f>
        <v>5171.2713769912662</v>
      </c>
      <c r="I91" s="994">
        <f>I77-'Other national data'!I350</f>
        <v>0</v>
      </c>
      <c r="J91" s="187"/>
      <c r="K91" s="187"/>
      <c r="L91" s="187"/>
      <c r="M91" s="186"/>
      <c r="N91" s="187"/>
      <c r="O91" s="185"/>
      <c r="P91" s="36"/>
      <c r="Q91" s="36"/>
      <c r="R91" s="36"/>
      <c r="S91" s="36"/>
      <c r="T91" s="36"/>
      <c r="U91" s="36"/>
    </row>
    <row r="92" spans="1:21" s="188" customFormat="1" x14ac:dyDescent="0.25">
      <c r="A92" s="185"/>
      <c r="B92" s="186"/>
      <c r="C92" s="187"/>
      <c r="D92" s="187"/>
      <c r="E92" s="187"/>
      <c r="F92" s="186" t="s">
        <v>20</v>
      </c>
      <c r="G92" s="993">
        <f>G78-'Other national data'!G351</f>
        <v>196967.34831668262</v>
      </c>
      <c r="H92" s="621">
        <f>H78-'Other national data'!H351</f>
        <v>190809.43418377958</v>
      </c>
      <c r="I92" s="994">
        <f>I78-'Other national data'!I351</f>
        <v>5167.7299566818238</v>
      </c>
      <c r="J92" s="187"/>
      <c r="K92" s="187"/>
      <c r="L92" s="187"/>
      <c r="M92" s="186"/>
      <c r="N92" s="187"/>
      <c r="O92" s="185"/>
      <c r="P92" s="36"/>
      <c r="Q92" s="36"/>
      <c r="R92" s="36"/>
      <c r="S92" s="36"/>
      <c r="T92" s="36"/>
      <c r="U92" s="36"/>
    </row>
    <row r="93" spans="1:21" s="188" customFormat="1" x14ac:dyDescent="0.25">
      <c r="A93" s="185"/>
      <c r="B93" s="186"/>
      <c r="C93" s="187"/>
      <c r="D93" s="187"/>
      <c r="E93" s="187"/>
      <c r="F93" s="186" t="s">
        <v>123</v>
      </c>
      <c r="G93" s="993">
        <f>G79</f>
        <v>99785.270718232045</v>
      </c>
      <c r="H93" s="621">
        <f t="shared" ref="H93:I95" si="3">H79</f>
        <v>106342.73037974683</v>
      </c>
      <c r="I93" s="994">
        <f t="shared" si="3"/>
        <v>11890.148237663645</v>
      </c>
      <c r="J93" s="187"/>
      <c r="K93" s="187"/>
      <c r="L93" s="187"/>
      <c r="M93" s="186"/>
      <c r="N93" s="187"/>
      <c r="O93" s="185"/>
      <c r="P93" s="36"/>
      <c r="Q93" s="36"/>
      <c r="R93" s="36"/>
      <c r="S93" s="36"/>
      <c r="T93" s="36"/>
      <c r="U93" s="36"/>
    </row>
    <row r="94" spans="1:21" s="188" customFormat="1" x14ac:dyDescent="0.25">
      <c r="A94" s="185"/>
      <c r="B94" s="186"/>
      <c r="C94" s="187"/>
      <c r="D94" s="187"/>
      <c r="E94" s="187"/>
      <c r="F94" s="186" t="s">
        <v>124</v>
      </c>
      <c r="G94" s="993">
        <f>G80</f>
        <v>138164.22099447515</v>
      </c>
      <c r="H94" s="621">
        <f t="shared" si="3"/>
        <v>126461.62531645568</v>
      </c>
      <c r="I94" s="994">
        <f t="shared" si="3"/>
        <v>5487.7607250755291</v>
      </c>
      <c r="J94" s="187"/>
      <c r="K94" s="187"/>
      <c r="L94" s="187"/>
      <c r="M94" s="186"/>
      <c r="N94" s="187"/>
      <c r="O94" s="185"/>
      <c r="P94" s="36"/>
      <c r="Q94" s="36"/>
      <c r="R94" s="36"/>
      <c r="S94" s="36"/>
      <c r="T94" s="36"/>
      <c r="U94" s="36"/>
    </row>
    <row r="95" spans="1:21" s="188" customFormat="1" x14ac:dyDescent="0.25">
      <c r="A95" s="185"/>
      <c r="B95" s="186"/>
      <c r="C95" s="187"/>
      <c r="D95" s="187"/>
      <c r="E95" s="187"/>
      <c r="F95" s="186" t="s">
        <v>30</v>
      </c>
      <c r="G95" s="993">
        <f>G81</f>
        <v>71640.707182320446</v>
      </c>
      <c r="H95" s="621">
        <f t="shared" si="3"/>
        <v>28741.278481012658</v>
      </c>
      <c r="I95" s="994">
        <f t="shared" si="3"/>
        <v>914.62678751258818</v>
      </c>
      <c r="J95" s="187"/>
      <c r="K95" s="187"/>
      <c r="L95" s="187"/>
      <c r="M95" s="186"/>
      <c r="N95" s="187"/>
      <c r="O95" s="185"/>
      <c r="P95" s="36"/>
      <c r="Q95" s="36"/>
      <c r="R95" s="36"/>
      <c r="S95" s="36"/>
      <c r="T95" s="36"/>
      <c r="U95" s="36"/>
    </row>
    <row r="96" spans="1:21" s="188" customFormat="1" x14ac:dyDescent="0.25">
      <c r="A96" s="185"/>
      <c r="B96" s="186"/>
      <c r="C96" s="187"/>
      <c r="D96" s="187"/>
      <c r="E96" s="187"/>
      <c r="F96" s="186" t="s">
        <v>27</v>
      </c>
      <c r="G96" s="995">
        <f>G82-'Other national data'!G352</f>
        <v>48893.607888575789</v>
      </c>
      <c r="H96" s="996">
        <f>H82-'Other national data'!H352</f>
        <v>66111.335742273804</v>
      </c>
      <c r="I96" s="997">
        <f>I82-'Other national data'!I352</f>
        <v>8415.3805013327365</v>
      </c>
      <c r="J96" s="187"/>
      <c r="K96" s="187"/>
      <c r="L96" s="187"/>
      <c r="M96" s="186"/>
      <c r="N96" s="187"/>
      <c r="O96" s="185"/>
      <c r="P96" s="36"/>
      <c r="Q96" s="36"/>
      <c r="R96" s="36"/>
      <c r="S96" s="36"/>
      <c r="T96" s="36"/>
      <c r="U96" s="36"/>
    </row>
    <row r="97" spans="1:21" s="188" customFormat="1" x14ac:dyDescent="0.25">
      <c r="A97" s="185"/>
      <c r="B97" s="186"/>
      <c r="C97" s="187"/>
      <c r="D97" s="187"/>
      <c r="E97" s="187"/>
      <c r="F97" s="96" t="s">
        <v>37</v>
      </c>
      <c r="G97" s="620" t="str">
        <f>IF(SUM(G86:G96)+SUM('Other national data'!G347:G352)=Vic!G37,"Ok","Error")</f>
        <v>Ok</v>
      </c>
      <c r="H97" s="620" t="str">
        <f>IF(SUM(H86:H96)+SUM('Other national data'!H347:H352)=Vic!H37,"Ok","Error")</f>
        <v>Ok</v>
      </c>
      <c r="I97" s="620" t="str">
        <f>IF(SUM(I86:I96)+SUM('Other national data'!I347:I352)=Vic!I37,"Ok","Error")</f>
        <v>Ok</v>
      </c>
      <c r="J97" s="187"/>
      <c r="K97" s="187"/>
      <c r="L97" s="187"/>
      <c r="M97" s="186"/>
      <c r="N97" s="187"/>
      <c r="O97" s="185"/>
      <c r="P97" s="36"/>
      <c r="Q97" s="36"/>
      <c r="R97" s="36"/>
      <c r="S97" s="36"/>
      <c r="T97" s="36"/>
      <c r="U97" s="36"/>
    </row>
    <row r="98" spans="1:21" ht="9" customHeight="1" x14ac:dyDescent="0.25">
      <c r="A98" s="130"/>
      <c r="B98" s="130"/>
      <c r="C98" s="130"/>
      <c r="D98" s="130"/>
      <c r="E98" s="130"/>
      <c r="F98" s="130"/>
      <c r="G98" s="130"/>
      <c r="H98" s="130"/>
      <c r="I98" s="130"/>
      <c r="J98" s="130"/>
      <c r="K98" s="130"/>
      <c r="L98" s="130"/>
      <c r="M98" s="130"/>
      <c r="N98" s="130"/>
      <c r="O98" s="130"/>
    </row>
    <row r="99" spans="1:21" ht="15.75" x14ac:dyDescent="0.25">
      <c r="A99" s="131"/>
      <c r="B99" s="131" t="s">
        <v>461</v>
      </c>
      <c r="C99" s="363" t="s">
        <v>570</v>
      </c>
      <c r="D99" s="131"/>
      <c r="E99" s="131"/>
      <c r="F99" s="131"/>
      <c r="G99" s="131"/>
      <c r="H99" s="131"/>
      <c r="I99" s="131"/>
      <c r="J99" s="131"/>
      <c r="K99" s="131"/>
      <c r="L99" s="131"/>
      <c r="M99" s="132"/>
      <c r="N99" s="131"/>
      <c r="O99" s="131"/>
    </row>
    <row r="100" spans="1:21" s="188" customFormat="1" x14ac:dyDescent="0.25">
      <c r="A100" s="201"/>
      <c r="B100" s="191"/>
      <c r="M100" s="194"/>
      <c r="O100" s="201"/>
      <c r="P100" s="36"/>
      <c r="Q100" s="36"/>
      <c r="R100" s="36"/>
      <c r="S100" s="36"/>
      <c r="T100" s="36"/>
      <c r="U100" s="36"/>
    </row>
    <row r="101" spans="1:21" s="188" customFormat="1" ht="25.5" x14ac:dyDescent="0.2">
      <c r="A101" s="201"/>
      <c r="B101" s="97" t="s">
        <v>125</v>
      </c>
      <c r="C101" s="37" t="s">
        <v>536</v>
      </c>
      <c r="D101" s="11"/>
      <c r="E101" s="11"/>
      <c r="F101" s="24" t="s">
        <v>105</v>
      </c>
      <c r="G101" s="24" t="s">
        <v>16</v>
      </c>
      <c r="H101" s="24" t="s">
        <v>17</v>
      </c>
      <c r="I101" s="24" t="s">
        <v>18</v>
      </c>
      <c r="J101" s="1561" t="s">
        <v>122</v>
      </c>
      <c r="K101" s="16"/>
      <c r="L101" s="11"/>
      <c r="M101" s="113" t="s">
        <v>104</v>
      </c>
      <c r="N101" s="37" t="s">
        <v>738</v>
      </c>
      <c r="O101" s="201"/>
      <c r="P101" s="36"/>
      <c r="Q101" s="36"/>
      <c r="R101" s="36"/>
      <c r="S101" s="36"/>
      <c r="T101" s="36"/>
      <c r="U101" s="36"/>
    </row>
    <row r="102" spans="1:21" s="188" customFormat="1" x14ac:dyDescent="0.25">
      <c r="A102" s="201"/>
      <c r="B102" s="801" t="s">
        <v>323</v>
      </c>
      <c r="C102" s="803" t="s">
        <v>325</v>
      </c>
      <c r="D102" s="11"/>
      <c r="E102" s="11"/>
      <c r="F102" s="194" t="s">
        <v>41</v>
      </c>
      <c r="G102" s="1432">
        <v>0</v>
      </c>
      <c r="H102" s="1433">
        <v>0</v>
      </c>
      <c r="I102" s="1434">
        <v>160128</v>
      </c>
      <c r="L102" s="11"/>
      <c r="M102" s="113" t="s">
        <v>100</v>
      </c>
      <c r="N102" s="37" t="s">
        <v>102</v>
      </c>
      <c r="O102" s="201"/>
      <c r="P102" s="1051">
        <f>IF(AND(ISNUMBER(G102),'Validn data - hide'!C409&gt;0),IF(G102/'Validn data - hide'!C409-1&gt;'Validn data - hide'!$L409,1,IF(G102/'Validn data - hide'!C409-1&lt;-'Validn data - hide'!$L409,-1,0)),0)</f>
        <v>-1</v>
      </c>
      <c r="Q102" s="1051">
        <f>IF(AND(ISNUMBER(H102),'Validn data - hide'!D409&gt;0),IF(H102/'Validn data - hide'!D409-1&gt;'Validn data - hide'!$L409,1,IF(H102/'Validn data - hide'!D409-1&lt;-'Validn data - hide'!$L409,-1,0)),0)</f>
        <v>-1</v>
      </c>
      <c r="R102" s="1051">
        <f>IF(AND(ISNUMBER(I102),'Validn data - hide'!E409&gt;0),IF(I102/'Validn data - hide'!E409-1&gt;'Validn data - hide'!$L409,1,IF(I102/'Validn data - hide'!E409-1&lt;-'Validn data - hide'!$L409,-1,0)),0)</f>
        <v>-1</v>
      </c>
      <c r="S102" s="36"/>
      <c r="T102" s="36"/>
      <c r="U102" s="36"/>
    </row>
    <row r="103" spans="1:21" s="188" customFormat="1" x14ac:dyDescent="0.25">
      <c r="A103" s="201"/>
      <c r="B103" s="802"/>
      <c r="C103" s="2596" t="s">
        <v>109</v>
      </c>
      <c r="D103" s="11"/>
      <c r="E103" s="11"/>
      <c r="F103" s="194" t="s">
        <v>43</v>
      </c>
      <c r="G103" s="1435">
        <v>15</v>
      </c>
      <c r="H103" s="1436">
        <v>514</v>
      </c>
      <c r="I103" s="1437">
        <v>325211</v>
      </c>
      <c r="L103" s="11"/>
      <c r="M103" s="801" t="s">
        <v>10</v>
      </c>
      <c r="N103" s="2598" t="s">
        <v>1031</v>
      </c>
      <c r="O103" s="201"/>
      <c r="P103" s="1051">
        <f>IF(AND(ISNUMBER(G103),'Validn data - hide'!C410&gt;0),IF(G103/'Validn data - hide'!C410-1&gt;'Validn data - hide'!$L410,1,IF(G103/'Validn data - hide'!C410-1&lt;-'Validn data - hide'!$L410,-1,0)),0)</f>
        <v>-1</v>
      </c>
      <c r="Q103" s="1051">
        <f>IF(AND(ISNUMBER(H103),'Validn data - hide'!D410&gt;0),IF(H103/'Validn data - hide'!D410-1&gt;'Validn data - hide'!$L410,1,IF(H103/'Validn data - hide'!D410-1&lt;-'Validn data - hide'!$L410,-1,0)),0)</f>
        <v>-1</v>
      </c>
      <c r="R103" s="1051">
        <f>IF(AND(ISNUMBER(I103),'Validn data - hide'!E410&gt;0),IF(I103/'Validn data - hide'!E410-1&gt;'Validn data - hide'!$L410,1,IF(I103/'Validn data - hide'!E410-1&lt;-'Validn data - hide'!$L410,-1,0)),0)</f>
        <v>0</v>
      </c>
      <c r="S103" s="36"/>
      <c r="T103" s="36"/>
      <c r="U103" s="36"/>
    </row>
    <row r="104" spans="1:21" s="188" customFormat="1" x14ac:dyDescent="0.25">
      <c r="A104" s="201"/>
      <c r="B104" s="236"/>
      <c r="C104" s="2597"/>
      <c r="D104" s="11"/>
      <c r="E104" s="11"/>
      <c r="F104" s="194" t="s">
        <v>45</v>
      </c>
      <c r="G104" s="1435">
        <v>1440</v>
      </c>
      <c r="H104" s="1436">
        <v>7212</v>
      </c>
      <c r="I104" s="1437">
        <v>1729672</v>
      </c>
      <c r="L104" s="11"/>
      <c r="M104" s="221"/>
      <c r="N104" s="2600"/>
      <c r="O104" s="201"/>
      <c r="P104" s="1051">
        <f>IF(AND(ISNUMBER(G104),'Validn data - hide'!C411&gt;0),IF(G104/'Validn data - hide'!C411-1&gt;'Validn data - hide'!$L411,1,IF(G104/'Validn data - hide'!C411-1&lt;-'Validn data - hide'!$L411,-1,0)),0)</f>
        <v>-1</v>
      </c>
      <c r="Q104" s="1051">
        <f>IF(AND(ISNUMBER(H104),'Validn data - hide'!D411&gt;0),IF(H104/'Validn data - hide'!D411-1&gt;'Validn data - hide'!$L411,1,IF(H104/'Validn data - hide'!D411-1&lt;-'Validn data - hide'!$L411,-1,0)),0)</f>
        <v>-1</v>
      </c>
      <c r="R104" s="1051">
        <f>IF(AND(ISNUMBER(I104),'Validn data - hide'!E411&gt;0),IF(I104/'Validn data - hide'!E411-1&gt;'Validn data - hide'!$L411,1,IF(I104/'Validn data - hide'!E411-1&lt;-'Validn data - hide'!$L411,-1,0)),0)</f>
        <v>0</v>
      </c>
      <c r="S104" s="36"/>
      <c r="T104" s="36"/>
      <c r="U104" s="36"/>
    </row>
    <row r="105" spans="1:21" s="188" customFormat="1" x14ac:dyDescent="0.25">
      <c r="A105" s="201"/>
      <c r="B105" s="802"/>
      <c r="C105" s="2596" t="s">
        <v>347</v>
      </c>
      <c r="D105" s="11"/>
      <c r="E105" s="11"/>
      <c r="F105" s="194" t="s">
        <v>106</v>
      </c>
      <c r="G105" s="1438">
        <v>36</v>
      </c>
      <c r="H105" s="1439">
        <v>16907</v>
      </c>
      <c r="I105" s="1437">
        <v>982000</v>
      </c>
      <c r="L105" s="11"/>
      <c r="M105" s="113" t="s">
        <v>352</v>
      </c>
      <c r="N105" s="1329" t="s">
        <v>1029</v>
      </c>
      <c r="O105" s="201"/>
      <c r="P105" s="1051">
        <f>IF(AND(ISNUMBER(G105),'Validn data - hide'!C412&gt;0),IF(G105/'Validn data - hide'!C412-1&gt;'Validn data - hide'!$L412,1,IF(G105/'Validn data - hide'!C412-1&lt;-'Validn data - hide'!$L412,-1,0)),0)</f>
        <v>-1</v>
      </c>
      <c r="Q105" s="1051">
        <f>IF(AND(ISNUMBER(H105),'Validn data - hide'!D412&gt;0),IF(H105/'Validn data - hide'!D412-1&gt;'Validn data - hide'!$L412,1,IF(H105/'Validn data - hide'!D412-1&lt;-'Validn data - hide'!$L412,-1,0)),0)</f>
        <v>1</v>
      </c>
      <c r="R105" s="1051">
        <f>IF(AND(ISNUMBER(I105),'Validn data - hide'!E412&gt;0),IF(I105/'Validn data - hide'!E412-1&gt;'Validn data - hide'!$L412,1,IF(I105/'Validn data - hide'!E412-1&lt;-'Validn data - hide'!$L412,-1,0)),0)</f>
        <v>1</v>
      </c>
      <c r="S105" s="36"/>
      <c r="T105" s="36"/>
      <c r="U105" s="36"/>
    </row>
    <row r="106" spans="1:21" s="188" customFormat="1" x14ac:dyDescent="0.25">
      <c r="A106" s="201"/>
      <c r="B106" s="236"/>
      <c r="C106" s="2630"/>
      <c r="D106" s="11"/>
      <c r="E106" s="11"/>
      <c r="F106" s="194" t="s">
        <v>48</v>
      </c>
      <c r="G106" s="1438">
        <v>1</v>
      </c>
      <c r="H106" s="1439">
        <v>37971</v>
      </c>
      <c r="I106" s="1437">
        <v>40</v>
      </c>
      <c r="L106" s="11"/>
      <c r="M106" s="113" t="s">
        <v>99</v>
      </c>
      <c r="N106" s="1606">
        <v>42594</v>
      </c>
      <c r="O106" s="201"/>
      <c r="P106" s="1051">
        <f>IF(AND(ISNUMBER(G106),'Validn data - hide'!C413&gt;0),IF(G106/'Validn data - hide'!C413-1&gt;'Validn data - hide'!$L413,1,IF(G106/'Validn data - hide'!C413-1&lt;-'Validn data - hide'!$L413,-1,0)),0)</f>
        <v>0</v>
      </c>
      <c r="Q106" s="1051">
        <f>IF(AND(ISNUMBER(H106),'Validn data - hide'!D413&gt;0),IF(H106/'Validn data - hide'!D413-1&gt;'Validn data - hide'!$L413,1,IF(H106/'Validn data - hide'!D413-1&lt;-'Validn data - hide'!$L413,-1,0)),0)</f>
        <v>0</v>
      </c>
      <c r="R106" s="1051">
        <f>IF(AND(ISNUMBER(I106),'Validn data - hide'!E413&gt;0),IF(I106/'Validn data - hide'!E413-1&gt;'Validn data - hide'!$L413,1,IF(I106/'Validn data - hide'!E413-1&lt;-'Validn data - hide'!$L413,-1,0)),0)</f>
        <v>-1</v>
      </c>
      <c r="S106" s="36"/>
      <c r="T106" s="36"/>
      <c r="U106" s="36"/>
    </row>
    <row r="107" spans="1:21" s="188" customFormat="1" x14ac:dyDescent="0.25">
      <c r="A107" s="201"/>
      <c r="B107" s="236"/>
      <c r="C107" s="2597"/>
      <c r="D107" s="64"/>
      <c r="F107" s="194" t="s">
        <v>50</v>
      </c>
      <c r="G107" s="1438">
        <v>0</v>
      </c>
      <c r="H107" s="1436">
        <v>0</v>
      </c>
      <c r="I107" s="1437">
        <v>663891</v>
      </c>
      <c r="L107" s="64"/>
      <c r="M107" s="113" t="s">
        <v>658</v>
      </c>
      <c r="N107" s="1328" t="s">
        <v>681</v>
      </c>
      <c r="O107" s="201"/>
      <c r="P107" s="1051">
        <f>IF(AND(ISNUMBER(G107),'Validn data - hide'!C414&gt;0),IF(G107/'Validn data - hide'!C414-1&gt;'Validn data - hide'!$L414,1,IF(G107/'Validn data - hide'!C414-1&lt;-'Validn data - hide'!$L414,-1,0)),0)</f>
        <v>-1</v>
      </c>
      <c r="Q107" s="1051">
        <f>IF(AND(ISNUMBER(H107),'Validn data - hide'!D414&gt;0),IF(H107/'Validn data - hide'!D414-1&gt;'Validn data - hide'!$L414,1,IF(H107/'Validn data - hide'!D414-1&lt;-'Validn data - hide'!$L414,-1,0)),0)</f>
        <v>-1</v>
      </c>
      <c r="R107" s="1051">
        <f>IF(AND(ISNUMBER(I107),'Validn data - hide'!E414&gt;0),IF(I107/'Validn data - hide'!E414-1&gt;'Validn data - hide'!$L414,1,IF(I107/'Validn data - hide'!E414-1&lt;-'Validn data - hide'!$L414,-1,0)),0)</f>
        <v>0</v>
      </c>
      <c r="S107" s="36"/>
      <c r="T107" s="36"/>
      <c r="U107" s="36"/>
    </row>
    <row r="108" spans="1:21" s="188" customFormat="1" x14ac:dyDescent="0.25">
      <c r="A108" s="201"/>
      <c r="B108" s="221"/>
      <c r="C108" s="390" t="s">
        <v>534</v>
      </c>
      <c r="D108" s="64"/>
      <c r="F108" s="194" t="s">
        <v>108</v>
      </c>
      <c r="G108" s="1438">
        <v>0</v>
      </c>
      <c r="H108" s="1439">
        <v>15320</v>
      </c>
      <c r="I108" s="1437">
        <v>50234</v>
      </c>
      <c r="L108" s="64"/>
      <c r="M108" s="193"/>
      <c r="O108" s="201"/>
      <c r="P108" s="1051">
        <f>IF(AND(ISNUMBER(G108),'Validn data - hide'!C415&gt;0),IF(G108/'Validn data - hide'!C415-1&gt;'Validn data - hide'!$L415,1,IF(G108/'Validn data - hide'!C415-1&lt;-'Validn data - hide'!$L415,-1,0)),0)</f>
        <v>0</v>
      </c>
      <c r="Q108" s="1051">
        <f>IF(AND(ISNUMBER(H108),'Validn data - hide'!D415&gt;0),IF(H108/'Validn data - hide'!D415-1&gt;'Validn data - hide'!$L415,1,IF(H108/'Validn data - hide'!D415-1&lt;-'Validn data - hide'!$L415,-1,0)),0)</f>
        <v>1</v>
      </c>
      <c r="R108" s="1051">
        <f>IF(AND(ISNUMBER(I108),'Validn data - hide'!E415&gt;0),IF(I108/'Validn data - hide'!E415-1&gt;'Validn data - hide'!$L415,1,IF(I108/'Validn data - hide'!E415-1&lt;-'Validn data - hide'!$L415,-1,0)),0)</f>
        <v>-1</v>
      </c>
      <c r="S108" s="36"/>
      <c r="T108" s="36"/>
      <c r="U108" s="36"/>
    </row>
    <row r="109" spans="1:21" s="188" customFormat="1" x14ac:dyDescent="0.25">
      <c r="A109" s="201"/>
      <c r="B109" s="878" t="s">
        <v>720</v>
      </c>
      <c r="C109" s="2621" t="s">
        <v>719</v>
      </c>
      <c r="D109" s="64"/>
      <c r="E109" s="199"/>
      <c r="F109" s="194" t="s">
        <v>51</v>
      </c>
      <c r="G109" s="1435">
        <v>0</v>
      </c>
      <c r="H109" s="1436">
        <v>101464</v>
      </c>
      <c r="I109" s="1440">
        <v>1</v>
      </c>
      <c r="L109" s="64"/>
      <c r="M109" s="193"/>
      <c r="O109" s="201"/>
      <c r="P109" s="1051">
        <f>IF(AND(ISNUMBER(G109),'Validn data - hide'!C416&gt;0),IF(G109/'Validn data - hide'!C416-1&gt;'Validn data - hide'!$L416,1,IF(G109/'Validn data - hide'!C416-1&lt;-'Validn data - hide'!$L416,-1,0)),0)</f>
        <v>0</v>
      </c>
      <c r="Q109" s="1051">
        <f>IF(AND(ISNUMBER(H109),'Validn data - hide'!D416&gt;0),IF(H109/'Validn data - hide'!D416-1&gt;'Validn data - hide'!$L416,1,IF(H109/'Validn data - hide'!D416-1&lt;-'Validn data - hide'!$L416,-1,0)),0)</f>
        <v>0</v>
      </c>
      <c r="R109" s="1051">
        <f>IF(AND(ISNUMBER(I109),'Validn data - hide'!E416&gt;0),IF(I109/'Validn data - hide'!E416-1&gt;'Validn data - hide'!$L416,1,IF(I109/'Validn data - hide'!E416-1&lt;-'Validn data - hide'!$L416,-1,0)),0)</f>
        <v>0</v>
      </c>
      <c r="S109" s="36"/>
      <c r="T109" s="36"/>
      <c r="U109" s="36"/>
    </row>
    <row r="110" spans="1:21" s="188" customFormat="1" ht="12.75" customHeight="1" x14ac:dyDescent="0.25">
      <c r="A110" s="201"/>
      <c r="B110" s="236"/>
      <c r="C110" s="2622"/>
      <c r="D110" s="64"/>
      <c r="E110" s="199"/>
      <c r="F110" s="194" t="s">
        <v>53</v>
      </c>
      <c r="G110" s="1435">
        <v>0</v>
      </c>
      <c r="H110" s="1436">
        <v>676</v>
      </c>
      <c r="I110" s="1441">
        <v>0</v>
      </c>
      <c r="L110" s="64"/>
      <c r="M110" s="193"/>
      <c r="O110" s="201"/>
      <c r="P110" s="1051">
        <f>IF(AND(ISNUMBER(G110),'Validn data - hide'!C417&gt;0),IF(G110/'Validn data - hide'!C417-1&gt;'Validn data - hide'!$L417,1,IF(G110/'Validn data - hide'!C417-1&lt;-'Validn data - hide'!$L417,-1,0)),0)</f>
        <v>-1</v>
      </c>
      <c r="Q110" s="1051">
        <f>IF(AND(ISNUMBER(H110),'Validn data - hide'!D417&gt;0),IF(H110/'Validn data - hide'!D417-1&gt;'Validn data - hide'!$L417,1,IF(H110/'Validn data - hide'!D417-1&lt;-'Validn data - hide'!$L417,-1,0)),0)</f>
        <v>-1</v>
      </c>
      <c r="R110" s="1051">
        <f>IF(AND(ISNUMBER(I110),'Validn data - hide'!E417&gt;0),IF(I110/'Validn data - hide'!E417-1&gt;'Validn data - hide'!$L417,1,IF(I110/'Validn data - hide'!E417-1&lt;-'Validn data - hide'!$L417,-1,0)),0)</f>
        <v>0</v>
      </c>
      <c r="S110" s="36"/>
      <c r="T110" s="36"/>
      <c r="U110" s="36"/>
    </row>
    <row r="111" spans="1:21" s="188" customFormat="1" x14ac:dyDescent="0.25">
      <c r="A111" s="201"/>
      <c r="B111" s="236"/>
      <c r="C111" s="2631" t="s">
        <v>916</v>
      </c>
      <c r="D111" s="64"/>
      <c r="F111" s="194" t="s">
        <v>55</v>
      </c>
      <c r="G111" s="1435">
        <v>0</v>
      </c>
      <c r="H111" s="1436">
        <v>53215</v>
      </c>
      <c r="I111" s="1441">
        <v>0</v>
      </c>
      <c r="L111" s="64"/>
      <c r="M111" s="193"/>
      <c r="O111" s="201"/>
      <c r="P111" s="1051">
        <f>IF(AND(ISNUMBER(G111),'Validn data - hide'!C418&gt;0),IF(G111/'Validn data - hide'!C418-1&gt;'Validn data - hide'!$L418,1,IF(G111/'Validn data - hide'!C418-1&lt;-'Validn data - hide'!$L418,-1,0)),0)</f>
        <v>-1</v>
      </c>
      <c r="Q111" s="1051">
        <f>IF(AND(ISNUMBER(H111),'Validn data - hide'!D418&gt;0),IF(H111/'Validn data - hide'!D418-1&gt;'Validn data - hide'!$L418,1,IF(H111/'Validn data - hide'!D418-1&lt;-'Validn data - hide'!$L418,-1,0)),0)</f>
        <v>-1</v>
      </c>
      <c r="R111" s="1051">
        <f>IF(AND(ISNUMBER(I111),'Validn data - hide'!E418&gt;0),IF(I111/'Validn data - hide'!E418-1&gt;'Validn data - hide'!$L418,1,IF(I111/'Validn data - hide'!E418-1&lt;-'Validn data - hide'!$L418,-1,0)),0)</f>
        <v>0</v>
      </c>
      <c r="S111" s="36"/>
      <c r="T111" s="36"/>
      <c r="U111" s="36"/>
    </row>
    <row r="112" spans="1:21" s="188" customFormat="1" x14ac:dyDescent="0.25">
      <c r="A112" s="201"/>
      <c r="B112" s="236"/>
      <c r="C112" s="2632"/>
      <c r="D112" s="64"/>
      <c r="F112" s="194" t="s">
        <v>57</v>
      </c>
      <c r="G112" s="1435">
        <v>15623</v>
      </c>
      <c r="H112" s="1436">
        <v>35086</v>
      </c>
      <c r="I112" s="1437">
        <v>23433</v>
      </c>
      <c r="L112" s="64"/>
      <c r="M112" s="193"/>
      <c r="O112" s="201"/>
      <c r="P112" s="1051">
        <f>IF(AND(ISNUMBER(G112),'Validn data - hide'!C419&gt;0),IF(G112/'Validn data - hide'!C419-1&gt;'Validn data - hide'!$L419,1,IF(G112/'Validn data - hide'!C419-1&lt;-'Validn data - hide'!$L419,-1,0)),0)</f>
        <v>1</v>
      </c>
      <c r="Q112" s="1051">
        <f>IF(AND(ISNUMBER(H112),'Validn data - hide'!D419&gt;0),IF(H112/'Validn data - hide'!D419-1&gt;'Validn data - hide'!$L419,1,IF(H112/'Validn data - hide'!D419-1&lt;-'Validn data - hide'!$L419,-1,0)),0)</f>
        <v>-1</v>
      </c>
      <c r="R112" s="1051">
        <f>IF(AND(ISNUMBER(I112),'Validn data - hide'!E419&gt;0),IF(I112/'Validn data - hide'!E419-1&gt;'Validn data - hide'!$L419,1,IF(I112/'Validn data - hide'!E419-1&lt;-'Validn data - hide'!$L419,-1,0)),0)</f>
        <v>1</v>
      </c>
      <c r="S112" s="36"/>
      <c r="T112" s="36"/>
      <c r="U112" s="36"/>
    </row>
    <row r="113" spans="1:21" s="188" customFormat="1" x14ac:dyDescent="0.25">
      <c r="A113" s="201"/>
      <c r="B113" s="221"/>
      <c r="C113" s="2633"/>
      <c r="D113" s="64"/>
      <c r="F113" s="194" t="s">
        <v>58</v>
      </c>
      <c r="G113" s="1435">
        <v>0</v>
      </c>
      <c r="H113" s="1436">
        <v>841</v>
      </c>
      <c r="I113" s="1437">
        <v>12</v>
      </c>
      <c r="L113" s="64"/>
      <c r="M113" s="193"/>
      <c r="O113" s="201"/>
      <c r="P113" s="1051">
        <f>IF(AND(ISNUMBER(G113),'Validn data - hide'!C420&gt;0),IF(G113/'Validn data - hide'!C420-1&gt;'Validn data - hide'!$L420,1,IF(G113/'Validn data - hide'!C420-1&lt;-'Validn data - hide'!$L420,-1,0)),0)</f>
        <v>-1</v>
      </c>
      <c r="Q113" s="1051">
        <f>IF(AND(ISNUMBER(H113),'Validn data - hide'!D420&gt;0),IF(H113/'Validn data - hide'!D420-1&gt;'Validn data - hide'!$L420,1,IF(H113/'Validn data - hide'!D420-1&lt;-'Validn data - hide'!$L420,-1,0)),0)</f>
        <v>-1</v>
      </c>
      <c r="R113" s="1051">
        <f>IF(AND(ISNUMBER(I113),'Validn data - hide'!E420&gt;0),IF(I113/'Validn data - hide'!E420-1&gt;'Validn data - hide'!$L420,1,IF(I113/'Validn data - hide'!E420-1&lt;-'Validn data - hide'!$L420,-1,0)),0)</f>
        <v>-1</v>
      </c>
      <c r="S113" s="36"/>
      <c r="T113" s="36"/>
      <c r="U113" s="36"/>
    </row>
    <row r="114" spans="1:21" s="188" customFormat="1" x14ac:dyDescent="0.25">
      <c r="A114" s="201"/>
      <c r="B114" s="67" t="s">
        <v>326</v>
      </c>
      <c r="C114" s="69" t="s">
        <v>122</v>
      </c>
      <c r="D114" s="64"/>
      <c r="F114" s="194" t="s">
        <v>59</v>
      </c>
      <c r="G114" s="1435">
        <v>380107</v>
      </c>
      <c r="H114" s="1436">
        <v>488676</v>
      </c>
      <c r="I114" s="1437">
        <v>314023</v>
      </c>
      <c r="L114" s="64"/>
      <c r="M114" s="193"/>
      <c r="O114" s="201"/>
      <c r="P114" s="1051">
        <f>IF(AND(ISNUMBER(G114),'Validn data - hide'!C421&gt;0),IF(G114/'Validn data - hide'!C421-1&gt;'Validn data - hide'!$L421,1,IF(G114/'Validn data - hide'!C421-1&lt;-'Validn data - hide'!$L421,-1,0)),0)</f>
        <v>0</v>
      </c>
      <c r="Q114" s="1051">
        <f>IF(AND(ISNUMBER(H114),'Validn data - hide'!D421&gt;0),IF(H114/'Validn data - hide'!D421-1&gt;'Validn data - hide'!$L421,1,IF(H114/'Validn data - hide'!D421-1&lt;-'Validn data - hide'!$L421,-1,0)),0)</f>
        <v>0</v>
      </c>
      <c r="R114" s="1051">
        <f>IF(AND(ISNUMBER(I114),'Validn data - hide'!E421&gt;0),IF(I114/'Validn data - hide'!E421-1&gt;'Validn data - hide'!$L421,1,IF(I114/'Validn data - hide'!E421-1&lt;-'Validn data - hide'!$L421,-1,0)),0)</f>
        <v>0</v>
      </c>
      <c r="S114" s="36"/>
      <c r="T114" s="36"/>
      <c r="U114" s="36"/>
    </row>
    <row r="115" spans="1:21" s="188" customFormat="1" x14ac:dyDescent="0.25">
      <c r="A115" s="201"/>
      <c r="B115" s="202" t="s">
        <v>41</v>
      </c>
      <c r="C115" s="65" t="s">
        <v>42</v>
      </c>
      <c r="D115" s="64"/>
      <c r="F115" s="194" t="s">
        <v>60</v>
      </c>
      <c r="G115" s="2564">
        <v>15299</v>
      </c>
      <c r="H115" s="1436">
        <v>65715</v>
      </c>
      <c r="I115" s="1441">
        <v>0</v>
      </c>
      <c r="J115" s="35">
        <f>SUM(G109:I114)</f>
        <v>1413157</v>
      </c>
      <c r="L115" s="64"/>
      <c r="M115" s="193"/>
      <c r="O115" s="201"/>
      <c r="P115" s="1051">
        <f>IF(AND(ISNUMBER(G115),'Validn data - hide'!C422&gt;0),IF(G115/'Validn data - hide'!C422-1&gt;'Validn data - hide'!$L422,1,IF(G115/'Validn data - hide'!C422-1&lt;-'Validn data - hide'!$L422,-1,0)),0)</f>
        <v>0</v>
      </c>
      <c r="Q115" s="1051">
        <f>IF(AND(ISNUMBER(H115),'Validn data - hide'!D422&gt;0),IF(H115/'Validn data - hide'!D422-1&gt;'Validn data - hide'!$L422,1,IF(H115/'Validn data - hide'!D422-1&lt;-'Validn data - hide'!$L422,-1,0)),0)</f>
        <v>0</v>
      </c>
      <c r="R115" s="1051">
        <f>IF(AND(ISNUMBER(I115),'Validn data - hide'!E422&gt;0),IF(I115/'Validn data - hide'!E422-1&gt;'Validn data - hide'!$L422,1,IF(I115/'Validn data - hide'!E422-1&lt;-'Validn data - hide'!$L422,-1,0)),0)</f>
        <v>0</v>
      </c>
      <c r="S115" s="36"/>
      <c r="T115" s="36"/>
      <c r="U115" s="36"/>
    </row>
    <row r="116" spans="1:21" s="188" customFormat="1" x14ac:dyDescent="0.25">
      <c r="A116" s="201"/>
      <c r="B116" s="202" t="s">
        <v>43</v>
      </c>
      <c r="C116" s="65" t="s">
        <v>44</v>
      </c>
      <c r="D116" s="64"/>
      <c r="F116" s="194" t="s">
        <v>62</v>
      </c>
      <c r="G116" s="1435">
        <v>363405</v>
      </c>
      <c r="H116" s="1436">
        <v>14199</v>
      </c>
      <c r="I116" s="1441">
        <v>2739</v>
      </c>
      <c r="L116" s="64"/>
      <c r="M116" s="193"/>
      <c r="O116" s="201"/>
      <c r="P116" s="1051">
        <f>IF(AND(ISNUMBER(G116),'Validn data - hide'!C423&gt;0),IF(G116/'Validn data - hide'!C423-1&gt;'Validn data - hide'!$L423,1,IF(G116/'Validn data - hide'!C423-1&lt;-'Validn data - hide'!$L423,-1,0)),0)</f>
        <v>0</v>
      </c>
      <c r="Q116" s="1051">
        <f>IF(AND(ISNUMBER(H116),'Validn data - hide'!D423&gt;0),IF(H116/'Validn data - hide'!D423-1&gt;'Validn data - hide'!$L423,1,IF(H116/'Validn data - hide'!D423-1&lt;-'Validn data - hide'!$L423,-1,0)),0)</f>
        <v>-1</v>
      </c>
      <c r="R116" s="1051">
        <f>IF(AND(ISNUMBER(I116),'Validn data - hide'!E423&gt;0),IF(I116/'Validn data - hide'!E423-1&gt;'Validn data - hide'!$L423,1,IF(I116/'Validn data - hide'!E423-1&lt;-'Validn data - hide'!$L423,-1,0)),0)</f>
        <v>-1</v>
      </c>
      <c r="S116" s="36"/>
      <c r="T116" s="36"/>
      <c r="U116" s="36"/>
    </row>
    <row r="117" spans="1:21" s="188" customFormat="1" x14ac:dyDescent="0.25">
      <c r="A117" s="201"/>
      <c r="B117" s="202" t="s">
        <v>45</v>
      </c>
      <c r="C117" s="65" t="s">
        <v>46</v>
      </c>
      <c r="D117" s="64"/>
      <c r="F117" s="194" t="s">
        <v>64</v>
      </c>
      <c r="G117" s="1435">
        <v>18452</v>
      </c>
      <c r="H117" s="1436">
        <v>185229</v>
      </c>
      <c r="I117" s="1437">
        <v>0</v>
      </c>
      <c r="L117" s="64"/>
      <c r="M117" s="193"/>
      <c r="O117" s="201"/>
      <c r="P117" s="1051">
        <f>IF(AND(ISNUMBER(G117),'Validn data - hide'!C424&gt;0),IF(G117/'Validn data - hide'!C424-1&gt;'Validn data - hide'!$L424,1,IF(G117/'Validn data - hide'!C424-1&lt;-'Validn data - hide'!$L424,-1,0)),0)</f>
        <v>-1</v>
      </c>
      <c r="Q117" s="1051">
        <f>IF(AND(ISNUMBER(H117),'Validn data - hide'!D424&gt;0),IF(H117/'Validn data - hide'!D424-1&gt;'Validn data - hide'!$L424,1,IF(H117/'Validn data - hide'!D424-1&lt;-'Validn data - hide'!$L424,-1,0)),0)</f>
        <v>1</v>
      </c>
      <c r="R117" s="1051">
        <f>IF(AND(ISNUMBER(I117),'Validn data - hide'!E424&gt;0),IF(I117/'Validn data - hide'!E424-1&gt;'Validn data - hide'!$L424,1,IF(I117/'Validn data - hide'!E424-1&lt;-'Validn data - hide'!$L424,-1,0)),0)</f>
        <v>-1</v>
      </c>
      <c r="S117" s="36"/>
      <c r="T117" s="36"/>
      <c r="U117" s="36"/>
    </row>
    <row r="118" spans="1:21" s="188" customFormat="1" x14ac:dyDescent="0.25">
      <c r="A118" s="201"/>
      <c r="B118" s="202" t="s">
        <v>106</v>
      </c>
      <c r="C118" s="65" t="s">
        <v>47</v>
      </c>
      <c r="D118" s="68"/>
      <c r="F118" s="194" t="s">
        <v>66</v>
      </c>
      <c r="G118" s="1438">
        <v>0</v>
      </c>
      <c r="H118" s="1436">
        <v>154987</v>
      </c>
      <c r="I118" s="1441">
        <v>0</v>
      </c>
      <c r="L118" s="68"/>
      <c r="M118" s="193"/>
      <c r="O118" s="201"/>
      <c r="P118" s="1051">
        <f>IF(AND(ISNUMBER(G118),'Validn data - hide'!C425&gt;0),IF(G118/'Validn data - hide'!C425-1&gt;'Validn data - hide'!$L425,1,IF(G118/'Validn data - hide'!C425-1&lt;-'Validn data - hide'!$L425,-1,0)),0)</f>
        <v>0</v>
      </c>
      <c r="Q118" s="1051">
        <f>IF(AND(ISNUMBER(H118),'Validn data - hide'!D425&gt;0),IF(H118/'Validn data - hide'!D425-1&gt;'Validn data - hide'!$L425,1,IF(H118/'Validn data - hide'!D425-1&lt;-'Validn data - hide'!$L425,-1,0)),0)</f>
        <v>0</v>
      </c>
      <c r="R118" s="1051">
        <f>IF(AND(ISNUMBER(I118),'Validn data - hide'!E425&gt;0),IF(I118/'Validn data - hide'!E425-1&gt;'Validn data - hide'!$L425,1,IF(I118/'Validn data - hide'!E425-1&lt;-'Validn data - hide'!$L425,-1,0)),0)</f>
        <v>0</v>
      </c>
      <c r="S118" s="36"/>
      <c r="T118" s="36"/>
      <c r="U118" s="36"/>
    </row>
    <row r="119" spans="1:21" s="188" customFormat="1" x14ac:dyDescent="0.25">
      <c r="A119" s="201"/>
      <c r="B119" s="202" t="s">
        <v>48</v>
      </c>
      <c r="C119" s="65" t="s">
        <v>49</v>
      </c>
      <c r="D119" s="64"/>
      <c r="F119" s="194" t="s">
        <v>68</v>
      </c>
      <c r="G119" s="1435">
        <v>4209</v>
      </c>
      <c r="H119" s="1436">
        <v>32780</v>
      </c>
      <c r="I119" s="1437">
        <v>3961</v>
      </c>
      <c r="L119" s="64"/>
      <c r="M119" s="193"/>
      <c r="O119" s="201"/>
      <c r="P119" s="1051">
        <f>IF(AND(ISNUMBER(G119),'Validn data - hide'!C426&gt;0),IF(G119/'Validn data - hide'!C426-1&gt;'Validn data - hide'!$L426,1,IF(G119/'Validn data - hide'!C426-1&lt;-'Validn data - hide'!$L426,-1,0)),0)</f>
        <v>0</v>
      </c>
      <c r="Q119" s="1051">
        <f>IF(AND(ISNUMBER(H119),'Validn data - hide'!D426&gt;0),IF(H119/'Validn data - hide'!D426-1&gt;'Validn data - hide'!$L426,1,IF(H119/'Validn data - hide'!D426-1&lt;-'Validn data - hide'!$L426,-1,0)),0)</f>
        <v>0</v>
      </c>
      <c r="R119" s="1051">
        <f>IF(AND(ISNUMBER(I119),'Validn data - hide'!E426&gt;0),IF(I119/'Validn data - hide'!E426-1&gt;'Validn data - hide'!$L426,1,IF(I119/'Validn data - hide'!E426-1&lt;-'Validn data - hide'!$L426,-1,0)),0)</f>
        <v>-1</v>
      </c>
      <c r="S119" s="36"/>
      <c r="T119" s="36"/>
      <c r="U119" s="36"/>
    </row>
    <row r="120" spans="1:21" s="188" customFormat="1" x14ac:dyDescent="0.25">
      <c r="A120" s="201"/>
      <c r="B120" s="202" t="s">
        <v>50</v>
      </c>
      <c r="C120" s="70" t="s">
        <v>532</v>
      </c>
      <c r="D120" s="64"/>
      <c r="F120" s="194" t="s">
        <v>69</v>
      </c>
      <c r="G120" s="1435">
        <v>13808</v>
      </c>
      <c r="H120" s="1436">
        <v>106098</v>
      </c>
      <c r="I120" s="1441">
        <v>32499</v>
      </c>
      <c r="L120" s="64"/>
      <c r="M120" s="193"/>
      <c r="O120" s="201"/>
      <c r="P120" s="1051">
        <f>IF(AND(ISNUMBER(G120),'Validn data - hide'!C427&gt;0),IF(G120/'Validn data - hide'!C427-1&gt;'Validn data - hide'!$L427,1,IF(G120/'Validn data - hide'!C427-1&lt;-'Validn data - hide'!$L427,-1,0)),0)</f>
        <v>0</v>
      </c>
      <c r="Q120" s="1051">
        <f>IF(AND(ISNUMBER(H120),'Validn data - hide'!D427&gt;0),IF(H120/'Validn data - hide'!D427-1&gt;'Validn data - hide'!$L427,1,IF(H120/'Validn data - hide'!D427-1&lt;-'Validn data - hide'!$L427,-1,0)),0)</f>
        <v>1</v>
      </c>
      <c r="R120" s="1051">
        <f>IF(AND(ISNUMBER(I120),'Validn data - hide'!E427&gt;0),IF(I120/'Validn data - hide'!E427-1&gt;'Validn data - hide'!$L427,1,IF(I120/'Validn data - hide'!E427-1&lt;-'Validn data - hide'!$L427,-1,0)),0)</f>
        <v>1</v>
      </c>
      <c r="S120" s="36"/>
      <c r="T120" s="36"/>
      <c r="U120" s="36"/>
    </row>
    <row r="121" spans="1:21" s="188" customFormat="1" x14ac:dyDescent="0.25">
      <c r="A121" s="201"/>
      <c r="B121" s="202" t="s">
        <v>108</v>
      </c>
      <c r="C121" s="65" t="s">
        <v>47</v>
      </c>
      <c r="D121" s="64"/>
      <c r="F121" s="194" t="s">
        <v>70</v>
      </c>
      <c r="G121" s="1438">
        <v>28725</v>
      </c>
      <c r="H121" s="1439">
        <v>0</v>
      </c>
      <c r="I121" s="1441">
        <v>0</v>
      </c>
      <c r="L121" s="64"/>
      <c r="M121" s="193"/>
      <c r="O121" s="201"/>
      <c r="P121" s="1051">
        <f>IF(AND(ISNUMBER(G121),'Validn data - hide'!C428&gt;0),IF(G121/'Validn data - hide'!C428-1&gt;'Validn data - hide'!$L428,1,IF(G121/'Validn data - hide'!C428-1&lt;-'Validn data - hide'!$L428,-1,0)),0)</f>
        <v>0</v>
      </c>
      <c r="Q121" s="1051">
        <f>IF(AND(ISNUMBER(H121),'Validn data - hide'!D428&gt;0),IF(H121/'Validn data - hide'!D428-1&gt;'Validn data - hide'!$L428,1,IF(H121/'Validn data - hide'!D428-1&lt;-'Validn data - hide'!$L428,-1,0)),0)</f>
        <v>0</v>
      </c>
      <c r="R121" s="1051">
        <f>IF(AND(ISNUMBER(I121),'Validn data - hide'!E428&gt;0),IF(I121/'Validn data - hide'!E428-1&gt;'Validn data - hide'!$L428,1,IF(I121/'Validn data - hide'!E428-1&lt;-'Validn data - hide'!$L428,-1,0)),0)</f>
        <v>0</v>
      </c>
      <c r="S121" s="36"/>
      <c r="T121" s="36"/>
      <c r="U121" s="36"/>
    </row>
    <row r="122" spans="1:21" s="188" customFormat="1" x14ac:dyDescent="0.25">
      <c r="A122" s="201"/>
      <c r="B122" s="202" t="s">
        <v>51</v>
      </c>
      <c r="C122" s="65" t="s">
        <v>52</v>
      </c>
      <c r="D122" s="68"/>
      <c r="F122" s="194" t="s">
        <v>71</v>
      </c>
      <c r="G122" s="1435">
        <v>137804</v>
      </c>
      <c r="H122" s="1436">
        <v>30137</v>
      </c>
      <c r="I122" s="1441">
        <v>185</v>
      </c>
      <c r="L122" s="64"/>
      <c r="M122" s="193"/>
      <c r="O122" s="201"/>
      <c r="P122" s="1051">
        <f>IF(AND(ISNUMBER(G122),'Validn data - hide'!C429&gt;0),IF(G122/'Validn data - hide'!C429-1&gt;'Validn data - hide'!$L429,1,IF(G122/'Validn data - hide'!C429-1&lt;-'Validn data - hide'!$L429,-1,0)),0)</f>
        <v>1</v>
      </c>
      <c r="Q122" s="1051">
        <f>IF(AND(ISNUMBER(H122),'Validn data - hide'!D429&gt;0),IF(H122/'Validn data - hide'!D429-1&gt;'Validn data - hide'!$L429,1,IF(H122/'Validn data - hide'!D429-1&lt;-'Validn data - hide'!$L429,-1,0)),0)</f>
        <v>-1</v>
      </c>
      <c r="R122" s="1051">
        <f>IF(AND(ISNUMBER(I122),'Validn data - hide'!E429&gt;0),IF(I122/'Validn data - hide'!E429-1&gt;'Validn data - hide'!$L429,1,IF(I122/'Validn data - hide'!E429-1&lt;-'Validn data - hide'!$L429,-1,0)),0)</f>
        <v>-1</v>
      </c>
      <c r="S122" s="36"/>
      <c r="T122" s="36"/>
      <c r="U122" s="36"/>
    </row>
    <row r="123" spans="1:21" s="188" customFormat="1" x14ac:dyDescent="0.25">
      <c r="A123" s="201"/>
      <c r="B123" s="202" t="s">
        <v>53</v>
      </c>
      <c r="C123" s="65" t="s">
        <v>54</v>
      </c>
      <c r="D123" s="64"/>
      <c r="F123" s="194" t="s">
        <v>72</v>
      </c>
      <c r="G123" s="1435">
        <v>0</v>
      </c>
      <c r="H123" s="1436">
        <v>175</v>
      </c>
      <c r="I123" s="1441">
        <v>0</v>
      </c>
      <c r="L123" s="64"/>
      <c r="M123" s="193"/>
      <c r="O123" s="201"/>
      <c r="P123" s="1051">
        <f>IF(AND(ISNUMBER(G123),'Validn data - hide'!C430&gt;0),IF(G123/'Validn data - hide'!C430-1&gt;'Validn data - hide'!$L430,1,IF(G123/'Validn data - hide'!C430-1&lt;-'Validn data - hide'!$L430,-1,0)),0)</f>
        <v>0</v>
      </c>
      <c r="Q123" s="1051">
        <f>IF(AND(ISNUMBER(H123),'Validn data - hide'!D430&gt;0),IF(H123/'Validn data - hide'!D430-1&gt;'Validn data - hide'!$L430,1,IF(H123/'Validn data - hide'!D430-1&lt;-'Validn data - hide'!$L430,-1,0)),0)</f>
        <v>0</v>
      </c>
      <c r="R123" s="1051">
        <f>IF(AND(ISNUMBER(I123),'Validn data - hide'!E430&gt;0),IF(I123/'Validn data - hide'!E430-1&gt;'Validn data - hide'!$L430,1,IF(I123/'Validn data - hide'!E430-1&lt;-'Validn data - hide'!$L430,-1,0)),0)</f>
        <v>-1</v>
      </c>
      <c r="S123" s="36"/>
      <c r="T123" s="36"/>
      <c r="U123" s="36"/>
    </row>
    <row r="124" spans="1:21" s="188" customFormat="1" x14ac:dyDescent="0.25">
      <c r="A124" s="201"/>
      <c r="B124" s="202" t="s">
        <v>55</v>
      </c>
      <c r="C124" s="65" t="s">
        <v>56</v>
      </c>
      <c r="D124" s="64"/>
      <c r="F124" s="194" t="s">
        <v>73</v>
      </c>
      <c r="G124" s="1435">
        <v>1235</v>
      </c>
      <c r="H124" s="1436">
        <v>122167</v>
      </c>
      <c r="I124" s="1441">
        <v>0</v>
      </c>
      <c r="L124" s="64"/>
      <c r="M124" s="193"/>
      <c r="O124" s="201"/>
      <c r="P124" s="1051">
        <f>IF(AND(ISNUMBER(G124),'Validn data - hide'!C431&gt;0),IF(G124/'Validn data - hide'!C431-1&gt;'Validn data - hide'!$L431,1,IF(G124/'Validn data - hide'!C431-1&lt;-'Validn data - hide'!$L431,-1,0)),0)</f>
        <v>-1</v>
      </c>
      <c r="Q124" s="1051">
        <f>IF(AND(ISNUMBER(H124),'Validn data - hide'!D431&gt;0),IF(H124/'Validn data - hide'!D431-1&gt;'Validn data - hide'!$L431,1,IF(H124/'Validn data - hide'!D431-1&lt;-'Validn data - hide'!$L431,-1,0)),0)</f>
        <v>-1</v>
      </c>
      <c r="R124" s="1051">
        <f>IF(AND(ISNUMBER(I124),'Validn data - hide'!E431&gt;0),IF(I124/'Validn data - hide'!E431-1&gt;'Validn data - hide'!$L431,1,IF(I124/'Validn data - hide'!E431-1&lt;-'Validn data - hide'!$L431,-1,0)),0)</f>
        <v>0</v>
      </c>
      <c r="S124" s="36"/>
      <c r="T124" s="36"/>
      <c r="U124" s="36"/>
    </row>
    <row r="125" spans="1:21" s="188" customFormat="1" x14ac:dyDescent="0.25">
      <c r="A125" s="201"/>
      <c r="B125" s="202" t="s">
        <v>57</v>
      </c>
      <c r="C125" s="65" t="s">
        <v>54</v>
      </c>
      <c r="D125" s="64"/>
      <c r="F125" s="194" t="s">
        <v>75</v>
      </c>
      <c r="G125" s="1435">
        <v>0</v>
      </c>
      <c r="H125" s="1436">
        <v>151970</v>
      </c>
      <c r="I125" s="1441">
        <v>0</v>
      </c>
      <c r="L125" s="64"/>
      <c r="M125" s="193"/>
      <c r="O125" s="201"/>
      <c r="P125" s="1051">
        <f>IF(AND(ISNUMBER(G125),'Validn data - hide'!C432&gt;0),IF(G125/'Validn data - hide'!C432-1&gt;'Validn data - hide'!$L432,1,IF(G125/'Validn data - hide'!C432-1&lt;-'Validn data - hide'!$L432,-1,0)),0)</f>
        <v>-1</v>
      </c>
      <c r="Q125" s="1051">
        <f>IF(AND(ISNUMBER(H125),'Validn data - hide'!D432&gt;0),IF(H125/'Validn data - hide'!D432-1&gt;'Validn data - hide'!$L432,1,IF(H125/'Validn data - hide'!D432-1&lt;-'Validn data - hide'!$L432,-1,0)),0)</f>
        <v>1</v>
      </c>
      <c r="R125" s="1051">
        <f>IF(AND(ISNUMBER(I125),'Validn data - hide'!E432&gt;0),IF(I125/'Validn data - hide'!E432-1&gt;'Validn data - hide'!$L432,1,IF(I125/'Validn data - hide'!E432-1&lt;-'Validn data - hide'!$L432,-1,0)),0)</f>
        <v>0</v>
      </c>
      <c r="S125" s="36"/>
      <c r="T125" s="1052"/>
      <c r="U125" s="36"/>
    </row>
    <row r="126" spans="1:21" s="188" customFormat="1" x14ac:dyDescent="0.25">
      <c r="A126" s="201"/>
      <c r="B126" s="202" t="s">
        <v>58</v>
      </c>
      <c r="C126" s="70" t="s">
        <v>348</v>
      </c>
      <c r="D126" s="64"/>
      <c r="F126" s="194" t="s">
        <v>77</v>
      </c>
      <c r="G126" s="1435">
        <v>173170</v>
      </c>
      <c r="H126" s="1436">
        <v>802479</v>
      </c>
      <c r="I126" s="1441">
        <v>0</v>
      </c>
      <c r="L126" s="64"/>
      <c r="M126" s="193"/>
      <c r="O126" s="201"/>
      <c r="P126" s="1051">
        <f>IF(AND(ISNUMBER(G126),'Validn data - hide'!C433&gt;0),IF(G126/'Validn data - hide'!C433-1&gt;'Validn data - hide'!$L433,1,IF(G126/'Validn data - hide'!C433-1&lt;-'Validn data - hide'!$L433,-1,0)),0)</f>
        <v>1</v>
      </c>
      <c r="Q126" s="1051">
        <f>IF(AND(ISNUMBER(H126),'Validn data - hide'!D433&gt;0),IF(H126/'Validn data - hide'!D433-1&gt;'Validn data - hide'!$L433,1,IF(H126/'Validn data - hide'!D433-1&lt;-'Validn data - hide'!$L433,-1,0)),0)</f>
        <v>1</v>
      </c>
      <c r="R126" s="1051">
        <f>IF(AND(ISNUMBER(I126),'Validn data - hide'!E433&gt;0),IF(I126/'Validn data - hide'!E433-1&gt;'Validn data - hide'!$L433,1,IF(I126/'Validn data - hide'!E433-1&lt;-'Validn data - hide'!$L433,-1,0)),0)</f>
        <v>0</v>
      </c>
      <c r="S126" s="36"/>
      <c r="T126" s="36"/>
      <c r="U126" s="36"/>
    </row>
    <row r="127" spans="1:21" s="188" customFormat="1" x14ac:dyDescent="0.25">
      <c r="A127" s="201"/>
      <c r="B127" s="202" t="s">
        <v>59</v>
      </c>
      <c r="C127" s="65" t="s">
        <v>56</v>
      </c>
      <c r="D127" s="64"/>
      <c r="F127" s="194" t="s">
        <v>78</v>
      </c>
      <c r="G127" s="1438">
        <v>0</v>
      </c>
      <c r="H127" s="1436">
        <v>192285</v>
      </c>
      <c r="I127" s="1441">
        <v>0</v>
      </c>
      <c r="L127" s="64"/>
      <c r="M127" s="193"/>
      <c r="O127" s="201"/>
      <c r="P127" s="1051">
        <f>IF(AND(ISNUMBER(G127),'Validn data - hide'!C434&gt;0),IF(G127/'Validn data - hide'!C434-1&gt;'Validn data - hide'!$L434,1,IF(G127/'Validn data - hide'!C434-1&lt;-'Validn data - hide'!$L434,-1,0)),0)</f>
        <v>0</v>
      </c>
      <c r="Q127" s="1051">
        <f>IF(AND(ISNUMBER(H127),'Validn data - hide'!D434&gt;0),IF(H127/'Validn data - hide'!D434-1&gt;'Validn data - hide'!$L434,1,IF(H127/'Validn data - hide'!D434-1&lt;-'Validn data - hide'!$L434,-1,0)),0)</f>
        <v>1</v>
      </c>
      <c r="R127" s="1051">
        <f>IF(AND(ISNUMBER(I127),'Validn data - hide'!E434&gt;0),IF(I127/'Validn data - hide'!E434-1&gt;'Validn data - hide'!$L434,1,IF(I127/'Validn data - hide'!E434-1&lt;-'Validn data - hide'!$L434,-1,0)),0)</f>
        <v>0</v>
      </c>
      <c r="S127" s="36"/>
      <c r="T127" s="36"/>
      <c r="U127" s="36"/>
    </row>
    <row r="128" spans="1:21" s="188" customFormat="1" x14ac:dyDescent="0.25">
      <c r="A128" s="201"/>
      <c r="B128" s="202" t="s">
        <v>60</v>
      </c>
      <c r="C128" s="65" t="s">
        <v>61</v>
      </c>
      <c r="D128" s="64"/>
      <c r="F128" s="194" t="s">
        <v>81</v>
      </c>
      <c r="G128" s="1438">
        <v>98</v>
      </c>
      <c r="H128" s="1436">
        <v>24513</v>
      </c>
      <c r="I128" s="1441">
        <v>0</v>
      </c>
      <c r="J128" s="35">
        <f>SUM(G124:I127)</f>
        <v>1443306</v>
      </c>
      <c r="L128" s="64"/>
      <c r="M128" s="193"/>
      <c r="O128" s="201"/>
      <c r="P128" s="1051">
        <f>IF(AND(ISNUMBER(G128),'Validn data - hide'!C435&gt;0),IF(G128/'Validn data - hide'!C435-1&gt;'Validn data - hide'!$L435,1,IF(G128/'Validn data - hide'!C435-1&lt;-'Validn data - hide'!$L435,-1,0)),0)</f>
        <v>0</v>
      </c>
      <c r="Q128" s="1051">
        <f>IF(AND(ISNUMBER(H128),'Validn data - hide'!D435&gt;0),IF(H128/'Validn data - hide'!D435-1&gt;'Validn data - hide'!$L435,1,IF(H128/'Validn data - hide'!D435-1&lt;-'Validn data - hide'!$L435,-1,0)),0)</f>
        <v>1</v>
      </c>
      <c r="R128" s="1051">
        <f>IF(AND(ISNUMBER(I128),'Validn data - hide'!E435&gt;0),IF(I128/'Validn data - hide'!E435-1&gt;'Validn data - hide'!$L435,1,IF(I128/'Validn data - hide'!E435-1&lt;-'Validn data - hide'!$L435,-1,0)),0)</f>
        <v>0</v>
      </c>
      <c r="S128" s="36"/>
      <c r="T128" s="36"/>
      <c r="U128" s="36"/>
    </row>
    <row r="129" spans="1:21" s="188" customFormat="1" x14ac:dyDescent="0.25">
      <c r="A129" s="201"/>
      <c r="B129" s="202" t="s">
        <v>62</v>
      </c>
      <c r="C129" s="65" t="s">
        <v>63</v>
      </c>
      <c r="D129" s="64"/>
      <c r="F129" s="194" t="s">
        <v>82</v>
      </c>
      <c r="G129" s="1435">
        <v>304</v>
      </c>
      <c r="H129" s="1436">
        <v>44433</v>
      </c>
      <c r="I129" s="1441">
        <v>0</v>
      </c>
      <c r="L129" s="64"/>
      <c r="M129" s="193"/>
      <c r="O129" s="201"/>
      <c r="P129" s="1051"/>
      <c r="Q129" s="1051"/>
      <c r="R129" s="1051"/>
      <c r="S129" s="36"/>
      <c r="T129" s="36"/>
      <c r="U129" s="36"/>
    </row>
    <row r="130" spans="1:21" s="188" customFormat="1" x14ac:dyDescent="0.25">
      <c r="A130" s="201"/>
      <c r="B130" s="202" t="s">
        <v>64</v>
      </c>
      <c r="C130" s="65" t="s">
        <v>65</v>
      </c>
      <c r="D130" s="64"/>
      <c r="F130" s="194" t="s">
        <v>84</v>
      </c>
      <c r="G130" s="1438">
        <v>458</v>
      </c>
      <c r="H130" s="1439">
        <v>196</v>
      </c>
      <c r="I130" s="1441">
        <v>6</v>
      </c>
      <c r="L130" s="64"/>
      <c r="M130" s="193"/>
      <c r="O130" s="201"/>
      <c r="P130" s="1051">
        <f>IF(AND(ISNUMBER(G130),'Validn data - hide'!C437&gt;0),IF(G130/'Validn data - hide'!C437-1&gt;'Validn data - hide'!$L437,1,IF(G130/'Validn data - hide'!C437-1&lt;-'Validn data - hide'!$L437,-1,0)),0)</f>
        <v>-1</v>
      </c>
      <c r="Q130" s="1051">
        <f>IF(AND(ISNUMBER(H130),'Validn data - hide'!D437&gt;0),IF(H130/'Validn data - hide'!D437-1&gt;'Validn data - hide'!$L437,1,IF(H130/'Validn data - hide'!D437-1&lt;-'Validn data - hide'!$L437,-1,0)),0)</f>
        <v>0</v>
      </c>
      <c r="R130" s="1051">
        <f>IF(AND(ISNUMBER(I130),'Validn data - hide'!E437&gt;0),IF(I130/'Validn data - hide'!E437-1&gt;'Validn data - hide'!$L437,1,IF(I130/'Validn data - hide'!E437-1&lt;-'Validn data - hide'!$L437,-1,0)),0)</f>
        <v>0</v>
      </c>
      <c r="S130" s="36"/>
      <c r="T130" s="36"/>
      <c r="U130" s="36"/>
    </row>
    <row r="131" spans="1:21" s="188" customFormat="1" x14ac:dyDescent="0.25">
      <c r="A131" s="201"/>
      <c r="B131" s="202" t="s">
        <v>66</v>
      </c>
      <c r="C131" s="65" t="s">
        <v>67</v>
      </c>
      <c r="D131" s="68"/>
      <c r="F131" s="194" t="s">
        <v>87</v>
      </c>
      <c r="G131" s="1435">
        <v>1050</v>
      </c>
      <c r="H131" s="1439">
        <v>450</v>
      </c>
      <c r="I131" s="1441">
        <v>0</v>
      </c>
      <c r="L131" s="68"/>
      <c r="M131" s="193"/>
      <c r="O131" s="201"/>
      <c r="P131" s="1051">
        <f>IF(AND(ISNUMBER(G131),'Validn data - hide'!C438&gt;0),IF(G131/'Validn data - hide'!C438-1&gt;'Validn data - hide'!$L438,1,IF(G131/'Validn data - hide'!C438-1&lt;-'Validn data - hide'!$L438,-1,0)),0)</f>
        <v>-1</v>
      </c>
      <c r="Q131" s="1051">
        <f>IF(AND(ISNUMBER(H131),'Validn data - hide'!D438&gt;0),IF(H131/'Validn data - hide'!D438-1&gt;'Validn data - hide'!$L438,1,IF(H131/'Validn data - hide'!D438-1&lt;-'Validn data - hide'!$L438,-1,0)),0)</f>
        <v>0</v>
      </c>
      <c r="R131" s="1051">
        <f>IF(AND(ISNUMBER(I131),'Validn data - hide'!E438&gt;0),IF(I131/'Validn data - hide'!E438-1&gt;'Validn data - hide'!$L438,1,IF(I131/'Validn data - hide'!E438-1&lt;-'Validn data - hide'!$L438,-1,0)),0)</f>
        <v>0</v>
      </c>
      <c r="S131" s="36"/>
      <c r="T131" s="36"/>
      <c r="U131" s="36"/>
    </row>
    <row r="132" spans="1:21" s="188" customFormat="1" x14ac:dyDescent="0.25">
      <c r="A132" s="201"/>
      <c r="B132" s="202" t="s">
        <v>68</v>
      </c>
      <c r="C132" s="65" t="s">
        <v>67</v>
      </c>
      <c r="D132" s="64"/>
      <c r="F132" s="194" t="s">
        <v>85</v>
      </c>
      <c r="G132" s="1438">
        <v>0</v>
      </c>
      <c r="H132" s="1439">
        <v>0</v>
      </c>
      <c r="I132" s="1441">
        <v>0</v>
      </c>
      <c r="L132" s="64"/>
      <c r="M132" s="193"/>
      <c r="O132" s="201"/>
      <c r="P132" s="1051">
        <f>IF(AND(ISNUMBER(G132),'Validn data - hide'!C439&gt;0),IF(G132/'Validn data - hide'!C439-1&gt;'Validn data - hide'!$L439,1,IF(G132/'Validn data - hide'!C439-1&lt;-'Validn data - hide'!$L439,-1,0)),0)</f>
        <v>0</v>
      </c>
      <c r="Q132" s="1051">
        <f>IF(AND(ISNUMBER(H132),'Validn data - hide'!D439&gt;0),IF(H132/'Validn data - hide'!D439-1&gt;'Validn data - hide'!$L439,1,IF(H132/'Validn data - hide'!D439-1&lt;-'Validn data - hide'!$L439,-1,0)),0)</f>
        <v>0</v>
      </c>
      <c r="R132" s="1051">
        <f>IF(AND(ISNUMBER(I132),'Validn data - hide'!E439&gt;0),IF(I132/'Validn data - hide'!E439-1&gt;'Validn data - hide'!$L439,1,IF(I132/'Validn data - hide'!E439-1&lt;-'Validn data - hide'!$L439,-1,0)),0)</f>
        <v>0</v>
      </c>
      <c r="S132" s="36"/>
      <c r="T132" s="36"/>
      <c r="U132" s="36"/>
    </row>
    <row r="133" spans="1:21" s="188" customFormat="1" x14ac:dyDescent="0.25">
      <c r="A133" s="201"/>
      <c r="B133" s="202" t="s">
        <v>69</v>
      </c>
      <c r="C133" s="65" t="s">
        <v>67</v>
      </c>
      <c r="D133" s="64"/>
      <c r="F133" s="194" t="s">
        <v>86</v>
      </c>
      <c r="G133" s="1442">
        <v>87396.59</v>
      </c>
      <c r="H133" s="1443">
        <v>71978.25</v>
      </c>
      <c r="I133" s="1444">
        <v>1159</v>
      </c>
      <c r="J133" s="35">
        <f>SUM(G102:I133)</f>
        <v>8289502.8399999999</v>
      </c>
      <c r="L133" s="64"/>
      <c r="M133" s="193"/>
      <c r="O133" s="201"/>
      <c r="P133" s="1051">
        <f>IF(AND(ISNUMBER(G133),'Validn data - hide'!C440&gt;0),IF(G133/'Validn data - hide'!C440-1&gt;'Validn data - hide'!$L440,1,IF(G133/'Validn data - hide'!C440-1&lt;-'Validn data - hide'!$L440,-1,0)),0)</f>
        <v>1</v>
      </c>
      <c r="Q133" s="1051">
        <f>IF(AND(ISNUMBER(H133),'Validn data - hide'!D440&gt;0),IF(H133/'Validn data - hide'!D440-1&gt;'Validn data - hide'!$L440,1,IF(H133/'Validn data - hide'!D440-1&lt;-'Validn data - hide'!$L440,-1,0)),0)</f>
        <v>0</v>
      </c>
      <c r="R133" s="1051">
        <f>IF(AND(ISNUMBER(I133),'Validn data - hide'!E440&gt;0),IF(I133/'Validn data - hide'!E440-1&gt;'Validn data - hide'!$L440,1,IF(I133/'Validn data - hide'!E440-1&lt;-'Validn data - hide'!$L440,-1,0)),0)</f>
        <v>1</v>
      </c>
      <c r="S133" s="36"/>
      <c r="T133" s="36"/>
      <c r="U133" s="36"/>
    </row>
    <row r="134" spans="1:21" s="188" customFormat="1" x14ac:dyDescent="0.25">
      <c r="A134" s="201"/>
      <c r="B134" s="202" t="s">
        <v>70</v>
      </c>
      <c r="C134" s="65" t="s">
        <v>30</v>
      </c>
      <c r="D134" s="64"/>
      <c r="L134" s="64"/>
      <c r="M134" s="193"/>
      <c r="O134" s="201"/>
      <c r="P134" s="36"/>
      <c r="Q134" s="36"/>
      <c r="R134" s="36"/>
      <c r="S134" s="36"/>
      <c r="T134" s="36"/>
      <c r="U134" s="36"/>
    </row>
    <row r="135" spans="1:21" s="188" customFormat="1" x14ac:dyDescent="0.25">
      <c r="A135" s="201"/>
      <c r="B135" s="202" t="s">
        <v>71</v>
      </c>
      <c r="C135" s="65" t="s">
        <v>30</v>
      </c>
      <c r="D135" s="64"/>
      <c r="L135" s="64"/>
      <c r="M135" s="193"/>
      <c r="O135" s="201"/>
      <c r="P135" s="36"/>
      <c r="Q135" s="36"/>
      <c r="R135" s="36"/>
      <c r="S135" s="36"/>
      <c r="T135" s="36"/>
      <c r="U135" s="36"/>
    </row>
    <row r="136" spans="1:21" s="188" customFormat="1" x14ac:dyDescent="0.25">
      <c r="A136" s="201"/>
      <c r="B136" s="202" t="s">
        <v>72</v>
      </c>
      <c r="C136" s="65" t="s">
        <v>30</v>
      </c>
      <c r="D136" s="64"/>
      <c r="K136" s="35"/>
      <c r="L136" s="64"/>
      <c r="M136" s="193"/>
      <c r="O136" s="201"/>
      <c r="P136" s="36"/>
      <c r="Q136" s="36"/>
      <c r="R136" s="36"/>
      <c r="S136" s="36"/>
      <c r="T136" s="36"/>
      <c r="U136" s="36"/>
    </row>
    <row r="137" spans="1:21" s="188" customFormat="1" x14ac:dyDescent="0.25">
      <c r="A137" s="201"/>
      <c r="B137" s="202" t="s">
        <v>73</v>
      </c>
      <c r="C137" s="65" t="s">
        <v>74</v>
      </c>
      <c r="D137" s="64"/>
      <c r="K137" s="35"/>
      <c r="L137" s="64"/>
      <c r="M137" s="193"/>
      <c r="O137" s="201"/>
      <c r="P137" s="36"/>
      <c r="Q137" s="36"/>
      <c r="R137" s="36"/>
      <c r="S137" s="36"/>
      <c r="T137" s="36"/>
      <c r="U137" s="36"/>
    </row>
    <row r="138" spans="1:21" s="188" customFormat="1" x14ac:dyDescent="0.25">
      <c r="A138" s="201"/>
      <c r="B138" s="202" t="s">
        <v>75</v>
      </c>
      <c r="C138" s="65" t="s">
        <v>76</v>
      </c>
      <c r="D138" s="64"/>
      <c r="K138" s="35"/>
      <c r="L138" s="64"/>
      <c r="M138" s="193"/>
      <c r="O138" s="201"/>
      <c r="P138" s="36"/>
      <c r="Q138" s="36"/>
      <c r="R138" s="36"/>
      <c r="S138" s="36"/>
      <c r="T138" s="36"/>
      <c r="U138" s="36"/>
    </row>
    <row r="139" spans="1:21" s="188" customFormat="1" x14ac:dyDescent="0.25">
      <c r="A139" s="201"/>
      <c r="B139" s="202" t="s">
        <v>77</v>
      </c>
      <c r="C139" s="70" t="s">
        <v>348</v>
      </c>
      <c r="D139" s="64"/>
      <c r="K139" s="35"/>
      <c r="L139" s="64"/>
      <c r="M139" s="193"/>
      <c r="O139" s="201"/>
      <c r="P139" s="36"/>
      <c r="Q139" s="36"/>
      <c r="R139" s="36"/>
      <c r="S139" s="36"/>
      <c r="T139" s="36"/>
      <c r="U139" s="36"/>
    </row>
    <row r="140" spans="1:21" s="188" customFormat="1" x14ac:dyDescent="0.25">
      <c r="A140" s="201"/>
      <c r="B140" s="202" t="s">
        <v>78</v>
      </c>
      <c r="C140" s="65" t="s">
        <v>79</v>
      </c>
      <c r="D140" s="64"/>
      <c r="K140" s="35"/>
      <c r="L140" s="64"/>
      <c r="M140" s="193"/>
      <c r="O140" s="201"/>
      <c r="P140" s="36"/>
      <c r="Q140" s="36"/>
      <c r="R140" s="36"/>
      <c r="S140" s="36"/>
      <c r="T140" s="36"/>
      <c r="U140" s="36"/>
    </row>
    <row r="141" spans="1:21" s="188" customFormat="1" x14ac:dyDescent="0.25">
      <c r="A141" s="201"/>
      <c r="B141" s="202" t="s">
        <v>81</v>
      </c>
      <c r="C141" s="65" t="s">
        <v>568</v>
      </c>
      <c r="D141" s="64"/>
      <c r="K141" s="35"/>
      <c r="L141" s="64"/>
      <c r="M141" s="193"/>
      <c r="O141" s="201"/>
      <c r="P141" s="36"/>
      <c r="Q141" s="36"/>
      <c r="R141" s="36"/>
      <c r="S141" s="36"/>
      <c r="T141" s="36"/>
      <c r="U141" s="36"/>
    </row>
    <row r="142" spans="1:21" s="188" customFormat="1" x14ac:dyDescent="0.25">
      <c r="A142" s="201"/>
      <c r="B142" s="202" t="s">
        <v>82</v>
      </c>
      <c r="C142" s="70" t="s">
        <v>532</v>
      </c>
      <c r="D142" s="64"/>
      <c r="K142" s="35"/>
      <c r="L142" s="64"/>
      <c r="M142" s="193"/>
      <c r="O142" s="201"/>
      <c r="P142" s="36"/>
      <c r="Q142" s="36"/>
      <c r="R142" s="36"/>
      <c r="S142" s="36"/>
      <c r="T142" s="36"/>
      <c r="U142" s="36"/>
    </row>
    <row r="143" spans="1:21" s="188" customFormat="1" x14ac:dyDescent="0.25">
      <c r="A143" s="201"/>
      <c r="B143" s="202" t="s">
        <v>84</v>
      </c>
      <c r="C143" s="65" t="s">
        <v>83</v>
      </c>
      <c r="D143" s="64"/>
      <c r="K143" s="35"/>
      <c r="L143" s="64"/>
      <c r="M143" s="193"/>
      <c r="O143" s="201"/>
      <c r="P143" s="36"/>
      <c r="Q143" s="36"/>
      <c r="R143" s="36"/>
      <c r="S143" s="36"/>
      <c r="T143" s="36"/>
      <c r="U143" s="36"/>
    </row>
    <row r="144" spans="1:21" s="188" customFormat="1" x14ac:dyDescent="0.25">
      <c r="A144" s="201"/>
      <c r="B144" s="202" t="s">
        <v>87</v>
      </c>
      <c r="C144" s="65" t="s">
        <v>83</v>
      </c>
      <c r="D144" s="64"/>
      <c r="K144" s="35"/>
      <c r="L144" s="64"/>
      <c r="M144" s="193"/>
      <c r="O144" s="201"/>
      <c r="P144" s="36"/>
      <c r="Q144" s="36"/>
      <c r="R144" s="36"/>
      <c r="S144" s="36"/>
      <c r="T144" s="36"/>
      <c r="U144" s="36"/>
    </row>
    <row r="145" spans="1:21" s="188" customFormat="1" x14ac:dyDescent="0.25">
      <c r="A145" s="201"/>
      <c r="B145" s="202" t="s">
        <v>85</v>
      </c>
      <c r="C145" s="65" t="s">
        <v>83</v>
      </c>
      <c r="D145" s="64"/>
      <c r="K145" s="35"/>
      <c r="L145" s="64"/>
      <c r="M145" s="193"/>
      <c r="O145" s="201"/>
      <c r="P145" s="36"/>
      <c r="Q145" s="36"/>
      <c r="R145" s="36"/>
      <c r="S145" s="36"/>
      <c r="T145" s="36"/>
      <c r="U145" s="36"/>
    </row>
    <row r="146" spans="1:21" s="188" customFormat="1" x14ac:dyDescent="0.25">
      <c r="A146" s="201"/>
      <c r="B146" s="203" t="s">
        <v>86</v>
      </c>
      <c r="C146" s="66" t="s">
        <v>32</v>
      </c>
      <c r="D146" s="64"/>
      <c r="K146" s="35"/>
      <c r="L146" s="64"/>
      <c r="M146" s="193"/>
      <c r="O146" s="201"/>
      <c r="P146" s="36"/>
      <c r="Q146" s="36"/>
      <c r="R146" s="36"/>
      <c r="S146" s="36"/>
      <c r="T146" s="36"/>
      <c r="U146" s="36"/>
    </row>
    <row r="147" spans="1:21" s="188" customFormat="1" x14ac:dyDescent="0.25">
      <c r="A147" s="201"/>
      <c r="D147" s="64"/>
      <c r="K147" s="35"/>
      <c r="L147" s="64"/>
      <c r="M147" s="193"/>
      <c r="O147" s="201"/>
      <c r="P147" s="36"/>
      <c r="Q147" s="36"/>
      <c r="R147" s="36"/>
      <c r="S147" s="36"/>
      <c r="T147" s="36"/>
      <c r="U147" s="36"/>
    </row>
    <row r="148" spans="1:21" s="188" customFormat="1" x14ac:dyDescent="0.25">
      <c r="A148" s="201"/>
      <c r="B148" s="189"/>
      <c r="C148" s="187"/>
      <c r="D148" s="187"/>
      <c r="E148" s="187"/>
      <c r="F148" s="187"/>
      <c r="G148" s="187"/>
      <c r="H148" s="187"/>
      <c r="I148" s="187"/>
      <c r="J148" s="187"/>
      <c r="K148" s="106"/>
      <c r="L148" s="187"/>
      <c r="M148" s="189"/>
      <c r="N148" s="187"/>
      <c r="O148" s="201"/>
      <c r="P148" s="36"/>
      <c r="Q148" s="36"/>
      <c r="R148" s="36"/>
      <c r="S148" s="36"/>
      <c r="T148" s="36"/>
      <c r="U148" s="36"/>
    </row>
    <row r="149" spans="1:21" s="188" customFormat="1" x14ac:dyDescent="0.2">
      <c r="A149" s="201"/>
      <c r="B149" s="2699" t="s">
        <v>126</v>
      </c>
      <c r="C149" s="2612" t="s">
        <v>134</v>
      </c>
      <c r="D149" s="187"/>
      <c r="E149" s="187"/>
      <c r="F149" s="187"/>
      <c r="G149" s="91" t="s">
        <v>16</v>
      </c>
      <c r="H149" s="91" t="s">
        <v>17</v>
      </c>
      <c r="I149" s="91" t="s">
        <v>18</v>
      </c>
      <c r="J149" s="187"/>
      <c r="K149" s="106"/>
      <c r="L149" s="187"/>
      <c r="M149" s="114" t="s">
        <v>104</v>
      </c>
      <c r="N149" s="94" t="s">
        <v>120</v>
      </c>
      <c r="O149" s="201"/>
      <c r="P149" s="36"/>
      <c r="Q149" s="36"/>
      <c r="R149" s="36"/>
      <c r="S149" s="36"/>
      <c r="T149" s="36"/>
      <c r="U149" s="36"/>
    </row>
    <row r="150" spans="1:21" s="188" customFormat="1" x14ac:dyDescent="0.25">
      <c r="A150" s="201"/>
      <c r="B150" s="2700"/>
      <c r="C150" s="2614"/>
      <c r="D150" s="187"/>
      <c r="E150" s="187"/>
      <c r="F150" s="189" t="s">
        <v>121</v>
      </c>
      <c r="G150" s="1445"/>
      <c r="H150" s="1446"/>
      <c r="I150" s="1447"/>
      <c r="J150" s="187"/>
      <c r="K150" s="106"/>
      <c r="L150" s="187"/>
      <c r="M150" s="114" t="s">
        <v>100</v>
      </c>
      <c r="N150" s="94" t="s">
        <v>102</v>
      </c>
      <c r="O150" s="201"/>
      <c r="P150" s="1051">
        <f>IF(AND(ISNUMBER(G150),'Validn data - hide'!C444&gt;0),IF(G150/'Validn data - hide'!C444-1&gt;'Validn data - hide'!$L444,1,IF(G150/'Validn data - hide'!C444-1&lt;-'Validn data - hide'!$L444,-1,0)),0)</f>
        <v>0</v>
      </c>
      <c r="Q150" s="1051">
        <f>IF(AND(ISNUMBER(H150),'Validn data - hide'!D444&gt;0),IF(H150/'Validn data - hide'!D444-1&gt;'Validn data - hide'!$L444,1,IF(H150/'Validn data - hide'!D444-1&lt;-'Validn data - hide'!$L444,-1,0)),0)</f>
        <v>0</v>
      </c>
      <c r="R150" s="1051">
        <f>IF(AND(ISNUMBER(I150),'Validn data - hide'!E444&gt;0),IF(I150/'Validn data - hide'!E444-1&gt;'Validn data - hide'!$L444,1,IF(I150/'Validn data - hide'!E444-1&lt;-'Validn data - hide'!$L444,-1,0)),0)</f>
        <v>0</v>
      </c>
      <c r="S150" s="36"/>
      <c r="T150" s="36"/>
      <c r="U150" s="36"/>
    </row>
    <row r="151" spans="1:21" s="188" customFormat="1" x14ac:dyDescent="0.25">
      <c r="A151" s="201"/>
      <c r="B151" s="189"/>
      <c r="C151" s="187"/>
      <c r="D151" s="187"/>
      <c r="E151" s="187"/>
      <c r="F151" s="187"/>
      <c r="G151" s="187"/>
      <c r="H151" s="187"/>
      <c r="I151" s="187"/>
      <c r="J151" s="187"/>
      <c r="K151" s="106"/>
      <c r="L151" s="187"/>
      <c r="M151" s="114" t="s">
        <v>10</v>
      </c>
      <c r="N151" s="1330"/>
      <c r="O151" s="201"/>
      <c r="P151" s="36"/>
      <c r="Q151" s="36"/>
      <c r="R151" s="36"/>
      <c r="S151" s="36"/>
      <c r="T151" s="36"/>
      <c r="U151" s="36"/>
    </row>
    <row r="152" spans="1:21" s="188" customFormat="1" x14ac:dyDescent="0.25">
      <c r="A152" s="201"/>
      <c r="B152" s="189"/>
      <c r="C152" s="187"/>
      <c r="D152" s="187"/>
      <c r="E152" s="187"/>
      <c r="F152" s="187"/>
      <c r="G152" s="107" t="s">
        <v>103</v>
      </c>
      <c r="H152" s="187"/>
      <c r="I152" s="187"/>
      <c r="J152" s="187"/>
      <c r="K152" s="106"/>
      <c r="L152" s="187"/>
      <c r="M152" s="114" t="s">
        <v>352</v>
      </c>
      <c r="N152" s="1330"/>
      <c r="O152" s="201"/>
      <c r="S152" s="36"/>
      <c r="T152" s="36"/>
      <c r="U152" s="36"/>
    </row>
    <row r="153" spans="1:21" s="188" customFormat="1" x14ac:dyDescent="0.25">
      <c r="A153" s="201"/>
      <c r="B153" s="189"/>
      <c r="C153" s="187"/>
      <c r="D153" s="187"/>
      <c r="E153" s="187"/>
      <c r="F153" s="187"/>
      <c r="G153" s="108" t="s">
        <v>16</v>
      </c>
      <c r="H153" s="108" t="s">
        <v>17</v>
      </c>
      <c r="I153" s="108" t="s">
        <v>18</v>
      </c>
      <c r="J153" s="187"/>
      <c r="K153" s="187"/>
      <c r="L153" s="187"/>
      <c r="M153" s="114" t="s">
        <v>99</v>
      </c>
      <c r="N153" s="1448"/>
      <c r="O153" s="201"/>
      <c r="P153" s="36"/>
      <c r="Q153" s="36"/>
      <c r="R153" s="36"/>
      <c r="S153" s="36"/>
      <c r="T153" s="36"/>
      <c r="U153" s="36"/>
    </row>
    <row r="154" spans="1:21" s="188" customFormat="1" x14ac:dyDescent="0.25">
      <c r="A154" s="201"/>
      <c r="B154" s="189"/>
      <c r="C154" s="187"/>
      <c r="D154" s="187"/>
      <c r="E154" s="187"/>
      <c r="F154" s="109" t="s">
        <v>42</v>
      </c>
      <c r="G154" s="1042">
        <f t="shared" ref="G154:I158" si="4">SUMIF($C$115:$C$146,$F154,G$102:G$133)</f>
        <v>0</v>
      </c>
      <c r="H154" s="1043">
        <f t="shared" si="4"/>
        <v>0</v>
      </c>
      <c r="I154" s="1044">
        <f t="shared" si="4"/>
        <v>160128</v>
      </c>
      <c r="J154" s="110"/>
      <c r="K154" s="187"/>
      <c r="L154" s="187"/>
      <c r="M154" s="114" t="s">
        <v>658</v>
      </c>
      <c r="N154" s="1331"/>
      <c r="O154" s="201"/>
      <c r="P154" s="36"/>
      <c r="Q154" s="36"/>
      <c r="R154" s="36"/>
      <c r="S154" s="36"/>
      <c r="T154" s="36"/>
      <c r="U154" s="36"/>
    </row>
    <row r="155" spans="1:21" s="188" customFormat="1" x14ac:dyDescent="0.25">
      <c r="A155" s="201"/>
      <c r="B155" s="189"/>
      <c r="C155" s="187"/>
      <c r="D155" s="187"/>
      <c r="E155" s="187"/>
      <c r="F155" s="109" t="s">
        <v>44</v>
      </c>
      <c r="G155" s="1045">
        <f t="shared" si="4"/>
        <v>15</v>
      </c>
      <c r="H155" s="425">
        <f t="shared" si="4"/>
        <v>514</v>
      </c>
      <c r="I155" s="1046">
        <f t="shared" si="4"/>
        <v>325211</v>
      </c>
      <c r="J155" s="110"/>
      <c r="K155" s="187"/>
      <c r="L155" s="187"/>
      <c r="M155" s="189"/>
      <c r="N155" s="187"/>
      <c r="O155" s="201"/>
      <c r="P155" s="36"/>
      <c r="Q155" s="36"/>
      <c r="R155" s="36"/>
      <c r="S155" s="36"/>
      <c r="T155" s="36"/>
      <c r="U155" s="36"/>
    </row>
    <row r="156" spans="1:21" s="188" customFormat="1" x14ac:dyDescent="0.25">
      <c r="A156" s="201"/>
      <c r="B156" s="189"/>
      <c r="C156" s="187"/>
      <c r="D156" s="187"/>
      <c r="E156" s="187"/>
      <c r="F156" s="109" t="s">
        <v>46</v>
      </c>
      <c r="G156" s="1045">
        <f t="shared" si="4"/>
        <v>1440</v>
      </c>
      <c r="H156" s="425">
        <f t="shared" si="4"/>
        <v>7212</v>
      </c>
      <c r="I156" s="1046">
        <f t="shared" si="4"/>
        <v>1729672</v>
      </c>
      <c r="J156" s="110"/>
      <c r="K156" s="187"/>
      <c r="L156" s="187"/>
      <c r="M156" s="189"/>
      <c r="N156" s="187"/>
      <c r="O156" s="201"/>
      <c r="P156" s="36"/>
      <c r="Q156" s="36"/>
      <c r="R156" s="36"/>
      <c r="S156" s="36"/>
      <c r="T156" s="36"/>
      <c r="U156" s="36"/>
    </row>
    <row r="157" spans="1:21" s="188" customFormat="1" x14ac:dyDescent="0.25">
      <c r="A157" s="201"/>
      <c r="B157" s="189"/>
      <c r="C157" s="187"/>
      <c r="D157" s="187"/>
      <c r="E157" s="187"/>
      <c r="F157" s="109" t="s">
        <v>47</v>
      </c>
      <c r="G157" s="1045">
        <f t="shared" si="4"/>
        <v>36</v>
      </c>
      <c r="H157" s="425">
        <f t="shared" si="4"/>
        <v>32227</v>
      </c>
      <c r="I157" s="1046">
        <f t="shared" si="4"/>
        <v>1032234</v>
      </c>
      <c r="J157" s="110"/>
      <c r="K157" s="187"/>
      <c r="L157" s="187"/>
      <c r="M157" s="189"/>
      <c r="N157" s="187"/>
      <c r="O157" s="201"/>
      <c r="P157" s="36"/>
      <c r="Q157" s="36"/>
      <c r="R157" s="36"/>
      <c r="S157" s="36"/>
      <c r="T157" s="36"/>
      <c r="U157" s="36"/>
    </row>
    <row r="158" spans="1:21" s="188" customFormat="1" x14ac:dyDescent="0.25">
      <c r="A158" s="201"/>
      <c r="B158" s="189"/>
      <c r="C158" s="187"/>
      <c r="D158" s="187"/>
      <c r="E158" s="187"/>
      <c r="F158" s="109" t="s">
        <v>49</v>
      </c>
      <c r="G158" s="1045">
        <f t="shared" si="4"/>
        <v>1</v>
      </c>
      <c r="H158" s="425">
        <f t="shared" si="4"/>
        <v>37971</v>
      </c>
      <c r="I158" s="1046">
        <f t="shared" si="4"/>
        <v>40</v>
      </c>
      <c r="J158" s="110"/>
      <c r="K158" s="187"/>
      <c r="L158" s="187"/>
      <c r="M158" s="189"/>
      <c r="N158" s="187"/>
      <c r="O158" s="201"/>
      <c r="P158" s="36"/>
      <c r="Q158" s="36"/>
      <c r="R158" s="36"/>
      <c r="S158" s="36"/>
      <c r="T158" s="36"/>
      <c r="U158" s="36"/>
    </row>
    <row r="159" spans="1:21" s="188" customFormat="1" x14ac:dyDescent="0.25">
      <c r="A159" s="201"/>
      <c r="B159" s="189"/>
      <c r="C159" s="187"/>
      <c r="D159" s="187"/>
      <c r="E159" s="187"/>
      <c r="F159" s="109" t="s">
        <v>56</v>
      </c>
      <c r="G159" s="1045">
        <f t="shared" ref="G159:I161" si="5">SUMIF($C$115:$C$146,$F159,G$102:G$133)*(1+G$113/SUM(G$109:G$112,G$114))</f>
        <v>380107</v>
      </c>
      <c r="H159" s="425">
        <f t="shared" si="5"/>
        <v>542562.06305835373</v>
      </c>
      <c r="I159" s="1046">
        <f t="shared" si="5"/>
        <v>314034.16668494057</v>
      </c>
      <c r="J159" s="110"/>
      <c r="K159" s="187"/>
      <c r="L159" s="187"/>
      <c r="M159" s="189"/>
      <c r="N159" s="187"/>
      <c r="O159" s="201"/>
      <c r="P159" s="36"/>
      <c r="Q159" s="36"/>
      <c r="R159" s="36"/>
      <c r="S159" s="36"/>
      <c r="T159" s="36"/>
      <c r="U159" s="36"/>
    </row>
    <row r="160" spans="1:21" s="188" customFormat="1" x14ac:dyDescent="0.25">
      <c r="A160" s="201"/>
      <c r="B160" s="189"/>
      <c r="C160" s="187"/>
      <c r="D160" s="187"/>
      <c r="E160" s="187"/>
      <c r="F160" s="109" t="s">
        <v>52</v>
      </c>
      <c r="G160" s="1045">
        <f t="shared" si="5"/>
        <v>0</v>
      </c>
      <c r="H160" s="425">
        <f t="shared" si="5"/>
        <v>101589.65025466893</v>
      </c>
      <c r="I160" s="1046">
        <f t="shared" si="5"/>
        <v>1.0000355600861739</v>
      </c>
      <c r="J160" s="110"/>
      <c r="K160" s="187"/>
      <c r="L160" s="187"/>
      <c r="M160" s="189"/>
      <c r="N160" s="187"/>
      <c r="O160" s="201"/>
      <c r="P160" s="36"/>
      <c r="Q160" s="36"/>
      <c r="R160" s="36"/>
      <c r="S160" s="36"/>
      <c r="T160" s="36"/>
      <c r="U160" s="36"/>
    </row>
    <row r="161" spans="1:21" s="188" customFormat="1" x14ac:dyDescent="0.25">
      <c r="A161" s="201"/>
      <c r="B161" s="189"/>
      <c r="C161" s="187"/>
      <c r="D161" s="187"/>
      <c r="E161" s="187"/>
      <c r="F161" s="109" t="s">
        <v>54</v>
      </c>
      <c r="G161" s="1045">
        <f t="shared" si="5"/>
        <v>15623</v>
      </c>
      <c r="H161" s="425">
        <f t="shared" si="5"/>
        <v>35806.286686977357</v>
      </c>
      <c r="I161" s="1046">
        <f t="shared" si="5"/>
        <v>23433.833279499311</v>
      </c>
      <c r="J161" s="110"/>
      <c r="K161" s="187"/>
      <c r="L161" s="187"/>
      <c r="M161" s="189"/>
      <c r="N161" s="187"/>
      <c r="O161" s="201"/>
      <c r="P161" s="36"/>
      <c r="Q161" s="36"/>
      <c r="R161" s="36"/>
      <c r="S161" s="36"/>
      <c r="T161" s="36"/>
      <c r="U161" s="36"/>
    </row>
    <row r="162" spans="1:21" s="188" customFormat="1" x14ac:dyDescent="0.25">
      <c r="A162" s="201"/>
      <c r="B162" s="189"/>
      <c r="C162" s="187"/>
      <c r="D162" s="187"/>
      <c r="E162" s="187"/>
      <c r="F162" s="109" t="s">
        <v>61</v>
      </c>
      <c r="G162" s="1045">
        <f t="shared" ref="G162:I164" si="6">SUMIF($C$115:$C$146,$F162,G$102:G$133)</f>
        <v>15299</v>
      </c>
      <c r="H162" s="425">
        <f t="shared" si="6"/>
        <v>65715</v>
      </c>
      <c r="I162" s="1046">
        <f t="shared" si="6"/>
        <v>0</v>
      </c>
      <c r="J162" s="106">
        <f>SUM(G159:I161)</f>
        <v>1413157</v>
      </c>
      <c r="K162" s="112" t="str">
        <f>IF(J162=J115,"OK","Error")</f>
        <v>OK</v>
      </c>
      <c r="L162" s="187"/>
      <c r="M162" s="189"/>
      <c r="N162" s="187"/>
      <c r="O162" s="201"/>
      <c r="P162" s="36"/>
      <c r="Q162" s="36"/>
      <c r="R162" s="36"/>
      <c r="S162" s="36"/>
      <c r="T162" s="36"/>
      <c r="U162" s="36"/>
    </row>
    <row r="163" spans="1:21" s="188" customFormat="1" x14ac:dyDescent="0.25">
      <c r="A163" s="201"/>
      <c r="B163" s="189"/>
      <c r="C163" s="187"/>
      <c r="D163" s="187"/>
      <c r="E163" s="187"/>
      <c r="F163" s="109" t="s">
        <v>63</v>
      </c>
      <c r="G163" s="1045">
        <f t="shared" si="6"/>
        <v>363405</v>
      </c>
      <c r="H163" s="425">
        <f t="shared" si="6"/>
        <v>14199</v>
      </c>
      <c r="I163" s="1046">
        <f t="shared" si="6"/>
        <v>2739</v>
      </c>
      <c r="J163" s="187"/>
      <c r="K163" s="187"/>
      <c r="L163" s="187"/>
      <c r="M163" s="189"/>
      <c r="N163" s="187"/>
      <c r="O163" s="201"/>
      <c r="P163" s="36"/>
      <c r="Q163" s="36"/>
      <c r="R163" s="36"/>
      <c r="S163" s="36"/>
      <c r="T163" s="36"/>
      <c r="U163" s="36"/>
    </row>
    <row r="164" spans="1:21" s="188" customFormat="1" x14ac:dyDescent="0.25">
      <c r="A164" s="201"/>
      <c r="B164" s="189"/>
      <c r="C164" s="187"/>
      <c r="D164" s="187"/>
      <c r="E164" s="187"/>
      <c r="F164" s="109" t="s">
        <v>67</v>
      </c>
      <c r="G164" s="1045">
        <f t="shared" si="6"/>
        <v>18017</v>
      </c>
      <c r="H164" s="425">
        <f t="shared" si="6"/>
        <v>293865</v>
      </c>
      <c r="I164" s="1046">
        <f t="shared" si="6"/>
        <v>36460</v>
      </c>
      <c r="J164" s="187"/>
      <c r="K164" s="187"/>
      <c r="L164" s="187"/>
      <c r="M164" s="189"/>
      <c r="N164" s="187"/>
      <c r="O164" s="201"/>
      <c r="P164" s="36"/>
      <c r="Q164" s="36"/>
      <c r="R164" s="36"/>
      <c r="S164" s="36"/>
      <c r="T164" s="36"/>
      <c r="U164" s="36"/>
    </row>
    <row r="165" spans="1:21" s="188" customFormat="1" x14ac:dyDescent="0.25">
      <c r="A165" s="201"/>
      <c r="B165" s="189"/>
      <c r="C165" s="187"/>
      <c r="D165" s="187"/>
      <c r="E165" s="187"/>
      <c r="F165" s="109" t="s">
        <v>65</v>
      </c>
      <c r="G165" s="1045">
        <f>SUMIF($C$115:$C$146,$F165,G$102:G$133)-G150</f>
        <v>18452</v>
      </c>
      <c r="H165" s="425">
        <f>SUMIF($C$115:$C$146,$F165,H$102:H$133)-H150</f>
        <v>185229</v>
      </c>
      <c r="I165" s="1046">
        <f>SUMIF($C$115:$C$146,$F165,I$102:I$133)-I150</f>
        <v>0</v>
      </c>
      <c r="J165" s="187"/>
      <c r="K165" s="187"/>
      <c r="L165" s="187"/>
      <c r="M165" s="189"/>
      <c r="N165" s="187"/>
      <c r="O165" s="201"/>
      <c r="P165" s="36"/>
      <c r="Q165" s="36"/>
      <c r="R165" s="36"/>
      <c r="S165" s="36"/>
      <c r="T165" s="36"/>
      <c r="U165" s="36"/>
    </row>
    <row r="166" spans="1:21" s="188" customFormat="1" x14ac:dyDescent="0.25">
      <c r="A166" s="201"/>
      <c r="B166" s="189"/>
      <c r="C166" s="187"/>
      <c r="D166" s="187"/>
      <c r="E166" s="187"/>
      <c r="F166" s="109" t="s">
        <v>74</v>
      </c>
      <c r="G166" s="1045">
        <f>IFERROR(SUMIF($C$115:$C$146,$F166,G$102:G$133)*(1+G$126/SUM(G$124:G$125,G$127)),0)</f>
        <v>174405</v>
      </c>
      <c r="H166" s="425">
        <f>IFERROR(SUMIF($C$115:$C$146,$F166,H$102:H$133)*(1+H$126/SUM(H$124:H$125,H$127)),0)</f>
        <v>332355.31014188868</v>
      </c>
      <c r="I166" s="1046">
        <f>IFERROR(SUMIF($C$115:$C$146,$F166,I$102:I$133)*(1+I$126/SUM(I$124:I$125,I$127)),0)</f>
        <v>0</v>
      </c>
      <c r="J166" s="187"/>
      <c r="K166" s="187"/>
      <c r="L166" s="187"/>
      <c r="M166" s="189"/>
      <c r="N166" s="187"/>
      <c r="O166" s="201"/>
      <c r="P166" s="36"/>
      <c r="Q166" s="36"/>
      <c r="R166" s="36"/>
      <c r="S166" s="36"/>
      <c r="T166" s="36"/>
      <c r="U166" s="36"/>
    </row>
    <row r="167" spans="1:21" s="188" customFormat="1" x14ac:dyDescent="0.25">
      <c r="A167" s="201"/>
      <c r="B167" s="189"/>
      <c r="C167" s="187"/>
      <c r="D167" s="187"/>
      <c r="E167" s="187"/>
      <c r="F167" s="111" t="s">
        <v>89</v>
      </c>
      <c r="G167" s="1045">
        <f>SUMIF($C$115:$C$146,$F167,G$102:G$133)</f>
        <v>0</v>
      </c>
      <c r="H167" s="425">
        <f>SUMIF($C$115:$C$146,$F167,H$102:H$133)</f>
        <v>0</v>
      </c>
      <c r="I167" s="1046">
        <f>SUMIF($C$115:$C$146,$F167,I$102:I$133)</f>
        <v>0</v>
      </c>
      <c r="J167" s="187"/>
      <c r="K167" s="187"/>
      <c r="L167" s="187"/>
      <c r="M167" s="189"/>
      <c r="N167" s="187"/>
      <c r="O167" s="201"/>
      <c r="P167" s="36"/>
      <c r="Q167" s="36"/>
      <c r="R167" s="36"/>
      <c r="S167" s="36"/>
      <c r="T167" s="36"/>
      <c r="U167" s="36"/>
    </row>
    <row r="168" spans="1:21" s="188" customFormat="1" x14ac:dyDescent="0.25">
      <c r="A168" s="201"/>
      <c r="B168" s="189"/>
      <c r="C168" s="187"/>
      <c r="D168" s="187"/>
      <c r="E168" s="187"/>
      <c r="F168" s="109" t="s">
        <v>76</v>
      </c>
      <c r="G168" s="1045">
        <f t="shared" ref="G168:I169" si="7">IFERROR(SUMIF($C$115:$C$146,$F168,G$102:G$133)*(1+G$126/SUM(G$124:G$125,G$127)),0)</f>
        <v>0</v>
      </c>
      <c r="H168" s="425">
        <f t="shared" si="7"/>
        <v>413434.36838313797</v>
      </c>
      <c r="I168" s="1046">
        <f t="shared" si="7"/>
        <v>0</v>
      </c>
      <c r="J168" s="187"/>
      <c r="K168" s="187"/>
      <c r="L168" s="187"/>
      <c r="M168" s="189"/>
      <c r="N168" s="187"/>
      <c r="O168" s="201"/>
      <c r="P168" s="36"/>
      <c r="Q168" s="36"/>
      <c r="R168" s="36"/>
      <c r="S168" s="36"/>
      <c r="T168" s="36"/>
      <c r="U168" s="36"/>
    </row>
    <row r="169" spans="1:21" s="188" customFormat="1" x14ac:dyDescent="0.25">
      <c r="A169" s="201"/>
      <c r="B169" s="189"/>
      <c r="C169" s="187"/>
      <c r="D169" s="187"/>
      <c r="E169" s="187"/>
      <c r="F169" s="109" t="s">
        <v>79</v>
      </c>
      <c r="G169" s="1045">
        <f t="shared" si="7"/>
        <v>0</v>
      </c>
      <c r="H169" s="425">
        <f t="shared" si="7"/>
        <v>523111.32147497329</v>
      </c>
      <c r="I169" s="1046">
        <f t="shared" si="7"/>
        <v>0</v>
      </c>
      <c r="J169" s="187"/>
      <c r="K169" s="187"/>
      <c r="L169" s="187"/>
      <c r="M169" s="189"/>
      <c r="N169" s="187"/>
      <c r="O169" s="201"/>
      <c r="P169" s="36"/>
      <c r="Q169" s="36"/>
      <c r="R169" s="36"/>
      <c r="S169" s="36"/>
      <c r="T169" s="36"/>
      <c r="U169" s="36"/>
    </row>
    <row r="170" spans="1:21" s="188" customFormat="1" x14ac:dyDescent="0.25">
      <c r="A170" s="201"/>
      <c r="B170" s="189"/>
      <c r="C170" s="187"/>
      <c r="D170" s="187"/>
      <c r="E170" s="187"/>
      <c r="F170" s="109" t="s">
        <v>32</v>
      </c>
      <c r="G170" s="1045">
        <f t="shared" ref="G170:I173" si="8">SUMIF($C$115:$C$146,$F170,G$102:G$133)</f>
        <v>87396.59</v>
      </c>
      <c r="H170" s="425">
        <f t="shared" si="8"/>
        <v>71978.25</v>
      </c>
      <c r="I170" s="1046">
        <f t="shared" si="8"/>
        <v>1159</v>
      </c>
      <c r="J170" s="106">
        <f>SUM(G166:I169)</f>
        <v>1443306</v>
      </c>
      <c r="K170" s="112" t="str">
        <f>IF(J170=J128,"OK","Error")</f>
        <v>OK</v>
      </c>
      <c r="L170" s="187"/>
      <c r="M170" s="189"/>
      <c r="N170" s="187"/>
      <c r="O170" s="201"/>
      <c r="P170" s="36"/>
      <c r="Q170" s="36"/>
      <c r="R170" s="36"/>
      <c r="S170" s="36"/>
      <c r="T170" s="36"/>
      <c r="U170" s="36"/>
    </row>
    <row r="171" spans="1:21" s="188" customFormat="1" x14ac:dyDescent="0.25">
      <c r="A171" s="201"/>
      <c r="B171" s="189"/>
      <c r="C171" s="187"/>
      <c r="D171" s="187"/>
      <c r="E171" s="187"/>
      <c r="F171" s="109" t="s">
        <v>30</v>
      </c>
      <c r="G171" s="1045">
        <f t="shared" si="8"/>
        <v>166529</v>
      </c>
      <c r="H171" s="425">
        <f t="shared" si="8"/>
        <v>30312</v>
      </c>
      <c r="I171" s="1046">
        <f t="shared" si="8"/>
        <v>185</v>
      </c>
      <c r="J171" s="187"/>
      <c r="K171" s="187"/>
      <c r="L171" s="187"/>
      <c r="M171" s="189"/>
      <c r="N171" s="187"/>
      <c r="O171" s="201"/>
      <c r="P171" s="36"/>
      <c r="Q171" s="36"/>
      <c r="R171" s="36"/>
      <c r="S171" s="36"/>
      <c r="T171" s="36"/>
      <c r="U171" s="36"/>
    </row>
    <row r="172" spans="1:21" s="188" customFormat="1" x14ac:dyDescent="0.25">
      <c r="A172" s="201"/>
      <c r="B172" s="189"/>
      <c r="C172" s="187"/>
      <c r="D172" s="187"/>
      <c r="E172" s="187"/>
      <c r="F172" s="109" t="s">
        <v>83</v>
      </c>
      <c r="G172" s="1045">
        <f t="shared" si="8"/>
        <v>1508</v>
      </c>
      <c r="H172" s="425">
        <f t="shared" si="8"/>
        <v>646</v>
      </c>
      <c r="I172" s="1046">
        <f t="shared" si="8"/>
        <v>6</v>
      </c>
      <c r="J172" s="187"/>
      <c r="K172" s="187"/>
      <c r="L172" s="187"/>
      <c r="M172" s="189"/>
      <c r="N172" s="187"/>
      <c r="O172" s="201"/>
      <c r="P172" s="36"/>
      <c r="Q172" s="36"/>
      <c r="R172" s="36"/>
      <c r="S172" s="36"/>
      <c r="T172" s="36"/>
      <c r="U172" s="36"/>
    </row>
    <row r="173" spans="1:21" s="188" customFormat="1" x14ac:dyDescent="0.25">
      <c r="A173" s="201"/>
      <c r="B173" s="189"/>
      <c r="C173" s="187"/>
      <c r="D173" s="187"/>
      <c r="E173" s="187"/>
      <c r="F173" s="109" t="s">
        <v>568</v>
      </c>
      <c r="G173" s="1047">
        <f t="shared" si="8"/>
        <v>98</v>
      </c>
      <c r="H173" s="1048">
        <f t="shared" si="8"/>
        <v>24513</v>
      </c>
      <c r="I173" s="1049">
        <f t="shared" si="8"/>
        <v>0</v>
      </c>
      <c r="J173" s="106">
        <f>SUM(G154:I173,G150:I150,G107:I107)</f>
        <v>8244765.839999998</v>
      </c>
      <c r="K173" s="981" t="str">
        <f>IF(J173=J133-SUM(G129:I129),"OK","Error")</f>
        <v>OK</v>
      </c>
      <c r="L173" s="187"/>
      <c r="M173" s="189"/>
      <c r="N173" s="187"/>
      <c r="O173" s="201"/>
      <c r="P173" s="36"/>
      <c r="Q173" s="36"/>
      <c r="R173" s="36"/>
      <c r="S173" s="36"/>
      <c r="T173" s="36"/>
      <c r="U173" s="36"/>
    </row>
    <row r="174" spans="1:21" s="188" customFormat="1" x14ac:dyDescent="0.25">
      <c r="A174" s="201"/>
      <c r="B174" s="189"/>
      <c r="C174" s="187"/>
      <c r="D174" s="187"/>
      <c r="E174" s="187"/>
      <c r="F174" s="109"/>
      <c r="G174" s="425"/>
      <c r="H174" s="425"/>
      <c r="I174" s="425"/>
      <c r="J174" s="106"/>
      <c r="K174" s="112"/>
      <c r="L174" s="187"/>
      <c r="M174" s="189"/>
      <c r="N174" s="187"/>
      <c r="O174" s="201"/>
      <c r="P174" s="36"/>
      <c r="Q174" s="36"/>
      <c r="R174" s="36"/>
      <c r="S174" s="36"/>
      <c r="T174" s="36"/>
      <c r="U174" s="36"/>
    </row>
    <row r="175" spans="1:21" ht="15.75" x14ac:dyDescent="0.25">
      <c r="A175" s="131"/>
      <c r="B175" s="131"/>
      <c r="C175" s="131"/>
      <c r="D175" s="131"/>
      <c r="E175" s="131"/>
      <c r="F175" s="131"/>
      <c r="G175" s="131"/>
      <c r="H175" s="131"/>
      <c r="I175" s="131"/>
      <c r="J175" s="131"/>
      <c r="K175" s="131"/>
      <c r="L175" s="131"/>
      <c r="M175" s="131"/>
      <c r="N175" s="131"/>
      <c r="O175" s="131"/>
    </row>
    <row r="176" spans="1:21" ht="15.75" x14ac:dyDescent="0.25">
      <c r="A176" s="133"/>
      <c r="B176" s="134" t="s">
        <v>462</v>
      </c>
      <c r="C176" s="364" t="s">
        <v>569</v>
      </c>
      <c r="D176" s="133"/>
      <c r="E176" s="133"/>
      <c r="F176" s="133"/>
      <c r="G176" s="133"/>
      <c r="H176" s="133"/>
      <c r="I176" s="133"/>
      <c r="J176" s="133"/>
      <c r="K176" s="133"/>
      <c r="L176" s="133"/>
      <c r="M176" s="135"/>
      <c r="N176" s="133"/>
      <c r="O176" s="133"/>
    </row>
    <row r="177" spans="1:21" s="188" customFormat="1" x14ac:dyDescent="0.25">
      <c r="A177" s="204"/>
      <c r="B177" s="192"/>
      <c r="C177" s="11"/>
      <c r="D177" s="11"/>
      <c r="E177" s="11"/>
      <c r="F177" s="13"/>
      <c r="L177" s="11"/>
      <c r="M177" s="34"/>
      <c r="N177" s="11"/>
      <c r="O177" s="205"/>
      <c r="P177" s="36"/>
      <c r="Q177" s="36"/>
      <c r="R177" s="36"/>
      <c r="S177" s="36"/>
      <c r="T177" s="36"/>
      <c r="U177" s="36"/>
    </row>
    <row r="178" spans="1:21" s="188" customFormat="1" x14ac:dyDescent="0.25">
      <c r="A178" s="204"/>
      <c r="B178" s="97" t="s">
        <v>125</v>
      </c>
      <c r="C178" s="37" t="s">
        <v>804</v>
      </c>
      <c r="D178" s="11"/>
      <c r="E178" s="11"/>
      <c r="F178" s="13"/>
      <c r="L178" s="11"/>
      <c r="M178" s="801" t="s">
        <v>104</v>
      </c>
      <c r="N178" s="366" t="s">
        <v>1042</v>
      </c>
      <c r="O178" s="205"/>
      <c r="P178" s="36"/>
      <c r="Q178" s="36"/>
      <c r="R178" s="36"/>
      <c r="S178" s="36"/>
      <c r="T178" s="36"/>
      <c r="U178" s="36"/>
    </row>
    <row r="179" spans="1:21" s="188" customFormat="1" ht="12.75" customHeight="1" x14ac:dyDescent="0.25">
      <c r="A179" s="204"/>
      <c r="B179" s="1568" t="s">
        <v>323</v>
      </c>
      <c r="C179" s="2596" t="s">
        <v>571</v>
      </c>
      <c r="D179" s="197"/>
      <c r="E179" s="197"/>
      <c r="L179" s="197"/>
      <c r="M179" s="113" t="s">
        <v>100</v>
      </c>
      <c r="N179" s="37" t="s">
        <v>102</v>
      </c>
      <c r="O179" s="205"/>
      <c r="P179" s="36"/>
      <c r="Q179" s="36"/>
      <c r="R179" s="36"/>
      <c r="S179" s="36"/>
      <c r="T179" s="36"/>
      <c r="U179" s="36"/>
    </row>
    <row r="180" spans="1:21" s="188" customFormat="1" x14ac:dyDescent="0.2">
      <c r="A180" s="204"/>
      <c r="B180" s="236"/>
      <c r="C180" s="2597"/>
      <c r="G180" s="102" t="s">
        <v>16</v>
      </c>
      <c r="H180" s="102" t="s">
        <v>17</v>
      </c>
      <c r="I180" s="102" t="s">
        <v>18</v>
      </c>
      <c r="M180" s="113" t="s">
        <v>10</v>
      </c>
      <c r="N180" s="1329" t="s">
        <v>1043</v>
      </c>
      <c r="O180" s="205"/>
      <c r="P180" s="36"/>
      <c r="Q180" s="36"/>
      <c r="R180" s="36"/>
      <c r="S180" s="36"/>
      <c r="T180" s="36"/>
      <c r="U180" s="36"/>
    </row>
    <row r="181" spans="1:21" s="188" customFormat="1" x14ac:dyDescent="0.25">
      <c r="A181" s="204"/>
      <c r="B181" s="1570"/>
      <c r="C181" s="115" t="s">
        <v>721</v>
      </c>
      <c r="F181" s="31" t="s">
        <v>39</v>
      </c>
      <c r="G181" s="1449">
        <v>0</v>
      </c>
      <c r="H181" s="1623">
        <v>0</v>
      </c>
      <c r="I181" s="1450">
        <v>0</v>
      </c>
      <c r="M181" s="113" t="s">
        <v>352</v>
      </c>
      <c r="N181" s="1329" t="s">
        <v>356</v>
      </c>
      <c r="O181" s="205"/>
      <c r="P181" s="1051">
        <f>IF(AND(ISNUMBER(G181),'Validn data - hide'!C448&gt;0),IF(G181/'Validn data - hide'!C448-1&gt;'Validn data - hide'!$L448,1,IF(G181/'Validn data - hide'!C448-1&lt;-'Validn data - hide'!$L448,-1,0)),0)</f>
        <v>-1</v>
      </c>
      <c r="Q181" s="1051">
        <f>IF(AND(ISNUMBER(H181),'Validn data - hide'!D448&gt;0),IF(H181/'Validn data - hide'!D448-1&gt;'Validn data - hide'!$L448,1,IF(H181/'Validn data - hide'!D448-1&lt;-'Validn data - hide'!$L448,-1,0)),0)</f>
        <v>-1</v>
      </c>
      <c r="R181" s="1051">
        <f>IF(AND(ISNUMBER(I181),'Validn data - hide'!E448&gt;0),IF(I181/'Validn data - hide'!E448-1&gt;'Validn data - hide'!$L448,1,IF(I181/'Validn data - hide'!E448-1&lt;-'Validn data - hide'!$L448,-1,0)),0)</f>
        <v>0</v>
      </c>
      <c r="S181" s="36"/>
      <c r="T181" s="36"/>
      <c r="U181" s="36"/>
    </row>
    <row r="182" spans="1:21" s="188" customFormat="1" x14ac:dyDescent="0.25">
      <c r="A182" s="204"/>
      <c r="B182" s="191"/>
      <c r="C182" s="199"/>
      <c r="M182" s="113" t="s">
        <v>99</v>
      </c>
      <c r="N182" s="1606">
        <v>42599</v>
      </c>
      <c r="O182" s="205"/>
      <c r="P182" s="36"/>
      <c r="Q182" s="36"/>
      <c r="R182" s="36"/>
      <c r="S182" s="36"/>
      <c r="T182" s="36"/>
      <c r="U182" s="36"/>
    </row>
    <row r="183" spans="1:21" s="188" customFormat="1" x14ac:dyDescent="0.25">
      <c r="A183" s="204"/>
      <c r="B183" s="191"/>
      <c r="C183" s="199"/>
      <c r="M183" s="113" t="s">
        <v>658</v>
      </c>
      <c r="N183" s="1328" t="s">
        <v>681</v>
      </c>
      <c r="O183" s="205"/>
      <c r="P183" s="36"/>
      <c r="Q183" s="36"/>
      <c r="R183" s="36"/>
      <c r="S183" s="36"/>
      <c r="T183" s="36"/>
      <c r="U183" s="36"/>
    </row>
    <row r="184" spans="1:21" s="188" customFormat="1" x14ac:dyDescent="0.25">
      <c r="A184" s="204"/>
      <c r="B184" s="191"/>
      <c r="C184" s="199"/>
      <c r="O184" s="205"/>
      <c r="P184" s="36"/>
      <c r="Q184" s="36"/>
      <c r="R184" s="36"/>
      <c r="S184" s="36"/>
      <c r="T184" s="36"/>
      <c r="U184" s="36"/>
    </row>
    <row r="185" spans="1:21" s="15" customFormat="1" ht="15.75" x14ac:dyDescent="0.25">
      <c r="A185" s="133"/>
      <c r="B185" s="133"/>
      <c r="C185" s="133"/>
      <c r="D185" s="133"/>
      <c r="E185" s="133"/>
      <c r="F185" s="133"/>
      <c r="G185" s="133"/>
      <c r="H185" s="133"/>
      <c r="I185" s="133"/>
      <c r="J185" s="133"/>
      <c r="K185" s="133"/>
      <c r="L185" s="133"/>
      <c r="M185" s="133"/>
      <c r="N185" s="133"/>
      <c r="O185" s="133"/>
      <c r="P185" s="302"/>
      <c r="Q185" s="302"/>
      <c r="R185" s="302"/>
      <c r="S185" s="302"/>
      <c r="T185" s="302"/>
      <c r="U185" s="302"/>
    </row>
    <row r="186" spans="1:21" ht="15.75" x14ac:dyDescent="0.25">
      <c r="B186" s="143" t="s">
        <v>578</v>
      </c>
      <c r="M186" s="19"/>
    </row>
    <row r="187" spans="1:21" x14ac:dyDescent="0.25">
      <c r="B187" s="472" t="s">
        <v>361</v>
      </c>
      <c r="E187" s="16"/>
      <c r="F187" s="122"/>
      <c r="G187" s="434" t="s">
        <v>113</v>
      </c>
      <c r="H187" s="435" t="s">
        <v>114</v>
      </c>
      <c r="I187" s="436" t="s">
        <v>38</v>
      </c>
      <c r="J187" s="6" t="s">
        <v>88</v>
      </c>
      <c r="L187" s="6" t="s">
        <v>368</v>
      </c>
    </row>
    <row r="188" spans="1:21" x14ac:dyDescent="0.2">
      <c r="C188" s="7"/>
      <c r="D188" s="7"/>
      <c r="E188" s="7"/>
      <c r="F188" s="1078" t="s">
        <v>867</v>
      </c>
      <c r="G188" s="417">
        <f>$J188*IF(ISNUMBER('Other national data'!J423),'Other national data'!J423,'Other national data'!L423)</f>
        <v>6.0199094238119574E-2</v>
      </c>
      <c r="H188" s="418">
        <f>J188-G188</f>
        <v>9.8009057618804324E-3</v>
      </c>
      <c r="I188" s="419">
        <f>$J188*'Other national data'!N423</f>
        <v>7.0000000000000003E-16</v>
      </c>
      <c r="J188" s="1495">
        <f>SUMIFS('Basel data'!E:E,'Basel data'!A:A,L188,'Basel data'!G:G,$B$1)+SUMIFS('Basel data'!F:F,'Basel data'!A:A,L188,'Basel data'!G:G,$B$1)+SUMIFS('Basel data'!E:E,'Basel data'!C:C,L188,'Basel data'!G:G,$B$1)+SUMIFS('Basel data'!F:F,'Basel data'!C:C,L188,'Basel data'!G:G,$B$1)</f>
        <v>7.0000000000000007E-2</v>
      </c>
      <c r="L188" s="121" t="s">
        <v>142</v>
      </c>
      <c r="O188" s="36" t="str">
        <f>IF(ROUND(SUM(G188:I188),0)=ROUND(J188,0),"OK","Error")</f>
        <v>OK</v>
      </c>
    </row>
    <row r="189" spans="1:21" x14ac:dyDescent="0.2">
      <c r="C189" s="7"/>
      <c r="D189" s="7"/>
      <c r="E189" s="7"/>
      <c r="F189" s="138" t="s">
        <v>152</v>
      </c>
      <c r="G189" s="123">
        <f>$J189*IF(ISNUMBER('Other national data'!J424),'Other national data'!J424,'Other national data'!L424)</f>
        <v>4264.4283914226871</v>
      </c>
      <c r="H189" s="420">
        <f t="shared" ref="H189:H204" si="9">J189-G189</f>
        <v>16193.254608577325</v>
      </c>
      <c r="I189" s="421">
        <f>$J189*'Other national data'!N424</f>
        <v>2.0457683000000013E-10</v>
      </c>
      <c r="J189" s="1495">
        <f>SUMIFS('Basel data'!E:E,'Basel data'!A:A,L189,'Basel data'!G:G,$B$1)+SUMIFS('Basel data'!F:F,'Basel data'!A:A,L189,'Basel data'!G:G,$B$1)+SUMIFS('Basel data'!E:E,'Basel data'!C:C,L189,'Basel data'!G:G,$B$1)+SUMIFS('Basel data'!F:F,'Basel data'!C:C,L189,'Basel data'!G:G,$B$1)</f>
        <v>20457.683000000012</v>
      </c>
      <c r="L189" s="121" t="s">
        <v>151</v>
      </c>
      <c r="O189" s="36" t="str">
        <f t="shared" ref="O189:O204" si="10">IF(ROUND(SUM(G189:I189),0)=ROUND(J189,0),"OK","Error")</f>
        <v>OK</v>
      </c>
    </row>
    <row r="190" spans="1:21" x14ac:dyDescent="0.2">
      <c r="C190" s="7"/>
      <c r="D190" s="7"/>
      <c r="E190" s="7"/>
      <c r="F190" s="138" t="s">
        <v>156</v>
      </c>
      <c r="G190" s="123">
        <f>$J190*IF(ISNUMBER('Other national data'!J425),'Other national data'!J425,'Other national data'!L425)</f>
        <v>386.98070770111656</v>
      </c>
      <c r="H190" s="420">
        <f t="shared" si="9"/>
        <v>6326.8782922988858</v>
      </c>
      <c r="I190" s="421">
        <f>$J190*'Other national data'!N425</f>
        <v>6.7138590000000026E-11</v>
      </c>
      <c r="J190" s="1495">
        <f>SUMIFS('Basel data'!E:E,'Basel data'!A:A,L190,'Basel data'!G:G,$B$1)+SUMIFS('Basel data'!F:F,'Basel data'!A:A,L190,'Basel data'!G:G,$B$1)+SUMIFS('Basel data'!E:E,'Basel data'!C:C,L190,'Basel data'!G:G,$B$1)+SUMIFS('Basel data'!F:F,'Basel data'!C:C,L190,'Basel data'!G:G,$B$1)</f>
        <v>6713.8590000000022</v>
      </c>
      <c r="L190" s="121" t="s">
        <v>155</v>
      </c>
      <c r="O190" s="36" t="str">
        <f t="shared" si="10"/>
        <v>OK</v>
      </c>
    </row>
    <row r="191" spans="1:21" x14ac:dyDescent="0.2">
      <c r="C191" s="7"/>
      <c r="D191" s="7"/>
      <c r="E191" s="7"/>
      <c r="F191" s="138" t="s">
        <v>160</v>
      </c>
      <c r="G191" s="123">
        <f>$J191*IF(ISNUMBER('Other national data'!J426),'Other national data'!J426,'Other national data'!L426)</f>
        <v>2055.6099118000975</v>
      </c>
      <c r="H191" s="420">
        <f t="shared" si="9"/>
        <v>23054.667088199902</v>
      </c>
      <c r="I191" s="421">
        <f>$J191*'Other national data'!N426</f>
        <v>2.5110276999999997E-10</v>
      </c>
      <c r="J191" s="1495">
        <f>SUMIFS('Basel data'!E:E,'Basel data'!A:A,L191,'Basel data'!G:G,$B$1)+SUMIFS('Basel data'!F:F,'Basel data'!A:A,L191,'Basel data'!G:G,$B$1)+SUMIFS('Basel data'!E:E,'Basel data'!C:C,L191,'Basel data'!G:G,$B$1)+SUMIFS('Basel data'!F:F,'Basel data'!C:C,L191,'Basel data'!G:G,$B$1)</f>
        <v>25110.276999999998</v>
      </c>
      <c r="L191" s="121" t="s">
        <v>159</v>
      </c>
      <c r="O191" s="36" t="str">
        <f t="shared" si="10"/>
        <v>OK</v>
      </c>
    </row>
    <row r="192" spans="1:21" x14ac:dyDescent="0.2">
      <c r="C192" s="7"/>
      <c r="D192" s="7"/>
      <c r="E192" s="7"/>
      <c r="F192" s="138" t="s">
        <v>210</v>
      </c>
      <c r="G192" s="123">
        <f>$J192*IF(ISNUMBER('Other national data'!J427),'Other national data'!J427,'Other national data'!L427)</f>
        <v>0.12151031267111732</v>
      </c>
      <c r="H192" s="420">
        <f t="shared" si="9"/>
        <v>11.058489687328882</v>
      </c>
      <c r="I192" s="421">
        <f>$J192*'Other national data'!N427</f>
        <v>1.118E-13</v>
      </c>
      <c r="J192" s="1495">
        <f>SUMIFS('Basel data'!E:E,'Basel data'!A:A,L192,'Basel data'!G:G,$B$1)+SUMIFS('Basel data'!F:F,'Basel data'!A:A,L192,'Basel data'!G:G,$B$1)+SUMIFS('Basel data'!E:E,'Basel data'!C:C,L192,'Basel data'!G:G,$B$1)+SUMIFS('Basel data'!F:F,'Basel data'!C:C,L192,'Basel data'!G:G,$B$1)</f>
        <v>11.18</v>
      </c>
      <c r="L192" s="121" t="s">
        <v>209</v>
      </c>
      <c r="O192" s="36" t="str">
        <f t="shared" si="10"/>
        <v>OK</v>
      </c>
    </row>
    <row r="193" spans="2:21" x14ac:dyDescent="0.2">
      <c r="C193" s="7"/>
      <c r="D193" s="7"/>
      <c r="E193" s="7"/>
      <c r="F193" s="138" t="s">
        <v>214</v>
      </c>
      <c r="G193" s="123">
        <f>$J193*IF(ISNUMBER('Other national data'!J428),'Other national data'!J428,'Other national data'!L428)</f>
        <v>60.875010548988833</v>
      </c>
      <c r="H193" s="420">
        <f t="shared" si="9"/>
        <v>15109.776989450998</v>
      </c>
      <c r="I193" s="421">
        <f>$J193*'Other national data'!N428</f>
        <v>1.5170651999999986E-10</v>
      </c>
      <c r="J193" s="1495">
        <f>SUMIFS('Basel data'!E:E,'Basel data'!A:A,L193,'Basel data'!G:G,$B$1)+SUMIFS('Basel data'!F:F,'Basel data'!A:A,L193,'Basel data'!G:G,$B$1)+SUMIFS('Basel data'!E:E,'Basel data'!C:C,L193,'Basel data'!G:G,$B$1)+SUMIFS('Basel data'!F:F,'Basel data'!C:C,L193,'Basel data'!G:G,$B$1)</f>
        <v>15170.651999999987</v>
      </c>
      <c r="L193" s="121" t="s">
        <v>213</v>
      </c>
      <c r="O193" s="36" t="str">
        <f t="shared" si="10"/>
        <v>OK</v>
      </c>
    </row>
    <row r="194" spans="2:21" x14ac:dyDescent="0.2">
      <c r="C194" s="7"/>
      <c r="D194" s="7"/>
      <c r="E194" s="7"/>
      <c r="F194" s="138" t="s">
        <v>220</v>
      </c>
      <c r="G194" s="123">
        <f>$J194*IF(ISNUMBER('Other national data'!J429),'Other national data'!J429,'Other national data'!L429)</f>
        <v>5.3375143367868292</v>
      </c>
      <c r="H194" s="420">
        <f t="shared" si="9"/>
        <v>3331.9084856632135</v>
      </c>
      <c r="I194" s="421">
        <f>$J194*'Other national data'!N429</f>
        <v>3.3372460000000002E-11</v>
      </c>
      <c r="J194" s="1495">
        <f>SUMIFS('Basel data'!E:E,'Basel data'!A:A,L194,'Basel data'!G:G,$B$1)+SUMIFS('Basel data'!F:F,'Basel data'!A:A,L194,'Basel data'!G:G,$B$1)+SUMIFS('Basel data'!E:E,'Basel data'!C:C,L194,'Basel data'!G:G,$B$1)+SUMIFS('Basel data'!F:F,'Basel data'!C:C,L194,'Basel data'!G:G,$B$1)</f>
        <v>3337.2460000000001</v>
      </c>
      <c r="L194" s="121" t="s">
        <v>219</v>
      </c>
      <c r="O194" s="36" t="str">
        <f t="shared" si="10"/>
        <v>OK</v>
      </c>
    </row>
    <row r="195" spans="2:21" x14ac:dyDescent="0.2">
      <c r="C195" s="7"/>
      <c r="D195" s="7"/>
      <c r="E195" s="7"/>
      <c r="F195" s="138" t="s">
        <v>230</v>
      </c>
      <c r="G195" s="123">
        <f>$J195*IF(ISNUMBER('Other national data'!J430),'Other national data'!J430,'Other national data'!L430)</f>
        <v>81.803356273340384</v>
      </c>
      <c r="H195" s="420">
        <f t="shared" si="9"/>
        <v>1138.3576437266595</v>
      </c>
      <c r="I195" s="421">
        <f>$J195*'Other national data'!N430</f>
        <v>1.2201609999999998E-11</v>
      </c>
      <c r="J195" s="1495">
        <f>SUMIFS('Basel data'!E:E,'Basel data'!A:A,L195,'Basel data'!G:G,$B$1)+SUMIFS('Basel data'!F:F,'Basel data'!A:A,L195,'Basel data'!G:G,$B$1)+SUMIFS('Basel data'!E:E,'Basel data'!C:C,L195,'Basel data'!G:G,$B$1)+SUMIFS('Basel data'!F:F,'Basel data'!C:C,L195,'Basel data'!G:G,$B$1)</f>
        <v>1220.1609999999998</v>
      </c>
      <c r="L195" s="121" t="s">
        <v>229</v>
      </c>
      <c r="O195" s="36" t="str">
        <f t="shared" si="10"/>
        <v>OK</v>
      </c>
    </row>
    <row r="196" spans="2:21" x14ac:dyDescent="0.2">
      <c r="C196" s="7"/>
      <c r="D196" s="7"/>
      <c r="E196" s="7"/>
      <c r="F196" s="138" t="s">
        <v>238</v>
      </c>
      <c r="G196" s="123">
        <f>$J196*IF(ISNUMBER('Other national data'!J431),'Other national data'!J431,'Other national data'!L431)</f>
        <v>85.184866303955459</v>
      </c>
      <c r="H196" s="420">
        <f t="shared" si="9"/>
        <v>79911.863133696112</v>
      </c>
      <c r="I196" s="421">
        <f>$J196*'Other national data'!N431</f>
        <v>7.9997048000000067E-10</v>
      </c>
      <c r="J196" s="1495">
        <f>SUMIFS('Basel data'!E:E,'Basel data'!A:A,L196,'Basel data'!G:G,$B$1)+SUMIFS('Basel data'!F:F,'Basel data'!A:A,L196,'Basel data'!G:G,$B$1)+SUMIFS('Basel data'!E:E,'Basel data'!C:C,L196,'Basel data'!G:G,$B$1)+SUMIFS('Basel data'!F:F,'Basel data'!C:C,L196,'Basel data'!G:G,$B$1)</f>
        <v>79997.048000000068</v>
      </c>
      <c r="L196" s="121" t="s">
        <v>237</v>
      </c>
      <c r="O196" s="36" t="str">
        <f t="shared" si="10"/>
        <v>OK</v>
      </c>
    </row>
    <row r="197" spans="2:21" x14ac:dyDescent="0.2">
      <c r="C197" s="7"/>
      <c r="D197" s="7"/>
      <c r="E197" s="7"/>
      <c r="F197" s="138" t="s">
        <v>246</v>
      </c>
      <c r="G197" s="123">
        <f>$J197*IF(ISNUMBER('Other national data'!J432),'Other national data'!J432,'Other national data'!L432)</f>
        <v>146.83490003747193</v>
      </c>
      <c r="H197" s="420">
        <f t="shared" si="9"/>
        <v>161262.83209996184</v>
      </c>
      <c r="I197" s="421">
        <f>$J197*'Other national data'!N432</f>
        <v>1.6140966699999933E-9</v>
      </c>
      <c r="J197" s="1495">
        <f>SUMIFS('Basel data'!E:E,'Basel data'!A:A,L197,'Basel data'!G:G,$B$1)+SUMIFS('Basel data'!F:F,'Basel data'!A:A,L197,'Basel data'!G:G,$B$1)+SUMIFS('Basel data'!E:E,'Basel data'!C:C,L197,'Basel data'!G:G,$B$1)+SUMIFS('Basel data'!F:F,'Basel data'!C:C,L197,'Basel data'!G:G,$B$1)</f>
        <v>161409.66699999932</v>
      </c>
      <c r="L197" s="121" t="s">
        <v>245</v>
      </c>
      <c r="O197" s="36" t="str">
        <f t="shared" si="10"/>
        <v>OK</v>
      </c>
    </row>
    <row r="198" spans="2:21" x14ac:dyDescent="0.2">
      <c r="C198" s="7"/>
      <c r="D198" s="7"/>
      <c r="E198" s="7"/>
      <c r="F198" s="138" t="s">
        <v>256</v>
      </c>
      <c r="G198" s="123">
        <f>$J198*IF(ISNUMBER('Other national data'!J433),'Other national data'!J433,'Other national data'!L433)</f>
        <v>17564.946923440824</v>
      </c>
      <c r="H198" s="420">
        <f t="shared" si="9"/>
        <v>517.79907655917123</v>
      </c>
      <c r="I198" s="421">
        <f>$J198*'Other national data'!N433</f>
        <v>1.8082745999999997E-10</v>
      </c>
      <c r="J198" s="1495">
        <f>SUMIFS('Basel data'!E:E,'Basel data'!A:A,L198,'Basel data'!G:G,$B$1)+SUMIFS('Basel data'!F:F,'Basel data'!A:A,L198,'Basel data'!G:G,$B$1)+SUMIFS('Basel data'!E:E,'Basel data'!C:C,L198,'Basel data'!G:G,$B$1)+SUMIFS('Basel data'!F:F,'Basel data'!C:C,L198,'Basel data'!G:G,$B$1)</f>
        <v>18082.745999999996</v>
      </c>
      <c r="L198" s="121" t="s">
        <v>255</v>
      </c>
      <c r="O198" s="36" t="str">
        <f t="shared" si="10"/>
        <v>OK</v>
      </c>
    </row>
    <row r="199" spans="2:21" x14ac:dyDescent="0.2">
      <c r="C199" s="7"/>
      <c r="D199" s="7"/>
      <c r="E199" s="7"/>
      <c r="F199" s="139" t="s">
        <v>343</v>
      </c>
      <c r="G199" s="123">
        <f>$J199*IF(ISNUMBER('Other national data'!J434),'Other national data'!J434,'Other national data'!L434)</f>
        <v>345162.28181421291</v>
      </c>
      <c r="H199" s="420">
        <f t="shared" si="9"/>
        <v>15106.323185787187</v>
      </c>
      <c r="I199" s="421">
        <f>$J199*'Other national data'!N434</f>
        <v>3.6026860500000009E-9</v>
      </c>
      <c r="J199" s="1495">
        <f>SUMIFS('Basel data'!E:E,'Basel data'!A:A,L199,'Basel data'!G:G,$B$1)+SUMIFS('Basel data'!F:F,'Basel data'!A:A,L199,'Basel data'!G:G,$B$1)+SUMIFS('Basel data'!E:E,'Basel data'!C:C,L199,'Basel data'!G:G,$B$1)+SUMIFS('Basel data'!F:F,'Basel data'!C:C,L199,'Basel data'!G:G,$B$1)</f>
        <v>360268.6050000001</v>
      </c>
      <c r="L199" s="121" t="s">
        <v>281</v>
      </c>
      <c r="O199" s="36" t="str">
        <f t="shared" si="10"/>
        <v>OK</v>
      </c>
    </row>
    <row r="200" spans="2:21" x14ac:dyDescent="0.2">
      <c r="C200" s="7"/>
      <c r="D200" s="7"/>
      <c r="E200" s="7"/>
      <c r="F200" s="139" t="s">
        <v>97</v>
      </c>
      <c r="G200" s="123">
        <f>$J200*IF(ISNUMBER('Other national data'!J435),'Other national data'!J435,'Other national data'!L435)</f>
        <v>80033.278831532152</v>
      </c>
      <c r="H200" s="420">
        <f t="shared" si="9"/>
        <v>45.057168467843439</v>
      </c>
      <c r="I200" s="421">
        <f>$J200*'Other national data'!N435</f>
        <v>8.0078335999999997E-10</v>
      </c>
      <c r="J200" s="1495">
        <f>SUMIFS('Basel data'!E:E,'Basel data'!A:A,L200,'Basel data'!G:G,$B$1)+SUMIFS('Basel data'!F:F,'Basel data'!A:A,L200,'Basel data'!G:G,$B$1)+SUMIFS('Basel data'!E:E,'Basel data'!C:C,L200,'Basel data'!G:G,$B$1)+SUMIFS('Basel data'!F:F,'Basel data'!C:C,L200,'Basel data'!G:G,$B$1)</f>
        <v>80078.335999999996</v>
      </c>
      <c r="L200" s="121" t="s">
        <v>293</v>
      </c>
      <c r="O200" s="36" t="str">
        <f t="shared" si="10"/>
        <v>OK</v>
      </c>
    </row>
    <row r="201" spans="2:21" x14ac:dyDescent="0.2">
      <c r="C201" s="7"/>
      <c r="D201" s="7"/>
      <c r="E201" s="7"/>
      <c r="F201" s="139" t="s">
        <v>345</v>
      </c>
      <c r="G201" s="2541">
        <f>$J201*'Other national data'!N443</f>
        <v>13983.639013247712</v>
      </c>
      <c r="H201" s="2542">
        <f t="shared" si="9"/>
        <v>449168.80794137256</v>
      </c>
      <c r="I201" s="421">
        <f>$J201*'Other national data'!N436</f>
        <v>0</v>
      </c>
      <c r="J201" s="1495">
        <f>SUMIFS('Basel data'!E:E,'Basel data'!A:A,L201,'Basel data'!G:G,$B$1)+SUMIFS('Basel data'!F:F,'Basel data'!A:A,L201,'Basel data'!G:G,$B$1)+SUMIFS('Basel data'!E:E,'Basel data'!C:C,L201,'Basel data'!G:G,$B$1)+SUMIFS('Basel data'!F:F,'Basel data'!C:C,L201,'Basel data'!G:G,$B$1)-SUM(J199:J200)</f>
        <v>463152.4469546203</v>
      </c>
      <c r="K201" s="142" t="s">
        <v>27</v>
      </c>
      <c r="L201" s="121" t="s">
        <v>277</v>
      </c>
      <c r="O201" s="36" t="str">
        <f t="shared" si="10"/>
        <v>OK</v>
      </c>
    </row>
    <row r="202" spans="2:21" x14ac:dyDescent="0.2">
      <c r="C202" s="7"/>
      <c r="D202" s="7"/>
      <c r="E202" s="7"/>
      <c r="F202" s="138" t="s">
        <v>297</v>
      </c>
      <c r="G202" s="123">
        <f>$J202*IF(ISNUMBER('Other national data'!J437),'Other national data'!J437,'Other national data'!L437)</f>
        <v>12079.50235185641</v>
      </c>
      <c r="H202" s="420">
        <f t="shared" si="9"/>
        <v>124.25464814363113</v>
      </c>
      <c r="I202" s="421">
        <f>$J202*'Other national data'!N437</f>
        <v>1.2203757000000042E-10</v>
      </c>
      <c r="J202" s="1495">
        <f>SUMIFS('Basel data'!E:E,'Basel data'!A:A,L202,'Basel data'!G:G,$B$1)+SUMIFS('Basel data'!F:F,'Basel data'!A:A,L202,'Basel data'!G:G,$B$1)+SUMIFS('Basel data'!E:E,'Basel data'!C:C,L202,'Basel data'!G:G,$B$1)+SUMIFS('Basel data'!F:F,'Basel data'!C:C,L202,'Basel data'!G:G,$B$1)</f>
        <v>12203.757000000041</v>
      </c>
      <c r="L202" s="121" t="s">
        <v>296</v>
      </c>
      <c r="O202" s="36" t="str">
        <f t="shared" si="10"/>
        <v>OK</v>
      </c>
    </row>
    <row r="203" spans="2:21" x14ac:dyDescent="0.2">
      <c r="B203" s="7"/>
      <c r="C203" s="7"/>
      <c r="D203" s="7"/>
      <c r="E203" s="7"/>
      <c r="F203" s="1283" t="s">
        <v>39</v>
      </c>
      <c r="G203" s="123">
        <f>$J203*IF(ISNUMBER('Other national data'!J438),'Other national data'!J438,'Other national data'!L438)</f>
        <v>32961.703845511569</v>
      </c>
      <c r="H203" s="420">
        <f t="shared" si="9"/>
        <v>58856.756271461229</v>
      </c>
      <c r="I203" s="421">
        <f>$J203*'Other national data'!N438</f>
        <v>9.1818460116972794E-10</v>
      </c>
      <c r="J203" s="1495">
        <f>SUMIFS('Basel data'!E:E,'Basel data'!A:A,L203,'Basel data'!G:G,$B$1)+SUMIFS('Basel data'!F:F,'Basel data'!A:A,L203,'Basel data'!G:G,$B$1)+SUMIFS('Basel data'!E:E,'Basel data'!C:C,L203,'Basel data'!G:G,$B$1)+SUMIFS('Basel data'!F:F,'Basel data'!C:C,L203,'Basel data'!G:G,$B$1)</f>
        <v>91818.460116972798</v>
      </c>
      <c r="L203" s="1275" t="s">
        <v>309</v>
      </c>
      <c r="O203" s="36" t="str">
        <f t="shared" si="10"/>
        <v>OK</v>
      </c>
      <c r="U203" s="7"/>
    </row>
    <row r="204" spans="2:21" x14ac:dyDescent="0.2">
      <c r="C204" s="7"/>
      <c r="D204" s="7"/>
      <c r="E204" s="7"/>
      <c r="F204" s="1283" t="s">
        <v>904</v>
      </c>
      <c r="G204" s="422">
        <f>$J204*IF(ISNUMBER('Other national data'!J439),'Other national data'!J439,'Other national data'!L439)</f>
        <v>17.394037783529271</v>
      </c>
      <c r="H204" s="423">
        <f t="shared" si="9"/>
        <v>470.85296221647377</v>
      </c>
      <c r="I204" s="424">
        <f>$J204*'Other national data'!N439</f>
        <v>4.8824700000000302E-12</v>
      </c>
      <c r="J204" s="1495">
        <f>SUMIFS('Basel data'!E:E,'Basel data'!A:A,L204,'Basel data'!G:G,$B$1)+SUMIFS('Basel data'!F:F,'Basel data'!A:A,L204,'Basel data'!G:G,$B$1)+SUMIFS('Basel data'!E:E,'Basel data'!C:C,L204,'Basel data'!G:G,$B$1)+SUMIFS('Basel data'!F:F,'Basel data'!C:C,L204,'Basel data'!G:G,$B$1)-J203</f>
        <v>488.24700000000303</v>
      </c>
      <c r="L204" s="121" t="s">
        <v>303</v>
      </c>
      <c r="O204" s="36" t="str">
        <f t="shared" si="10"/>
        <v>OK</v>
      </c>
      <c r="U204" s="7"/>
    </row>
    <row r="205" spans="2:21" x14ac:dyDescent="0.25">
      <c r="H205" s="18"/>
      <c r="J205" s="1318">
        <f>SUM(J188:J204)</f>
        <v>1339520.4410715927</v>
      </c>
      <c r="M205" s="35" t="str">
        <f>IF(SUM(SUMIF('Basel data'!G:G,B1,'Basel data'!E:E),SUMIF('Basel data'!G:G,B1,'Basel data'!F:F))=J205,"OK","Error")</f>
        <v>OK</v>
      </c>
      <c r="N205" s="19"/>
    </row>
    <row r="206" spans="2:21" x14ac:dyDescent="0.25">
      <c r="M206" s="19"/>
    </row>
    <row r="207" spans="2:21" x14ac:dyDescent="0.25">
      <c r="K207" s="126"/>
      <c r="M207" s="19"/>
    </row>
    <row r="208" spans="2:21" ht="15.75" x14ac:dyDescent="0.25">
      <c r="B208" s="143" t="s">
        <v>585</v>
      </c>
      <c r="F208" s="143" t="s">
        <v>586</v>
      </c>
      <c r="K208" s="126"/>
      <c r="M208" s="19"/>
    </row>
    <row r="209" spans="2:14" ht="15" x14ac:dyDescent="0.25">
      <c r="B209" s="2696"/>
      <c r="C209" s="2697"/>
      <c r="D209" s="2698"/>
      <c r="E209" s="473"/>
      <c r="F209" s="2618"/>
      <c r="G209" s="2619"/>
      <c r="H209" s="2619"/>
      <c r="I209" s="2619"/>
      <c r="J209" s="2619"/>
      <c r="K209" s="2619"/>
      <c r="L209" s="2619"/>
      <c r="M209" s="2619"/>
      <c r="N209" s="2620"/>
    </row>
    <row r="210" spans="2:14" ht="15" x14ac:dyDescent="0.25">
      <c r="B210" s="2701"/>
      <c r="C210" s="2702"/>
      <c r="D210" s="2703"/>
      <c r="E210" s="473"/>
      <c r="F210" s="2615"/>
      <c r="G210" s="2616"/>
      <c r="H210" s="2616"/>
      <c r="I210" s="2616"/>
      <c r="J210" s="2616"/>
      <c r="K210" s="2616"/>
      <c r="L210" s="2616"/>
      <c r="M210" s="2616"/>
      <c r="N210" s="2617"/>
    </row>
    <row r="211" spans="2:14" ht="15" x14ac:dyDescent="0.25">
      <c r="B211" s="2701"/>
      <c r="C211" s="2702"/>
      <c r="D211" s="2703"/>
      <c r="E211" s="473"/>
      <c r="F211" s="2615"/>
      <c r="G211" s="2616"/>
      <c r="H211" s="2616"/>
      <c r="I211" s="2616"/>
      <c r="J211" s="2616"/>
      <c r="K211" s="2616"/>
      <c r="L211" s="2616"/>
      <c r="M211" s="2616"/>
      <c r="N211" s="2617"/>
    </row>
    <row r="212" spans="2:14" ht="15" x14ac:dyDescent="0.25">
      <c r="B212" s="2701"/>
      <c r="C212" s="2702"/>
      <c r="D212" s="2703"/>
      <c r="E212" s="473"/>
      <c r="F212" s="2615"/>
      <c r="G212" s="2616"/>
      <c r="H212" s="2616"/>
      <c r="I212" s="2616"/>
      <c r="J212" s="2616"/>
      <c r="K212" s="2616"/>
      <c r="L212" s="2616"/>
      <c r="M212" s="2616"/>
      <c r="N212" s="2617"/>
    </row>
    <row r="213" spans="2:14" ht="15" x14ac:dyDescent="0.25">
      <c r="B213" s="2701"/>
      <c r="C213" s="2702"/>
      <c r="D213" s="2703"/>
      <c r="E213" s="473"/>
      <c r="F213" s="2615"/>
      <c r="G213" s="2616"/>
      <c r="H213" s="2616"/>
      <c r="I213" s="2616"/>
      <c r="J213" s="2616"/>
      <c r="K213" s="2616"/>
      <c r="L213" s="2616"/>
      <c r="M213" s="2616"/>
      <c r="N213" s="2617"/>
    </row>
    <row r="214" spans="2:14" ht="15" x14ac:dyDescent="0.25">
      <c r="B214" s="2701"/>
      <c r="C214" s="2702"/>
      <c r="D214" s="2703"/>
      <c r="E214" s="473"/>
      <c r="F214" s="2615"/>
      <c r="G214" s="2616"/>
      <c r="H214" s="2616"/>
      <c r="I214" s="2616"/>
      <c r="J214" s="2616"/>
      <c r="K214" s="2616"/>
      <c r="L214" s="2616"/>
      <c r="M214" s="2616"/>
      <c r="N214" s="2617"/>
    </row>
    <row r="215" spans="2:14" ht="15" x14ac:dyDescent="0.25">
      <c r="B215" s="2701"/>
      <c r="C215" s="2702"/>
      <c r="D215" s="2703"/>
      <c r="E215" s="473"/>
      <c r="F215" s="2615"/>
      <c r="G215" s="2616"/>
      <c r="H215" s="2616"/>
      <c r="I215" s="2616"/>
      <c r="J215" s="2616"/>
      <c r="K215" s="2616"/>
      <c r="L215" s="2616"/>
      <c r="M215" s="2616"/>
      <c r="N215" s="2617"/>
    </row>
    <row r="216" spans="2:14" ht="15" x14ac:dyDescent="0.25">
      <c r="B216" s="2701"/>
      <c r="C216" s="2702"/>
      <c r="D216" s="2703"/>
      <c r="E216" s="473"/>
      <c r="F216" s="2615"/>
      <c r="G216" s="2616"/>
      <c r="H216" s="2616"/>
      <c r="I216" s="2616"/>
      <c r="J216" s="2616"/>
      <c r="K216" s="2616"/>
      <c r="L216" s="2616"/>
      <c r="M216" s="2616"/>
      <c r="N216" s="2617"/>
    </row>
    <row r="217" spans="2:14" x14ac:dyDescent="0.25">
      <c r="B217" s="2615"/>
      <c r="C217" s="2616"/>
      <c r="D217" s="2617"/>
      <c r="E217" s="473"/>
      <c r="F217" s="2615"/>
      <c r="G217" s="2616"/>
      <c r="H217" s="2616"/>
      <c r="I217" s="2616"/>
      <c r="J217" s="2616"/>
      <c r="K217" s="2616"/>
      <c r="L217" s="2616"/>
      <c r="M217" s="2616"/>
      <c r="N217" s="2617"/>
    </row>
    <row r="218" spans="2:14" x14ac:dyDescent="0.25">
      <c r="B218" s="2615"/>
      <c r="C218" s="2616"/>
      <c r="D218" s="2617"/>
      <c r="E218" s="473"/>
      <c r="F218" s="2615"/>
      <c r="G218" s="2616"/>
      <c r="H218" s="2616"/>
      <c r="I218" s="2616"/>
      <c r="J218" s="2616"/>
      <c r="K218" s="2616"/>
      <c r="L218" s="2616"/>
      <c r="M218" s="2616"/>
      <c r="N218" s="2617"/>
    </row>
    <row r="219" spans="2:14" x14ac:dyDescent="0.25">
      <c r="B219" s="2615"/>
      <c r="C219" s="2616"/>
      <c r="D219" s="2617"/>
      <c r="E219" s="473"/>
      <c r="F219" s="2615"/>
      <c r="G219" s="2616"/>
      <c r="H219" s="2616"/>
      <c r="I219" s="2616"/>
      <c r="J219" s="2616"/>
      <c r="K219" s="2616"/>
      <c r="L219" s="2616"/>
      <c r="M219" s="2616"/>
      <c r="N219" s="2617"/>
    </row>
    <row r="220" spans="2:14" x14ac:dyDescent="0.25">
      <c r="B220" s="2615"/>
      <c r="C220" s="2616"/>
      <c r="D220" s="2617"/>
      <c r="E220" s="473"/>
      <c r="F220" s="2615"/>
      <c r="G220" s="2616"/>
      <c r="H220" s="2616"/>
      <c r="I220" s="2616"/>
      <c r="J220" s="2616"/>
      <c r="K220" s="2616"/>
      <c r="L220" s="2616"/>
      <c r="M220" s="2616"/>
      <c r="N220" s="2617"/>
    </row>
    <row r="221" spans="2:14" x14ac:dyDescent="0.25">
      <c r="B221" s="2615"/>
      <c r="C221" s="2616"/>
      <c r="D221" s="2617"/>
      <c r="E221" s="473"/>
      <c r="F221" s="2615"/>
      <c r="G221" s="2616"/>
      <c r="H221" s="2616"/>
      <c r="I221" s="2616"/>
      <c r="J221" s="2616"/>
      <c r="K221" s="2616"/>
      <c r="L221" s="2616"/>
      <c r="M221" s="2616"/>
      <c r="N221" s="2617"/>
    </row>
    <row r="222" spans="2:14" x14ac:dyDescent="0.25">
      <c r="B222" s="2615"/>
      <c r="C222" s="2616"/>
      <c r="D222" s="2617"/>
      <c r="E222" s="473"/>
      <c r="F222" s="2615"/>
      <c r="G222" s="2616"/>
      <c r="H222" s="2616"/>
      <c r="I222" s="2616"/>
      <c r="J222" s="2616"/>
      <c r="K222" s="2616"/>
      <c r="L222" s="2616"/>
      <c r="M222" s="2616"/>
      <c r="N222" s="2617"/>
    </row>
    <row r="223" spans="2:14" x14ac:dyDescent="0.25">
      <c r="B223" s="2615"/>
      <c r="C223" s="2616"/>
      <c r="D223" s="2617"/>
      <c r="E223" s="473"/>
      <c r="F223" s="2615"/>
      <c r="G223" s="2616"/>
      <c r="H223" s="2616"/>
      <c r="I223" s="2616"/>
      <c r="J223" s="2616"/>
      <c r="K223" s="2616"/>
      <c r="L223" s="2616"/>
      <c r="M223" s="2616"/>
      <c r="N223" s="2617"/>
    </row>
    <row r="224" spans="2:14" x14ac:dyDescent="0.25">
      <c r="B224" s="2615"/>
      <c r="C224" s="2616"/>
      <c r="D224" s="2617"/>
      <c r="E224" s="473"/>
      <c r="F224" s="2615"/>
      <c r="G224" s="2616"/>
      <c r="H224" s="2616"/>
      <c r="I224" s="2616"/>
      <c r="J224" s="2616"/>
      <c r="K224" s="2616"/>
      <c r="L224" s="2616"/>
      <c r="M224" s="2616"/>
      <c r="N224" s="2617"/>
    </row>
    <row r="225" spans="2:14" x14ac:dyDescent="0.25">
      <c r="B225" s="2615"/>
      <c r="C225" s="2616"/>
      <c r="D225" s="2617"/>
      <c r="E225" s="473"/>
      <c r="F225" s="2615"/>
      <c r="G225" s="2616"/>
      <c r="H225" s="2616"/>
      <c r="I225" s="2616"/>
      <c r="J225" s="2616"/>
      <c r="K225" s="2616"/>
      <c r="L225" s="2616"/>
      <c r="M225" s="2616"/>
      <c r="N225" s="2617"/>
    </row>
    <row r="226" spans="2:14" x14ac:dyDescent="0.25">
      <c r="B226" s="2615"/>
      <c r="C226" s="2616"/>
      <c r="D226" s="2617"/>
      <c r="E226" s="473"/>
      <c r="F226" s="2615"/>
      <c r="G226" s="2616"/>
      <c r="H226" s="2616"/>
      <c r="I226" s="2616"/>
      <c r="J226" s="2616"/>
      <c r="K226" s="2616"/>
      <c r="L226" s="2616"/>
      <c r="M226" s="2616"/>
      <c r="N226" s="2617"/>
    </row>
    <row r="227" spans="2:14" x14ac:dyDescent="0.25">
      <c r="B227" s="2615"/>
      <c r="C227" s="2616"/>
      <c r="D227" s="2617"/>
      <c r="E227" s="473"/>
      <c r="F227" s="2615"/>
      <c r="G227" s="2616"/>
      <c r="H227" s="2616"/>
      <c r="I227" s="2616"/>
      <c r="J227" s="2616"/>
      <c r="K227" s="2616"/>
      <c r="L227" s="2616"/>
      <c r="M227" s="2616"/>
      <c r="N227" s="2617"/>
    </row>
    <row r="228" spans="2:14" x14ac:dyDescent="0.25">
      <c r="B228" s="2615"/>
      <c r="C228" s="2616"/>
      <c r="D228" s="2617"/>
      <c r="E228" s="473"/>
      <c r="F228" s="2615"/>
      <c r="G228" s="2616"/>
      <c r="H228" s="2616"/>
      <c r="I228" s="2616"/>
      <c r="J228" s="2616"/>
      <c r="K228" s="2616"/>
      <c r="L228" s="2616"/>
      <c r="M228" s="2616"/>
      <c r="N228" s="2617"/>
    </row>
    <row r="229" spans="2:14" x14ac:dyDescent="0.25">
      <c r="B229" s="2615"/>
      <c r="C229" s="2616"/>
      <c r="D229" s="2617"/>
      <c r="E229" s="473"/>
      <c r="F229" s="2615"/>
      <c r="G229" s="2616"/>
      <c r="H229" s="2616"/>
      <c r="I229" s="2616"/>
      <c r="J229" s="2616"/>
      <c r="K229" s="2616"/>
      <c r="L229" s="2616"/>
      <c r="M229" s="2616"/>
      <c r="N229" s="2617"/>
    </row>
    <row r="230" spans="2:14" x14ac:dyDescent="0.25">
      <c r="B230" s="2615"/>
      <c r="C230" s="2616"/>
      <c r="D230" s="2617"/>
      <c r="E230" s="473"/>
      <c r="F230" s="2615"/>
      <c r="G230" s="2616"/>
      <c r="H230" s="2616"/>
      <c r="I230" s="2616"/>
      <c r="J230" s="2616"/>
      <c r="K230" s="2616"/>
      <c r="L230" s="2616"/>
      <c r="M230" s="2616"/>
      <c r="N230" s="2617"/>
    </row>
    <row r="231" spans="2:14" x14ac:dyDescent="0.25">
      <c r="B231" s="2615"/>
      <c r="C231" s="2616"/>
      <c r="D231" s="2617"/>
      <c r="E231" s="473"/>
      <c r="F231" s="2615"/>
      <c r="G231" s="2616"/>
      <c r="H231" s="2616"/>
      <c r="I231" s="2616"/>
      <c r="J231" s="2616"/>
      <c r="K231" s="2616"/>
      <c r="L231" s="2616"/>
      <c r="M231" s="2616"/>
      <c r="N231" s="2617"/>
    </row>
    <row r="232" spans="2:14" x14ac:dyDescent="0.25">
      <c r="B232" s="2634"/>
      <c r="C232" s="2635"/>
      <c r="D232" s="2636"/>
      <c r="E232" s="473"/>
      <c r="F232" s="2634"/>
      <c r="G232" s="2635"/>
      <c r="H232" s="2635"/>
      <c r="I232" s="2635"/>
      <c r="J232" s="2635"/>
      <c r="K232" s="2635"/>
      <c r="L232" s="2635"/>
      <c r="M232" s="2635"/>
      <c r="N232" s="2636"/>
    </row>
    <row r="233" spans="2:14" x14ac:dyDescent="0.25">
      <c r="C233" s="14"/>
      <c r="D233" s="14"/>
      <c r="E233" s="14"/>
      <c r="F233" s="18"/>
      <c r="L233" s="14"/>
      <c r="N233" s="14"/>
    </row>
    <row r="234" spans="2:14" ht="15.75" x14ac:dyDescent="0.25">
      <c r="B234" s="143"/>
      <c r="C234" s="14"/>
      <c r="D234" s="14"/>
      <c r="E234" s="14"/>
      <c r="F234" s="18"/>
      <c r="L234" s="14"/>
      <c r="N234" s="14"/>
    </row>
    <row r="235" spans="2:14" x14ac:dyDescent="0.25">
      <c r="C235" s="14"/>
      <c r="D235" s="14"/>
      <c r="E235" s="14"/>
      <c r="F235" s="18"/>
      <c r="L235" s="14"/>
      <c r="N235" s="14"/>
    </row>
    <row r="236" spans="2:14" x14ac:dyDescent="0.25">
      <c r="C236" s="14"/>
      <c r="D236" s="14"/>
      <c r="E236" s="14"/>
      <c r="F236" s="18"/>
      <c r="L236" s="14"/>
      <c r="N236" s="14"/>
    </row>
    <row r="237" spans="2:14" x14ac:dyDescent="0.25">
      <c r="C237" s="14"/>
      <c r="D237" s="14"/>
      <c r="E237" s="14"/>
      <c r="F237" s="17"/>
      <c r="L237" s="14"/>
      <c r="N237" s="14"/>
    </row>
  </sheetData>
  <sheetProtection sheet="1" objects="1" scenarios="1"/>
  <mergeCells count="76">
    <mergeCell ref="D4:E4"/>
    <mergeCell ref="J4:K4"/>
    <mergeCell ref="C179:C180"/>
    <mergeCell ref="C45:C46"/>
    <mergeCell ref="C48:C49"/>
    <mergeCell ref="C103:C104"/>
    <mergeCell ref="C105:C107"/>
    <mergeCell ref="C51:C53"/>
    <mergeCell ref="C111:C113"/>
    <mergeCell ref="D11:I11"/>
    <mergeCell ref="D10:I10"/>
    <mergeCell ref="J11:M11"/>
    <mergeCell ref="J12:M12"/>
    <mergeCell ref="J13:M13"/>
    <mergeCell ref="B224:D224"/>
    <mergeCell ref="F224:N224"/>
    <mergeCell ref="B225:D225"/>
    <mergeCell ref="F225:N225"/>
    <mergeCell ref="B226:D226"/>
    <mergeCell ref="F226:N226"/>
    <mergeCell ref="B232:D232"/>
    <mergeCell ref="F232:N232"/>
    <mergeCell ref="B227:D227"/>
    <mergeCell ref="F227:N227"/>
    <mergeCell ref="B228:D228"/>
    <mergeCell ref="F228:N228"/>
    <mergeCell ref="B229:D229"/>
    <mergeCell ref="F229:N229"/>
    <mergeCell ref="B230:D230"/>
    <mergeCell ref="F230:N230"/>
    <mergeCell ref="B231:D231"/>
    <mergeCell ref="F231:N231"/>
    <mergeCell ref="B216:D216"/>
    <mergeCell ref="F216:N216"/>
    <mergeCell ref="B217:D217"/>
    <mergeCell ref="F217:N217"/>
    <mergeCell ref="F223:N223"/>
    <mergeCell ref="B218:D218"/>
    <mergeCell ref="F218:N218"/>
    <mergeCell ref="B219:D219"/>
    <mergeCell ref="F219:N219"/>
    <mergeCell ref="B220:D220"/>
    <mergeCell ref="F220:N220"/>
    <mergeCell ref="B221:D221"/>
    <mergeCell ref="F221:N221"/>
    <mergeCell ref="B222:D222"/>
    <mergeCell ref="F222:N222"/>
    <mergeCell ref="B223:D223"/>
    <mergeCell ref="B213:D213"/>
    <mergeCell ref="F213:N213"/>
    <mergeCell ref="B214:D214"/>
    <mergeCell ref="F214:N214"/>
    <mergeCell ref="B215:D215"/>
    <mergeCell ref="F215:N215"/>
    <mergeCell ref="B210:D210"/>
    <mergeCell ref="F210:N210"/>
    <mergeCell ref="B211:D211"/>
    <mergeCell ref="F211:N211"/>
    <mergeCell ref="B212:D212"/>
    <mergeCell ref="F212:N212"/>
    <mergeCell ref="B209:D209"/>
    <mergeCell ref="F209:N209"/>
    <mergeCell ref="N103:N104"/>
    <mergeCell ref="M71:M73"/>
    <mergeCell ref="N71:N73"/>
    <mergeCell ref="B149:B150"/>
    <mergeCell ref="C149:C150"/>
    <mergeCell ref="M85:M87"/>
    <mergeCell ref="N85:N87"/>
    <mergeCell ref="C109:C110"/>
    <mergeCell ref="N8:N10"/>
    <mergeCell ref="C42:C43"/>
    <mergeCell ref="N42:N43"/>
    <mergeCell ref="C28:C30"/>
    <mergeCell ref="D12:I12"/>
    <mergeCell ref="D13:I13"/>
  </mergeCells>
  <conditionalFormatting sqref="K162 K170 K173:K174">
    <cfRule type="cellIs" dxfId="77" priority="70" operator="equal">
      <formula>"Error"</formula>
    </cfRule>
  </conditionalFormatting>
  <conditionalFormatting sqref="G150:I150 G181:I181 N22 N103 N151:N153 N180:N181 G27:H28 H35:I35 G43:I55 G102:I133 N30 N38 N47 N105:N107">
    <cfRule type="expression" dxfId="76" priority="59">
      <formula>AND($P$14=0,$Q$14&gt;0)</formula>
    </cfRule>
  </conditionalFormatting>
  <conditionalFormatting sqref="N8:N9">
    <cfRule type="expression" dxfId="75" priority="45">
      <formula>AND(ISNUMBER($D$9),$O$14&gt;0)</formula>
    </cfRule>
  </conditionalFormatting>
  <conditionalFormatting sqref="N11">
    <cfRule type="expression" dxfId="74" priority="44">
      <formula>AND(ISNUMBER($D$9),O11&gt;0)</formula>
    </cfRule>
  </conditionalFormatting>
  <conditionalFormatting sqref="J8:M10">
    <cfRule type="expression" dxfId="73" priority="43">
      <formula>$P$14&lt;0</formula>
    </cfRule>
  </conditionalFormatting>
  <conditionalFormatting sqref="J11:M13">
    <cfRule type="expression" dxfId="72" priority="42">
      <formula>P11&lt;0</formula>
    </cfRule>
  </conditionalFormatting>
  <conditionalFormatting sqref="B10:C10">
    <cfRule type="expression" dxfId="71" priority="41">
      <formula>$D$9&gt;0</formula>
    </cfRule>
  </conditionalFormatting>
  <conditionalFormatting sqref="B11:I13">
    <cfRule type="expression" dxfId="70" priority="40">
      <formula>$D$9=3</formula>
    </cfRule>
  </conditionalFormatting>
  <conditionalFormatting sqref="B11:I12">
    <cfRule type="expression" dxfId="69" priority="39">
      <formula>$D$9=2</formula>
    </cfRule>
  </conditionalFormatting>
  <conditionalFormatting sqref="B11:I11">
    <cfRule type="expression" dxfId="68" priority="38">
      <formula>$D$9=1</formula>
    </cfRule>
  </conditionalFormatting>
  <conditionalFormatting sqref="D11:I11">
    <cfRule type="expression" dxfId="67" priority="36">
      <formula>ISBLANK($D$9)</formula>
    </cfRule>
  </conditionalFormatting>
  <conditionalFormatting sqref="D12:I12">
    <cfRule type="expression" dxfId="66" priority="35">
      <formula>$D$9&lt;2</formula>
    </cfRule>
  </conditionalFormatting>
  <conditionalFormatting sqref="D13:I13">
    <cfRule type="expression" dxfId="65" priority="34">
      <formula>$D$9&lt;3</formula>
    </cfRule>
  </conditionalFormatting>
  <conditionalFormatting sqref="N12">
    <cfRule type="expression" dxfId="64" priority="33">
      <formula>AND($D$9&gt;1,O12&gt;0)</formula>
    </cfRule>
  </conditionalFormatting>
  <conditionalFormatting sqref="N13">
    <cfRule type="expression" dxfId="63" priority="32">
      <formula>AND($D$9&gt;2,O13&gt;0)</formula>
    </cfRule>
  </conditionalFormatting>
  <conditionalFormatting sqref="M205">
    <cfRule type="cellIs" dxfId="62" priority="31" operator="equal">
      <formula>"Error"</formula>
    </cfRule>
  </conditionalFormatting>
  <conditionalFormatting sqref="D10:I10">
    <cfRule type="expression" dxfId="61" priority="30">
      <formula>$D$9&gt;0</formula>
    </cfRule>
  </conditionalFormatting>
  <conditionalFormatting sqref="N39">
    <cfRule type="expression" dxfId="60" priority="27">
      <formula>$B$14=$R$15</formula>
    </cfRule>
  </conditionalFormatting>
  <conditionalFormatting sqref="N48">
    <cfRule type="expression" dxfId="59" priority="26">
      <formula>$B$14=$R$15</formula>
    </cfRule>
  </conditionalFormatting>
  <conditionalFormatting sqref="N154">
    <cfRule type="expression" dxfId="58" priority="24">
      <formula>$B$14=$R$15</formula>
    </cfRule>
  </conditionalFormatting>
  <conditionalFormatting sqref="N182:N183">
    <cfRule type="expression" dxfId="57" priority="23">
      <formula>$B$14=$R$15</formula>
    </cfRule>
  </conditionalFormatting>
  <conditionalFormatting sqref="G19:H19">
    <cfRule type="expression" dxfId="56" priority="22">
      <formula>AND($P$14=0,$Q$14&gt;0)</formula>
    </cfRule>
  </conditionalFormatting>
  <conditionalFormatting sqref="N21:N23">
    <cfRule type="expression" dxfId="55" priority="21">
      <formula>$B$14=$R$15</formula>
    </cfRule>
  </conditionalFormatting>
  <conditionalFormatting sqref="N28:N31">
    <cfRule type="expression" dxfId="54" priority="20">
      <formula>$B$14=$R$15</formula>
    </cfRule>
  </conditionalFormatting>
  <conditionalFormatting sqref="N37">
    <cfRule type="expression" dxfId="53" priority="19">
      <formula>$B$14=$R$15</formula>
    </cfRule>
  </conditionalFormatting>
  <conditionalFormatting sqref="N46">
    <cfRule type="expression" dxfId="52" priority="18">
      <formula>$B$14=$R$15</formula>
    </cfRule>
  </conditionalFormatting>
  <conditionalFormatting sqref="D4:E4">
    <cfRule type="expression" dxfId="51" priority="14">
      <formula>COUNTIF(P16:T500,1)&gt;0</formula>
    </cfRule>
  </conditionalFormatting>
  <conditionalFormatting sqref="J4:K4">
    <cfRule type="expression" dxfId="50" priority="13">
      <formula>COUNTIF(P16:T500,-1)&gt;0</formula>
    </cfRule>
  </conditionalFormatting>
  <conditionalFormatting sqref="G27:H28 H35:I35 G43:I55 G102:I133 G181:I181 G19:H19 G150:I150">
    <cfRule type="expression" dxfId="49" priority="15">
      <formula>P19=-1</formula>
    </cfRule>
    <cfRule type="expression" dxfId="48" priority="16">
      <formula>P19=1</formula>
    </cfRule>
  </conditionalFormatting>
  <conditionalFormatting sqref="N38">
    <cfRule type="expression" dxfId="47" priority="10">
      <formula>$B$14=$R$15</formula>
    </cfRule>
  </conditionalFormatting>
  <conditionalFormatting sqref="N30">
    <cfRule type="expression" dxfId="46" priority="9">
      <formula>$B$14=$R$15</formula>
    </cfRule>
  </conditionalFormatting>
  <conditionalFormatting sqref="N38">
    <cfRule type="expression" dxfId="45" priority="8">
      <formula>$B$14=$R$15</formula>
    </cfRule>
  </conditionalFormatting>
  <conditionalFormatting sqref="N38">
    <cfRule type="expression" dxfId="44" priority="7">
      <formula>$B$14=$R$15</formula>
    </cfRule>
  </conditionalFormatting>
  <conditionalFormatting sqref="N47">
    <cfRule type="expression" dxfId="43" priority="6">
      <formula>$B$14=$R$15</formula>
    </cfRule>
  </conditionalFormatting>
  <conditionalFormatting sqref="N47">
    <cfRule type="expression" dxfId="42" priority="5">
      <formula>$B$14=$R$15</formula>
    </cfRule>
  </conditionalFormatting>
  <conditionalFormatting sqref="N106">
    <cfRule type="expression" dxfId="41" priority="4">
      <formula>$B$14=$R$15</formula>
    </cfRule>
  </conditionalFormatting>
  <conditionalFormatting sqref="N106">
    <cfRule type="expression" dxfId="40" priority="3">
      <formula>$B$14=$R$15</formula>
    </cfRule>
  </conditionalFormatting>
  <conditionalFormatting sqref="N106">
    <cfRule type="expression" dxfId="39" priority="2">
      <formula>$B$14=$R$15</formula>
    </cfRule>
  </conditionalFormatting>
  <conditionalFormatting sqref="O188:O204">
    <cfRule type="cellIs" dxfId="38" priority="1" operator="equal">
      <formula>"Error"</formula>
    </cfRule>
  </conditionalFormatting>
  <dataValidations count="3">
    <dataValidation type="list" allowBlank="1" showInputMessage="1" showErrorMessage="1" sqref="D9">
      <formula1>"1,2,3"</formula1>
    </dataValidation>
    <dataValidation type="list" allowBlank="1" showInputMessage="1" showErrorMessage="1" error="Please select from the two possible options by clicking on the small triangle to the right of this cell" sqref="D11:I13">
      <formula1>$R$11:$R$12</formula1>
    </dataValidation>
    <dataValidation type="list" allowBlank="1" showInputMessage="1" showErrorMessage="1" error="Please either leave this cell blank or, if you have updated the relevant data, confirm this by clicking on the small arrow to the right of this cell and selecting the available text " sqref="N11:N13">
      <formula1>$R$13</formula1>
    </dataValidation>
  </dataValidations>
  <hyperlinks>
    <hyperlink ref="B3" location="Comments_Vic" display="Link to the areas for providing general comments or footnotes"/>
    <hyperlink ref="F5" location="Vic!B235" display="Vic!B235"/>
    <hyperlink ref="M5" location="Data_validn_explan" display="Data_validn_explan"/>
  </hyperlinks>
  <pageMargins left="0.7" right="0.7" top="0.75" bottom="0.75" header="0.3" footer="0.3"/>
  <pageSetup paperSize="9" orientation="portrait" verticalDpi="0" r:id="rId1"/>
  <legacyDrawing r:id="rId2"/>
  <extLst>
    <ext xmlns:x14="http://schemas.microsoft.com/office/spreadsheetml/2009/9/main" uri="{78C0D931-6437-407d-A8EE-F0AAD7539E65}">
      <x14:conditionalFormattings>
        <x14:conditionalFormatting xmlns:xm="http://schemas.microsoft.com/office/excel/2006/main">
          <x14:cfRule type="cellIs" priority="110" operator="equal" id="{7EB3D438-66AD-4267-9305-B3034966C3E4}">
            <xm:f>Intro!$B$37</xm:f>
            <x14:dxf>
              <font>
                <color rgb="FFFF0000"/>
              </font>
            </x14:dxf>
          </x14:cfRule>
          <xm:sqref>D11:I13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33"/>
  </sheetPr>
  <dimension ref="A1:U284"/>
  <sheetViews>
    <sheetView zoomScale="85" zoomScaleNormal="85" workbookViewId="0">
      <pane ySplit="6" topLeftCell="A7" activePane="bottomLeft" state="frozen"/>
      <selection activeCell="A7" sqref="A7"/>
      <selection pane="bottomLeft" activeCell="A7" sqref="A7"/>
    </sheetView>
  </sheetViews>
  <sheetFormatPr defaultColWidth="9.140625" defaultRowHeight="12.75" x14ac:dyDescent="0.25"/>
  <cols>
    <col min="1" max="1" width="1.7109375" style="7" customWidth="1"/>
    <col min="2" max="2" width="35" style="5" customWidth="1"/>
    <col min="3" max="3" width="65" style="10" customWidth="1"/>
    <col min="4" max="4" width="8.42578125" style="10" customWidth="1"/>
    <col min="5" max="5" width="2.85546875" style="10" customWidth="1"/>
    <col min="6" max="6" width="24.140625" style="7" customWidth="1"/>
    <col min="7" max="9" width="13.28515625" style="7" customWidth="1"/>
    <col min="10" max="11" width="12.5703125" style="7" customWidth="1"/>
    <col min="12" max="12" width="2.5703125" style="10" customWidth="1"/>
    <col min="13" max="13" width="21.7109375" style="5" customWidth="1"/>
    <col min="14" max="14" width="44.85546875" style="10" customWidth="1"/>
    <col min="15" max="15" width="2.42578125" style="7" customWidth="1"/>
    <col min="16" max="20" width="3.5703125" style="36" customWidth="1"/>
    <col min="21" max="21" width="9.140625" style="7"/>
    <col min="22" max="22" width="10.7109375" style="7" customWidth="1"/>
    <col min="23" max="24" width="9.140625" style="7"/>
    <col min="25" max="25" width="11" style="7" customWidth="1"/>
    <col min="26" max="16384" width="9.140625" style="7"/>
  </cols>
  <sheetData>
    <row r="1" spans="1:21" s="1716" customFormat="1" ht="18.75" x14ac:dyDescent="0.25">
      <c r="A1" s="1718"/>
      <c r="B1" s="1718" t="s">
        <v>333</v>
      </c>
      <c r="C1" s="1719" t="s">
        <v>958</v>
      </c>
      <c r="D1" s="1719"/>
      <c r="E1" s="1719"/>
      <c r="L1" s="1719"/>
      <c r="M1" s="1718"/>
      <c r="N1" s="1719"/>
    </row>
    <row r="2" spans="1:21" x14ac:dyDescent="0.25">
      <c r="C2" s="6" t="s">
        <v>12</v>
      </c>
      <c r="E2" s="124" t="s">
        <v>13</v>
      </c>
      <c r="F2" s="126" t="s">
        <v>362</v>
      </c>
      <c r="H2" s="624" t="s">
        <v>708</v>
      </c>
      <c r="I2" s="623" t="s">
        <v>709</v>
      </c>
      <c r="L2" s="7"/>
      <c r="M2" s="989" t="s">
        <v>855</v>
      </c>
      <c r="N2" s="126" t="s">
        <v>364</v>
      </c>
    </row>
    <row r="3" spans="1:21" ht="15" x14ac:dyDescent="0.25">
      <c r="B3" s="329" t="s">
        <v>584</v>
      </c>
      <c r="E3" s="125" t="s">
        <v>14</v>
      </c>
      <c r="F3" s="126" t="s">
        <v>363</v>
      </c>
      <c r="H3" s="9" t="s">
        <v>15</v>
      </c>
      <c r="I3" s="126" t="s">
        <v>365</v>
      </c>
      <c r="L3" s="7"/>
      <c r="M3" s="676" t="s">
        <v>366</v>
      </c>
      <c r="N3" s="140" t="s">
        <v>367</v>
      </c>
    </row>
    <row r="4" spans="1:21" s="1055" customFormat="1" ht="18.75" x14ac:dyDescent="0.3">
      <c r="B4" s="1056"/>
      <c r="C4" s="1057"/>
      <c r="D4" s="2605" t="str">
        <f>IF(COUNTIF(P16:T495,1)&gt;0,"Red outline","")</f>
        <v>Red outline</v>
      </c>
      <c r="E4" s="2605"/>
      <c r="F4" s="1058" t="str">
        <f>IF(COUNTIF(P16:T495,1)&gt;0,": The data input value is surprisingly high - please check","")</f>
        <v>: The data input value is surprisingly high - please check</v>
      </c>
      <c r="J4" s="2605" t="str">
        <f>IF(COUNTIF(P16:T495,-1)&gt;0,"Dotted red outline","")</f>
        <v>Dotted red outline</v>
      </c>
      <c r="K4" s="2605"/>
      <c r="L4" s="1058" t="str">
        <f>IF(COUNTIF(P16:T495,-1)&gt;0,": The data input value is surprisingly low - please check","")</f>
        <v>: The data input value is surprisingly low - please check</v>
      </c>
      <c r="O4" s="1059"/>
      <c r="P4" s="1060"/>
      <c r="Q4" s="1060"/>
      <c r="R4" s="1060"/>
      <c r="S4" s="1060"/>
      <c r="T4" s="1060"/>
      <c r="U4" s="1060"/>
    </row>
    <row r="5" spans="1:21" ht="15" x14ac:dyDescent="0.25">
      <c r="C5" s="14"/>
      <c r="D5" s="14"/>
      <c r="E5" s="14"/>
      <c r="F5" s="1220" t="str">
        <f>IF(COUNTIF(P16:T495,1)&gt;0,"Click here for an explanation","")</f>
        <v>Click here for an explanation</v>
      </c>
      <c r="L5" s="7"/>
      <c r="M5" s="83" t="str">
        <f>IF(COUNTIF(P16:T472,-1)&gt;0,"Click here for an explanation","")</f>
        <v>Click here for an explanation</v>
      </c>
      <c r="N5" s="14"/>
      <c r="U5" s="36"/>
    </row>
    <row r="6" spans="1:21" s="105" customFormat="1" ht="15.75" x14ac:dyDescent="0.2">
      <c r="A6" s="103"/>
      <c r="B6" s="3" t="s">
        <v>322</v>
      </c>
      <c r="C6" s="4"/>
      <c r="D6" s="4"/>
      <c r="E6" s="104"/>
      <c r="F6" s="136" t="s">
        <v>328</v>
      </c>
      <c r="G6" s="73"/>
      <c r="H6" s="73"/>
      <c r="I6" s="73"/>
      <c r="J6" s="73"/>
      <c r="K6" s="73"/>
      <c r="L6" s="73"/>
      <c r="M6" s="154" t="s">
        <v>321</v>
      </c>
      <c r="N6" s="73"/>
      <c r="P6" s="1060"/>
      <c r="Q6" s="1060"/>
      <c r="R6" s="1060"/>
      <c r="S6" s="1060"/>
      <c r="T6" s="1060"/>
    </row>
    <row r="7" spans="1:21" x14ac:dyDescent="0.25">
      <c r="C7" s="7"/>
      <c r="D7" s="7"/>
      <c r="E7" s="7"/>
      <c r="L7" s="7"/>
      <c r="N7" s="7"/>
    </row>
    <row r="8" spans="1:21" ht="15.75" x14ac:dyDescent="0.25">
      <c r="B8" s="146" t="s">
        <v>573</v>
      </c>
      <c r="C8" s="127"/>
      <c r="D8" s="127"/>
      <c r="E8" s="127"/>
      <c r="F8" s="127"/>
      <c r="G8" s="129"/>
      <c r="H8" s="129"/>
      <c r="I8" s="127"/>
      <c r="J8" s="147"/>
      <c r="K8" s="147"/>
      <c r="L8" s="147"/>
      <c r="M8" s="147"/>
      <c r="N8" s="2607" t="s">
        <v>360</v>
      </c>
      <c r="P8" s="1050"/>
      <c r="Q8" s="1050"/>
      <c r="R8" s="1050"/>
      <c r="S8" s="1050"/>
      <c r="T8" s="1050"/>
    </row>
    <row r="9" spans="1:21" s="126" customFormat="1" ht="18.75" x14ac:dyDescent="0.25">
      <c r="B9" s="149"/>
      <c r="C9" s="150" t="s">
        <v>357</v>
      </c>
      <c r="D9" s="1319">
        <v>2</v>
      </c>
      <c r="E9" s="128"/>
      <c r="F9" s="455" t="str">
        <f>IF(AND(D9&gt;0,P14=0,O14&lt;D9),"Please fill in the white boxes below","")</f>
        <v/>
      </c>
      <c r="G9" s="129"/>
      <c r="H9" s="129"/>
      <c r="I9" s="128"/>
      <c r="J9" s="147"/>
      <c r="K9" s="147"/>
      <c r="L9" s="147"/>
      <c r="M9" s="147"/>
      <c r="N9" s="2607"/>
      <c r="P9" s="36"/>
      <c r="Q9" s="36"/>
      <c r="R9" s="36"/>
      <c r="S9" s="36"/>
      <c r="T9" s="36"/>
    </row>
    <row r="10" spans="1:21" x14ac:dyDescent="0.25">
      <c r="B10" s="502" t="s">
        <v>99</v>
      </c>
      <c r="C10" s="502" t="s">
        <v>351</v>
      </c>
      <c r="D10" s="2608" t="s">
        <v>640</v>
      </c>
      <c r="E10" s="2608"/>
      <c r="F10" s="2608"/>
      <c r="G10" s="2608"/>
      <c r="H10" s="2608"/>
      <c r="I10" s="2608"/>
      <c r="J10" s="147" t="s">
        <v>320</v>
      </c>
      <c r="K10" s="147"/>
      <c r="L10" s="147"/>
      <c r="M10" s="147"/>
      <c r="N10" s="2607"/>
      <c r="O10" s="302" t="s">
        <v>458</v>
      </c>
    </row>
    <row r="11" spans="1:21" ht="38.25" customHeight="1" x14ac:dyDescent="0.25">
      <c r="B11" s="1545">
        <v>42586</v>
      </c>
      <c r="C11" s="1546" t="s">
        <v>1104</v>
      </c>
      <c r="D11" s="2678" t="s">
        <v>358</v>
      </c>
      <c r="E11" s="2678"/>
      <c r="F11" s="2678"/>
      <c r="G11" s="2678"/>
      <c r="H11" s="2678"/>
      <c r="I11" s="2678"/>
      <c r="J11" s="2602"/>
      <c r="K11" s="2602"/>
      <c r="L11" s="2602"/>
      <c r="M11" s="2602"/>
      <c r="N11" s="1324"/>
      <c r="O11" s="36">
        <f>IF(AND(D11=Validated,OR(D9=1,D9=2,D9=3)),1,0)</f>
        <v>1</v>
      </c>
      <c r="P11" s="36">
        <f>IF(AND(D11=Not_validated,OR(D9=1,D9=2,D9=3)),-1,0)</f>
        <v>0</v>
      </c>
      <c r="Q11" s="36">
        <f>IF(AND(O11=1,ISBLANK(N11)),1,0)</f>
        <v>1</v>
      </c>
      <c r="R11" s="36" t="str">
        <f>Validated</f>
        <v>Yes, I believe the calculation steps, assumptions &amp; classifications below reasonably convert our waste data for this year to the form required for the national waste data set.</v>
      </c>
    </row>
    <row r="12" spans="1:21" ht="38.25" customHeight="1" x14ac:dyDescent="0.25">
      <c r="B12" s="1545">
        <v>42607</v>
      </c>
      <c r="C12" s="1546" t="s">
        <v>1105</v>
      </c>
      <c r="D12" s="2678" t="s">
        <v>358</v>
      </c>
      <c r="E12" s="2678"/>
      <c r="F12" s="2678"/>
      <c r="G12" s="2678"/>
      <c r="H12" s="2678"/>
      <c r="I12" s="2678"/>
      <c r="J12" s="2602"/>
      <c r="K12" s="2602"/>
      <c r="L12" s="2602"/>
      <c r="M12" s="2602"/>
      <c r="N12" s="457"/>
      <c r="O12" s="36">
        <f>IF(AND(D12=Validated,OR(D9=2,D9=3)),1,0)</f>
        <v>1</v>
      </c>
      <c r="P12" s="36">
        <f>IF(AND(D12=Not_validated,OR(D9=2,D9=3)),-1,0)</f>
        <v>0</v>
      </c>
      <c r="Q12" s="36">
        <f>IF(AND(O12=1,ISBLANK(N12)),1,0)</f>
        <v>1</v>
      </c>
      <c r="R12" s="36" t="str">
        <f>Not_validated</f>
        <v>No, I don't believe the calculation steps, assumptions &amp; classifications below reasonably convert our waste data for this year to the form required for the national waste data set.</v>
      </c>
    </row>
    <row r="13" spans="1:21" ht="38.25" customHeight="1" x14ac:dyDescent="0.25">
      <c r="B13" s="2043"/>
      <c r="C13" s="1546"/>
      <c r="D13" s="2678"/>
      <c r="E13" s="2678"/>
      <c r="F13" s="2678"/>
      <c r="G13" s="2678"/>
      <c r="H13" s="2678"/>
      <c r="I13" s="2678"/>
      <c r="J13" s="2602"/>
      <c r="K13" s="2602"/>
      <c r="L13" s="2602"/>
      <c r="M13" s="2602"/>
      <c r="N13" s="457"/>
      <c r="O13" s="36">
        <f>IF(AND(D13=Validated,D9=3),1,0)</f>
        <v>0</v>
      </c>
      <c r="P13" s="148">
        <f>IF(AND(D13=Not_validated,D9=3),-1,0)</f>
        <v>0</v>
      </c>
      <c r="Q13" s="148">
        <f>IF(AND(O13=1,ISBLANK(N13)),1,0)</f>
        <v>0</v>
      </c>
      <c r="R13" s="36" t="str">
        <f>Intro!B38</f>
        <v>Yes, I have updated all relevant data in the white cells below</v>
      </c>
    </row>
    <row r="14" spans="1:21" ht="26.25" x14ac:dyDescent="0.25">
      <c r="B14" s="152" t="str">
        <f>IF(P14&lt;0,R14,IF(Q14&gt;0,R15,""))</f>
        <v>Please enter data into the white cells below. You can overwrite pre-existing data or, if still correct, leave at the current value</v>
      </c>
      <c r="C14" s="151"/>
      <c r="D14" s="151"/>
      <c r="E14" s="151"/>
      <c r="F14" s="151"/>
      <c r="G14" s="151"/>
      <c r="H14" s="151"/>
      <c r="I14" s="151"/>
      <c r="J14" s="151"/>
      <c r="K14" s="151"/>
      <c r="L14" s="151"/>
      <c r="M14" s="151"/>
      <c r="N14" s="151"/>
      <c r="O14" s="36">
        <f>SUM(O11:O13)</f>
        <v>2</v>
      </c>
      <c r="P14" s="148">
        <f>SUM(P11:P13)</f>
        <v>0</v>
      </c>
      <c r="Q14" s="148">
        <f>SUM(Q11:Q13)</f>
        <v>2</v>
      </c>
      <c r="R14" s="36" t="s">
        <v>807</v>
      </c>
    </row>
    <row r="15" spans="1:21" x14ac:dyDescent="0.25">
      <c r="C15" s="7"/>
      <c r="D15" s="7"/>
      <c r="E15" s="7"/>
      <c r="L15" s="7"/>
      <c r="N15" s="7"/>
      <c r="P15" s="148"/>
      <c r="Q15" s="148"/>
      <c r="R15" s="36" t="s">
        <v>561</v>
      </c>
    </row>
    <row r="16" spans="1:21" ht="15.75" x14ac:dyDescent="0.25">
      <c r="A16" s="130"/>
      <c r="B16" s="130" t="s">
        <v>438</v>
      </c>
      <c r="C16" s="362" t="s">
        <v>575</v>
      </c>
      <c r="D16" s="130"/>
      <c r="E16" s="130"/>
      <c r="F16" s="130"/>
      <c r="G16" s="130"/>
      <c r="H16" s="130"/>
      <c r="I16" s="130"/>
      <c r="J16" s="130"/>
      <c r="K16" s="130"/>
      <c r="L16" s="130"/>
      <c r="M16" s="130"/>
      <c r="N16" s="130"/>
      <c r="O16" s="130"/>
      <c r="P16" s="148"/>
      <c r="Q16" s="148"/>
    </row>
    <row r="17" spans="1:20" s="188" customFormat="1" x14ac:dyDescent="0.25">
      <c r="A17" s="185"/>
      <c r="O17" s="185"/>
      <c r="P17" s="36"/>
      <c r="Q17" s="36"/>
      <c r="R17" s="36"/>
      <c r="S17" s="36"/>
      <c r="T17" s="36"/>
    </row>
    <row r="18" spans="1:20" s="191" customFormat="1" x14ac:dyDescent="0.2">
      <c r="A18" s="185"/>
      <c r="B18" s="97" t="s">
        <v>125</v>
      </c>
      <c r="C18" s="37" t="s">
        <v>935</v>
      </c>
      <c r="D18" s="11"/>
      <c r="E18" s="11"/>
      <c r="F18" s="11"/>
      <c r="G18" s="24" t="s">
        <v>16</v>
      </c>
      <c r="H18" s="24" t="s">
        <v>17</v>
      </c>
      <c r="I18" s="24" t="s">
        <v>18</v>
      </c>
      <c r="J18" s="11"/>
      <c r="K18" s="11"/>
      <c r="L18" s="11"/>
      <c r="M18" s="113" t="s">
        <v>104</v>
      </c>
      <c r="N18" s="37" t="s">
        <v>887</v>
      </c>
      <c r="O18" s="185"/>
      <c r="P18" s="36"/>
      <c r="Q18" s="36"/>
      <c r="R18" s="36"/>
      <c r="S18" s="36"/>
      <c r="T18" s="36"/>
    </row>
    <row r="19" spans="1:20" s="191" customFormat="1" x14ac:dyDescent="0.25">
      <c r="A19" s="185"/>
      <c r="B19" s="2068" t="s">
        <v>714</v>
      </c>
      <c r="C19" s="816" t="s">
        <v>936</v>
      </c>
      <c r="D19" s="11"/>
      <c r="E19" s="11"/>
      <c r="F19" s="369" t="s">
        <v>1119</v>
      </c>
      <c r="G19" s="2073"/>
      <c r="H19" s="1485"/>
      <c r="I19" s="2074"/>
      <c r="J19" s="11"/>
      <c r="K19" s="11"/>
      <c r="L19" s="11"/>
      <c r="M19" s="113" t="s">
        <v>100</v>
      </c>
      <c r="N19" s="37" t="s">
        <v>102</v>
      </c>
      <c r="O19" s="185"/>
      <c r="P19" s="1051">
        <f>IF(AND(ISNUMBER(G20),'Validn data - hide'!C452&gt;0),IF(G20/'Validn data - hide'!C452-1&gt;'Validn data - hide'!$L452,1,IF(G20/'Validn data - hide'!C452-1&lt;-'Validn data - hide'!$L452,-1,0)),0)</f>
        <v>0</v>
      </c>
      <c r="Q19" s="1051">
        <f>IF(AND(ISNUMBER(H20),'Validn data - hide'!D452&gt;0),IF(H20/'Validn data - hide'!D452-1&gt;'Validn data - hide'!$L452,1,IF(H20/'Validn data - hide'!D452-1&lt;-'Validn data - hide'!$L452,-1,0)),0)</f>
        <v>-1</v>
      </c>
      <c r="R19" s="1051">
        <f>IF(AND(ISNUMBER(I20),'Validn data - hide'!E452&gt;0),IF(I20/'Validn data - hide'!E452-1&gt;'Validn data - hide'!$L452,1,IF(I20/'Validn data - hide'!E452-1&lt;-'Validn data - hide'!$L452,-1,0)),0)</f>
        <v>0</v>
      </c>
      <c r="S19" s="36"/>
      <c r="T19" s="36"/>
    </row>
    <row r="20" spans="1:20" s="191" customFormat="1" ht="25.5" x14ac:dyDescent="0.25">
      <c r="A20" s="185"/>
      <c r="B20" s="203"/>
      <c r="C20" s="1592" t="s">
        <v>1118</v>
      </c>
      <c r="D20" s="11"/>
      <c r="E20" s="11"/>
      <c r="F20" s="369" t="s">
        <v>1114</v>
      </c>
      <c r="G20" s="2070">
        <v>717788</v>
      </c>
      <c r="H20" s="2071">
        <v>538944</v>
      </c>
      <c r="I20" s="2072">
        <v>1035928</v>
      </c>
      <c r="J20" s="11"/>
      <c r="K20" s="11"/>
      <c r="L20" s="11"/>
      <c r="M20" s="113" t="s">
        <v>10</v>
      </c>
      <c r="N20" s="1328" t="s">
        <v>1106</v>
      </c>
      <c r="O20" s="185"/>
      <c r="P20" s="1051"/>
      <c r="Q20" s="1051"/>
      <c r="R20" s="1051"/>
      <c r="S20" s="1051"/>
      <c r="T20" s="1051"/>
    </row>
    <row r="21" spans="1:20" s="191" customFormat="1" x14ac:dyDescent="0.25">
      <c r="A21" s="185"/>
      <c r="B21" s="1174"/>
      <c r="C21" s="1594"/>
      <c r="D21" s="12"/>
      <c r="E21" s="12"/>
      <c r="F21" s="12"/>
      <c r="G21" s="12"/>
      <c r="H21" s="12"/>
      <c r="I21" s="12"/>
      <c r="J21" s="12"/>
      <c r="K21" s="12"/>
      <c r="L21" s="12"/>
      <c r="M21" s="113" t="s">
        <v>352</v>
      </c>
      <c r="N21" s="1329" t="s">
        <v>1022</v>
      </c>
      <c r="O21" s="185"/>
      <c r="P21" s="1051"/>
      <c r="Q21" s="1051"/>
      <c r="R21" s="1051"/>
      <c r="S21" s="1051"/>
      <c r="T21" s="1051"/>
    </row>
    <row r="22" spans="1:20" s="191" customFormat="1" x14ac:dyDescent="0.25">
      <c r="A22" s="185"/>
      <c r="B22" s="193"/>
      <c r="C22" s="188"/>
      <c r="D22" s="12"/>
      <c r="E22" s="12"/>
      <c r="F22" s="12"/>
      <c r="G22" s="12"/>
      <c r="H22" s="12"/>
      <c r="I22" s="12"/>
      <c r="J22" s="12"/>
      <c r="K22" s="12"/>
      <c r="L22" s="12"/>
      <c r="M22" s="113" t="s">
        <v>99</v>
      </c>
      <c r="N22" s="1606">
        <v>42586</v>
      </c>
      <c r="O22" s="185"/>
      <c r="P22" s="1051"/>
      <c r="Q22" s="1051"/>
      <c r="R22" s="1051"/>
      <c r="S22" s="1051"/>
      <c r="T22" s="1051"/>
    </row>
    <row r="23" spans="1:20" s="191" customFormat="1" x14ac:dyDescent="0.25">
      <c r="A23" s="185"/>
      <c r="B23" s="193"/>
      <c r="C23" s="188"/>
      <c r="D23" s="12"/>
      <c r="E23" s="12"/>
      <c r="F23" s="12"/>
      <c r="G23" s="12"/>
      <c r="H23" s="12"/>
      <c r="I23" s="12"/>
      <c r="J23" s="12"/>
      <c r="K23" s="12"/>
      <c r="L23" s="12"/>
      <c r="M23" s="113" t="s">
        <v>658</v>
      </c>
      <c r="N23" s="1328" t="s">
        <v>681</v>
      </c>
      <c r="O23" s="185"/>
      <c r="P23" s="1051"/>
      <c r="Q23" s="1051"/>
      <c r="R23" s="1051"/>
      <c r="S23" s="1051"/>
      <c r="T23" s="1051"/>
    </row>
    <row r="24" spans="1:20" s="191" customFormat="1" x14ac:dyDescent="0.25">
      <c r="A24" s="185"/>
      <c r="B24" s="193"/>
      <c r="C24" s="188"/>
      <c r="D24" s="12"/>
      <c r="E24" s="12"/>
      <c r="F24" s="12"/>
      <c r="G24" s="12"/>
      <c r="H24" s="12"/>
      <c r="I24" s="12"/>
      <c r="J24" s="12"/>
      <c r="K24" s="12"/>
      <c r="L24" s="12"/>
      <c r="M24" s="99"/>
      <c r="N24" s="12"/>
      <c r="O24" s="185"/>
      <c r="P24" s="1051"/>
      <c r="Q24" s="1051"/>
      <c r="R24" s="1051"/>
      <c r="S24" s="1051"/>
      <c r="T24" s="1051"/>
    </row>
    <row r="25" spans="1:20" s="188" customFormat="1" x14ac:dyDescent="0.25">
      <c r="A25" s="185"/>
      <c r="B25" s="98"/>
      <c r="C25" s="196"/>
      <c r="D25" s="196"/>
      <c r="E25" s="196"/>
      <c r="F25" s="196"/>
      <c r="G25" s="196"/>
      <c r="H25" s="196"/>
      <c r="I25" s="196"/>
      <c r="J25" s="196"/>
      <c r="K25" s="196"/>
      <c r="L25" s="196"/>
      <c r="M25" s="196"/>
      <c r="N25" s="196"/>
      <c r="O25" s="185"/>
      <c r="P25" s="1051"/>
      <c r="Q25" s="1051"/>
      <c r="R25" s="1051"/>
      <c r="S25" s="1051"/>
      <c r="T25" s="1051"/>
    </row>
    <row r="26" spans="1:20" s="188" customFormat="1" ht="14.25" customHeight="1" x14ac:dyDescent="0.2">
      <c r="A26" s="185"/>
      <c r="B26" s="100" t="s">
        <v>126</v>
      </c>
      <c r="C26" s="807" t="s">
        <v>799</v>
      </c>
      <c r="D26" s="196"/>
      <c r="E26" s="196"/>
      <c r="F26" s="196"/>
      <c r="G26" s="91" t="s">
        <v>16</v>
      </c>
      <c r="H26" s="91" t="s">
        <v>17</v>
      </c>
      <c r="I26" s="91" t="s">
        <v>18</v>
      </c>
      <c r="J26" s="196"/>
      <c r="K26" s="196"/>
      <c r="L26" s="196"/>
      <c r="M26" s="114" t="s">
        <v>104</v>
      </c>
      <c r="N26" s="94" t="s">
        <v>977</v>
      </c>
      <c r="O26" s="185"/>
      <c r="P26" s="1051"/>
      <c r="Q26" s="1051"/>
      <c r="R26" s="1051"/>
      <c r="S26" s="1051"/>
      <c r="T26" s="1051"/>
    </row>
    <row r="27" spans="1:20" s="188" customFormat="1" x14ac:dyDescent="0.25">
      <c r="A27" s="185"/>
      <c r="B27" s="98"/>
      <c r="C27" s="808"/>
      <c r="D27" s="190"/>
      <c r="E27" s="190"/>
      <c r="F27" s="190"/>
      <c r="G27" s="1451">
        <v>364975.97348885291</v>
      </c>
      <c r="H27" s="1547">
        <v>217666.27079289951</v>
      </c>
      <c r="I27" s="1548">
        <v>738003.62580406049</v>
      </c>
      <c r="J27" s="190"/>
      <c r="K27" s="196"/>
      <c r="L27" s="196"/>
      <c r="M27" s="114" t="s">
        <v>100</v>
      </c>
      <c r="N27" s="94" t="s">
        <v>102</v>
      </c>
      <c r="O27" s="185"/>
      <c r="P27" s="1051">
        <f>IF(AND(ISNUMBER(G27),'Validn data - hide'!C456&gt;0),IF(G27/'Validn data - hide'!C456-1&gt;'Validn data - hide'!$L456,1,IF(G27/'Validn data - hide'!C456-1&lt;-'Validn data - hide'!$L456,-1,0)),0)</f>
        <v>0</v>
      </c>
      <c r="Q27" s="1051">
        <f>IF(AND(ISNUMBER(H27),'Validn data - hide'!D456&gt;0),IF(H27/'Validn data - hide'!D456-1&gt;'Validn data - hide'!$L456,1,IF(H27/'Validn data - hide'!D456-1&lt;-'Validn data - hide'!$L456,-1,0)),0)</f>
        <v>0</v>
      </c>
      <c r="R27" s="1051">
        <f>IF(AND(ISNUMBER(I27),'Validn data - hide'!E456&gt;0),IF(I27/'Validn data - hide'!E456-1&gt;'Validn data - hide'!$L456,1,IF(I27/'Validn data - hide'!E456-1&lt;-'Validn data - hide'!$L456,-1,0)),0)</f>
        <v>0</v>
      </c>
      <c r="S27" s="36"/>
      <c r="T27" s="36"/>
    </row>
    <row r="28" spans="1:20" s="188" customFormat="1" ht="25.5" x14ac:dyDescent="0.25">
      <c r="A28" s="185"/>
      <c r="B28" s="98"/>
      <c r="C28" s="808"/>
      <c r="D28" s="190"/>
      <c r="E28" s="190"/>
      <c r="F28" s="190"/>
      <c r="G28" s="766"/>
      <c r="H28" s="308"/>
      <c r="I28" s="308"/>
      <c r="J28" s="190"/>
      <c r="K28" s="196"/>
      <c r="L28" s="196"/>
      <c r="M28" s="114" t="s">
        <v>10</v>
      </c>
      <c r="N28" s="1331" t="s">
        <v>1021</v>
      </c>
      <c r="O28" s="185"/>
      <c r="P28" s="36"/>
      <c r="Q28" s="36"/>
      <c r="R28" s="36"/>
      <c r="S28" s="36"/>
      <c r="T28" s="36"/>
    </row>
    <row r="29" spans="1:20" s="188" customFormat="1" x14ac:dyDescent="0.25">
      <c r="A29" s="185"/>
      <c r="B29" s="98"/>
      <c r="C29" s="808"/>
      <c r="D29" s="190"/>
      <c r="E29" s="190"/>
      <c r="F29" s="1549" t="s">
        <v>798</v>
      </c>
      <c r="G29" s="1550">
        <f>G27+G20</f>
        <v>1082763.9734888528</v>
      </c>
      <c r="H29" s="1551">
        <f>H27+H20</f>
        <v>756610.27079289954</v>
      </c>
      <c r="I29" s="1552">
        <f>I27+I20</f>
        <v>1773931.6258040606</v>
      </c>
      <c r="J29" s="1264"/>
      <c r="K29" s="196"/>
      <c r="L29" s="196"/>
      <c r="M29" s="114" t="s">
        <v>352</v>
      </c>
      <c r="N29" s="1330" t="s">
        <v>1022</v>
      </c>
      <c r="O29" s="185"/>
      <c r="P29" s="1051"/>
      <c r="Q29" s="1051"/>
      <c r="R29" s="36"/>
      <c r="S29" s="36"/>
      <c r="T29" s="36"/>
    </row>
    <row r="30" spans="1:20" s="188" customFormat="1" x14ac:dyDescent="0.25">
      <c r="A30" s="185"/>
      <c r="B30" s="98"/>
      <c r="C30" s="808"/>
      <c r="D30" s="190"/>
      <c r="E30" s="190"/>
      <c r="F30" s="196"/>
      <c r="G30" s="190"/>
      <c r="H30" s="190"/>
      <c r="I30" s="190"/>
      <c r="J30" s="196"/>
      <c r="K30" s="196"/>
      <c r="L30" s="196"/>
      <c r="M30" s="114" t="s">
        <v>99</v>
      </c>
      <c r="N30" s="1605">
        <v>42325</v>
      </c>
      <c r="O30" s="185"/>
      <c r="P30" s="1051"/>
      <c r="Q30" s="1051"/>
      <c r="R30" s="36"/>
      <c r="S30" s="36"/>
      <c r="T30" s="36"/>
    </row>
    <row r="31" spans="1:20" s="188" customFormat="1" x14ac:dyDescent="0.25">
      <c r="A31" s="185"/>
      <c r="B31" s="98"/>
      <c r="C31" s="808"/>
      <c r="D31" s="190"/>
      <c r="E31" s="190"/>
      <c r="F31" s="196"/>
      <c r="G31" s="190"/>
      <c r="H31" s="190"/>
      <c r="I31" s="190"/>
      <c r="J31" s="196"/>
      <c r="K31" s="196"/>
      <c r="L31" s="196"/>
      <c r="M31" s="114" t="s">
        <v>658</v>
      </c>
      <c r="N31" s="1331" t="s">
        <v>681</v>
      </c>
      <c r="O31" s="185"/>
      <c r="P31" s="36"/>
      <c r="Q31" s="36"/>
      <c r="R31" s="36"/>
      <c r="S31" s="36"/>
      <c r="T31" s="36"/>
    </row>
    <row r="32" spans="1:20" s="188" customFormat="1" x14ac:dyDescent="0.25">
      <c r="A32" s="185"/>
      <c r="B32" s="98"/>
      <c r="C32" s="808"/>
      <c r="D32" s="190"/>
      <c r="E32" s="190"/>
      <c r="F32" s="196"/>
      <c r="G32" s="190"/>
      <c r="H32" s="190"/>
      <c r="I32" s="190"/>
      <c r="J32" s="196"/>
      <c r="K32" s="196"/>
      <c r="L32" s="196"/>
      <c r="M32" s="196"/>
      <c r="N32" s="196"/>
      <c r="O32" s="185"/>
      <c r="P32" s="36"/>
      <c r="Q32" s="36"/>
      <c r="R32" s="36"/>
      <c r="S32" s="36"/>
      <c r="T32" s="36"/>
    </row>
    <row r="33" spans="1:20" s="188" customFormat="1" x14ac:dyDescent="0.25">
      <c r="A33" s="185"/>
      <c r="B33" s="194"/>
      <c r="M33" s="194"/>
      <c r="O33" s="185"/>
      <c r="P33" s="1051"/>
      <c r="Q33" s="1051"/>
      <c r="R33" s="1051"/>
      <c r="S33" s="36"/>
      <c r="T33" s="36"/>
    </row>
    <row r="34" spans="1:20" s="188" customFormat="1" ht="12.75" customHeight="1" x14ac:dyDescent="0.25">
      <c r="A34" s="185"/>
      <c r="B34" s="1523" t="s">
        <v>127</v>
      </c>
      <c r="C34" s="2586" t="s">
        <v>985</v>
      </c>
      <c r="F34" s="2"/>
      <c r="G34" s="34" t="s">
        <v>16</v>
      </c>
      <c r="H34" s="34" t="s">
        <v>17</v>
      </c>
      <c r="I34" s="34" t="s">
        <v>18</v>
      </c>
      <c r="M34" s="2679" t="s">
        <v>393</v>
      </c>
      <c r="N34" s="2682" t="s">
        <v>427</v>
      </c>
      <c r="O34" s="185"/>
      <c r="P34" s="1051"/>
      <c r="Q34" s="1051"/>
      <c r="R34" s="1051"/>
      <c r="S34" s="36"/>
      <c r="T34" s="36"/>
    </row>
    <row r="35" spans="1:20" s="188" customFormat="1" x14ac:dyDescent="0.25">
      <c r="A35" s="185"/>
      <c r="B35" s="202"/>
      <c r="C35" s="2587"/>
      <c r="F35" s="194" t="s">
        <v>25</v>
      </c>
      <c r="G35" s="609">
        <f>G$29*'Other national data'!G33</f>
        <v>23018.769621086765</v>
      </c>
      <c r="H35" s="610">
        <f>H$29*'Other national data'!H33</f>
        <v>114232.96696979058</v>
      </c>
      <c r="I35" s="611">
        <f>I$29*'Other national data'!I33</f>
        <v>1440517.3914548198</v>
      </c>
      <c r="M35" s="2680"/>
      <c r="N35" s="2683"/>
      <c r="O35" s="185"/>
      <c r="P35" s="1051"/>
      <c r="Q35" s="1051"/>
      <c r="R35" s="1051"/>
      <c r="S35" s="36"/>
      <c r="T35" s="36"/>
    </row>
    <row r="36" spans="1:20" s="188" customFormat="1" x14ac:dyDescent="0.25">
      <c r="A36" s="185"/>
      <c r="B36" s="1174"/>
      <c r="C36" s="772"/>
      <c r="D36" s="199"/>
      <c r="F36" s="194" t="s">
        <v>28</v>
      </c>
      <c r="G36" s="612">
        <f>G$29*'Other national data'!G34</f>
        <v>38671.369555331075</v>
      </c>
      <c r="H36" s="309">
        <f>H$29*'Other national data'!H34</f>
        <v>22147.045909835913</v>
      </c>
      <c r="I36" s="613">
        <f>I$29*'Other national data'!I34</f>
        <v>80720.54178690206</v>
      </c>
      <c r="L36" s="199"/>
      <c r="M36" s="2681"/>
      <c r="N36" s="2684"/>
      <c r="O36" s="185"/>
      <c r="P36" s="1051"/>
      <c r="Q36" s="1051"/>
      <c r="R36" s="1051"/>
      <c r="S36" s="36"/>
      <c r="T36" s="36"/>
    </row>
    <row r="37" spans="1:20" s="188" customFormat="1" ht="12.75" customHeight="1" x14ac:dyDescent="0.25">
      <c r="A37" s="185"/>
      <c r="B37" s="194"/>
      <c r="D37" s="199"/>
      <c r="F37" s="194" t="s">
        <v>61</v>
      </c>
      <c r="G37" s="612">
        <f>G$29*'Other national data'!G35</f>
        <v>378967.39072109846</v>
      </c>
      <c r="H37" s="309">
        <f>H$29*'Other national data'!H35</f>
        <v>165148.43474159736</v>
      </c>
      <c r="I37" s="613">
        <f>I$29*'Other national data'!I35</f>
        <v>0</v>
      </c>
      <c r="L37" s="199"/>
      <c r="M37" s="113" t="s">
        <v>100</v>
      </c>
      <c r="N37" s="37" t="s">
        <v>102</v>
      </c>
      <c r="O37" s="185"/>
      <c r="P37" s="1051"/>
      <c r="Q37" s="1051"/>
      <c r="R37" s="1051"/>
      <c r="S37" s="36"/>
      <c r="T37" s="36"/>
    </row>
    <row r="38" spans="1:20" s="188" customFormat="1" x14ac:dyDescent="0.25">
      <c r="A38" s="185"/>
      <c r="B38" s="194"/>
      <c r="F38" s="194" t="s">
        <v>63</v>
      </c>
      <c r="G38" s="612">
        <f>G$29*'Other national data'!G36</f>
        <v>178656.05562566072</v>
      </c>
      <c r="H38" s="309">
        <f>H$29*'Other national data'!H36</f>
        <v>30725.290184483234</v>
      </c>
      <c r="I38" s="613">
        <f>I$29*'Other national data'!I36</f>
        <v>35478.632516081212</v>
      </c>
      <c r="M38" s="11"/>
      <c r="N38" s="11"/>
      <c r="O38" s="185"/>
      <c r="P38" s="1051"/>
      <c r="Q38" s="1051"/>
      <c r="R38" s="1051"/>
      <c r="S38" s="36"/>
      <c r="T38" s="36"/>
    </row>
    <row r="39" spans="1:20" s="188" customFormat="1" x14ac:dyDescent="0.25">
      <c r="A39" s="185"/>
      <c r="B39" s="194"/>
      <c r="F39" s="374" t="s">
        <v>67</v>
      </c>
      <c r="G39" s="612">
        <f>G$29*'Other national data'!G37</f>
        <v>10827.639734888529</v>
      </c>
      <c r="H39" s="309">
        <f>H$29*'Other national data'!H37</f>
        <v>96016.531826510094</v>
      </c>
      <c r="I39" s="613">
        <f>I$29*'Other national data'!I37</f>
        <v>106435.89754824364</v>
      </c>
      <c r="M39" s="194"/>
      <c r="O39" s="185"/>
      <c r="P39" s="1051"/>
      <c r="Q39" s="1051"/>
      <c r="R39" s="1051"/>
      <c r="S39" s="36"/>
      <c r="T39" s="36"/>
    </row>
    <row r="40" spans="1:20" s="188" customFormat="1" x14ac:dyDescent="0.25">
      <c r="A40" s="185"/>
      <c r="B40" s="194"/>
      <c r="F40" s="374" t="s">
        <v>65</v>
      </c>
      <c r="G40" s="612">
        <f>G$29*'Other national data'!G38</f>
        <v>43310.558939554117</v>
      </c>
      <c r="H40" s="309">
        <f>H$29*'Other national data'!H38</f>
        <v>0</v>
      </c>
      <c r="I40" s="613">
        <f>I$29*'Other national data'!I38</f>
        <v>0</v>
      </c>
      <c r="M40" s="194"/>
      <c r="O40" s="185"/>
      <c r="P40" s="1051"/>
      <c r="Q40" s="1051"/>
      <c r="R40" s="1051"/>
      <c r="S40" s="36"/>
      <c r="T40" s="36"/>
    </row>
    <row r="41" spans="1:20" s="188" customFormat="1" x14ac:dyDescent="0.25">
      <c r="A41" s="185"/>
      <c r="B41" s="194"/>
      <c r="F41" s="194" t="s">
        <v>20</v>
      </c>
      <c r="G41" s="612">
        <f>G$29*'Other national data'!G39</f>
        <v>140759.31655355089</v>
      </c>
      <c r="H41" s="309">
        <f>H$29*'Other national data'!H39</f>
        <v>119060.49946487251</v>
      </c>
      <c r="I41" s="613">
        <f>I$29*'Other national data'!I39</f>
        <v>53217.948774121818</v>
      </c>
      <c r="M41" s="194"/>
      <c r="O41" s="185"/>
      <c r="P41" s="1051"/>
      <c r="Q41" s="1051"/>
      <c r="R41" s="1051"/>
      <c r="S41" s="36"/>
      <c r="T41" s="36"/>
    </row>
    <row r="42" spans="1:20" s="188" customFormat="1" x14ac:dyDescent="0.25">
      <c r="A42" s="185"/>
      <c r="B42" s="194"/>
      <c r="F42" s="194" t="s">
        <v>32</v>
      </c>
      <c r="G42" s="612">
        <f>G$29*'Other national data'!G40</f>
        <v>180513.78522886417</v>
      </c>
      <c r="H42" s="309">
        <f>H$29*'Other national data'!H40</f>
        <v>134787.1537050975</v>
      </c>
      <c r="I42" s="613">
        <f>I$29*'Other national data'!I40</f>
        <v>57510.183937338617</v>
      </c>
      <c r="M42" s="194"/>
      <c r="O42" s="185"/>
      <c r="P42" s="1051"/>
      <c r="Q42" s="1051"/>
      <c r="R42" s="1051"/>
      <c r="S42" s="36"/>
      <c r="T42" s="36"/>
    </row>
    <row r="43" spans="1:20" s="188" customFormat="1" x14ac:dyDescent="0.25">
      <c r="A43" s="185"/>
      <c r="B43" s="194"/>
      <c r="F43" s="194" t="s">
        <v>30</v>
      </c>
      <c r="G43" s="612">
        <f>G$29*'Other national data'!G41</f>
        <v>60969.988171596786</v>
      </c>
      <c r="H43" s="309">
        <f>H$29*'Other national data'!H41</f>
        <v>16882.428894806329</v>
      </c>
      <c r="I43" s="613">
        <f>I$29*'Other national data'!I41</f>
        <v>51.029786553472981</v>
      </c>
      <c r="M43" s="194"/>
      <c r="O43" s="185"/>
      <c r="P43" s="36"/>
      <c r="Q43" s="36"/>
      <c r="R43" s="36"/>
      <c r="S43" s="36"/>
      <c r="T43" s="36"/>
    </row>
    <row r="44" spans="1:20" s="188" customFormat="1" x14ac:dyDescent="0.25">
      <c r="A44" s="185"/>
      <c r="B44" s="194"/>
      <c r="F44" s="194" t="s">
        <v>27</v>
      </c>
      <c r="G44" s="614">
        <f>G$29*'Other national data'!G42</f>
        <v>27069.099337221323</v>
      </c>
      <c r="H44" s="615">
        <f>H$29*'Other national data'!H42</f>
        <v>57609.919095906058</v>
      </c>
      <c r="I44" s="616">
        <f>I$29*'Other national data'!I42</f>
        <v>0</v>
      </c>
      <c r="M44" s="194"/>
      <c r="O44" s="185"/>
      <c r="P44" s="36"/>
      <c r="Q44" s="36"/>
      <c r="R44" s="36"/>
      <c r="S44" s="36"/>
      <c r="T44" s="36"/>
    </row>
    <row r="45" spans="1:20" s="188" customFormat="1" x14ac:dyDescent="0.25">
      <c r="A45" s="185"/>
      <c r="B45" s="194"/>
      <c r="F45" s="33" t="s">
        <v>37</v>
      </c>
      <c r="G45" s="328" t="str">
        <f>IF(SUM(G35:G44)=G29,"Ok","Error")</f>
        <v>Ok</v>
      </c>
      <c r="H45" s="328" t="str">
        <f>IF(SUM(H35:H44)=H29,"Ok","Error")</f>
        <v>Ok</v>
      </c>
      <c r="I45" s="328" t="str">
        <f>IF(SUM(I35:I44)=I29,"Ok","Error")</f>
        <v>Ok</v>
      </c>
      <c r="M45" s="194"/>
      <c r="O45" s="185"/>
      <c r="P45" s="36"/>
      <c r="Q45" s="36"/>
      <c r="R45" s="36"/>
      <c r="S45" s="36"/>
      <c r="T45" s="36"/>
    </row>
    <row r="46" spans="1:20" s="188" customFormat="1" x14ac:dyDescent="0.25">
      <c r="A46" s="185"/>
      <c r="B46" s="186"/>
      <c r="C46" s="187"/>
      <c r="D46" s="187"/>
      <c r="E46" s="187"/>
      <c r="F46" s="96"/>
      <c r="G46" s="620"/>
      <c r="H46" s="620"/>
      <c r="I46" s="620"/>
      <c r="J46" s="187"/>
      <c r="K46" s="187"/>
      <c r="L46" s="187"/>
      <c r="M46" s="186"/>
      <c r="N46" s="187"/>
      <c r="O46" s="185"/>
      <c r="P46" s="36"/>
      <c r="Q46" s="36"/>
      <c r="R46" s="36"/>
      <c r="S46" s="36"/>
      <c r="T46" s="36"/>
    </row>
    <row r="47" spans="1:20" s="188" customFormat="1" x14ac:dyDescent="0.25">
      <c r="A47" s="185"/>
      <c r="B47" s="100" t="s">
        <v>128</v>
      </c>
      <c r="C47" s="94" t="s">
        <v>707</v>
      </c>
      <c r="D47" s="187"/>
      <c r="E47" s="187"/>
      <c r="F47" s="89" t="s">
        <v>103</v>
      </c>
      <c r="G47" s="95" t="s">
        <v>16</v>
      </c>
      <c r="H47" s="95" t="s">
        <v>17</v>
      </c>
      <c r="I47" s="95" t="s">
        <v>18</v>
      </c>
      <c r="J47" s="187"/>
      <c r="K47" s="187"/>
      <c r="L47" s="187"/>
      <c r="M47" s="2609" t="s">
        <v>393</v>
      </c>
      <c r="N47" s="2612" t="s">
        <v>713</v>
      </c>
      <c r="O47" s="185"/>
      <c r="P47" s="36"/>
      <c r="Q47" s="36"/>
      <c r="R47" s="36"/>
      <c r="S47" s="36"/>
      <c r="T47" s="36"/>
    </row>
    <row r="48" spans="1:20" s="188" customFormat="1" x14ac:dyDescent="0.25">
      <c r="A48" s="185"/>
      <c r="B48" s="186"/>
      <c r="C48" s="187"/>
      <c r="D48" s="187"/>
      <c r="E48" s="187"/>
      <c r="F48" s="186" t="s">
        <v>25</v>
      </c>
      <c r="G48" s="990">
        <f t="shared" ref="G48:I49" si="0">G35</f>
        <v>23018.769621086765</v>
      </c>
      <c r="H48" s="991">
        <f t="shared" si="0"/>
        <v>114232.96696979058</v>
      </c>
      <c r="I48" s="992">
        <f t="shared" si="0"/>
        <v>1440517.3914548198</v>
      </c>
      <c r="J48" s="187"/>
      <c r="K48" s="187"/>
      <c r="L48" s="187"/>
      <c r="M48" s="2610"/>
      <c r="N48" s="2613"/>
      <c r="O48" s="185"/>
      <c r="P48" s="36"/>
      <c r="Q48" s="36"/>
      <c r="R48" s="36"/>
      <c r="S48" s="36"/>
      <c r="T48" s="36"/>
    </row>
    <row r="49" spans="1:20" s="188" customFormat="1" x14ac:dyDescent="0.25">
      <c r="A49" s="185"/>
      <c r="B49" s="186"/>
      <c r="C49" s="187"/>
      <c r="D49" s="187"/>
      <c r="E49" s="187"/>
      <c r="F49" s="186" t="s">
        <v>28</v>
      </c>
      <c r="G49" s="993">
        <f t="shared" si="0"/>
        <v>38671.369555331075</v>
      </c>
      <c r="H49" s="621">
        <f t="shared" si="0"/>
        <v>22147.045909835913</v>
      </c>
      <c r="I49" s="994">
        <f t="shared" si="0"/>
        <v>80720.54178690206</v>
      </c>
      <c r="J49" s="187"/>
      <c r="K49" s="187"/>
      <c r="L49" s="187"/>
      <c r="M49" s="2611"/>
      <c r="N49" s="2614"/>
      <c r="O49" s="185"/>
      <c r="P49" s="36"/>
      <c r="Q49" s="36"/>
      <c r="R49" s="36"/>
      <c r="S49" s="36"/>
      <c r="T49" s="36"/>
    </row>
    <row r="50" spans="1:20" s="188" customFormat="1" x14ac:dyDescent="0.25">
      <c r="A50" s="185"/>
      <c r="B50" s="186"/>
      <c r="C50" s="187"/>
      <c r="D50" s="187"/>
      <c r="E50" s="187"/>
      <c r="F50" s="813" t="s">
        <v>61</v>
      </c>
      <c r="G50" s="993">
        <f>G37-'Other national data'!K347</f>
        <v>297525.33047166729</v>
      </c>
      <c r="H50" s="621">
        <f>H37-'Other national data'!L347</f>
        <v>129657.17849727583</v>
      </c>
      <c r="I50" s="994">
        <f>I37-'Other national data'!M347</f>
        <v>0</v>
      </c>
      <c r="J50" s="187"/>
      <c r="K50" s="187"/>
      <c r="L50" s="187"/>
      <c r="M50" s="114" t="s">
        <v>100</v>
      </c>
      <c r="N50" s="94" t="s">
        <v>102</v>
      </c>
      <c r="O50" s="185"/>
      <c r="P50" s="36"/>
      <c r="Q50" s="36"/>
      <c r="R50" s="36"/>
      <c r="S50" s="36"/>
      <c r="T50" s="36"/>
    </row>
    <row r="51" spans="1:20" s="188" customFormat="1" x14ac:dyDescent="0.25">
      <c r="A51" s="185"/>
      <c r="B51" s="186"/>
      <c r="C51" s="187"/>
      <c r="D51" s="187"/>
      <c r="E51" s="187"/>
      <c r="F51" s="813" t="s">
        <v>63</v>
      </c>
      <c r="G51" s="993">
        <f>G38-'Other national data'!K348</f>
        <v>167914.84512847807</v>
      </c>
      <c r="H51" s="621">
        <f>H38-'Other national data'!L348</f>
        <v>28878.015496240583</v>
      </c>
      <c r="I51" s="994">
        <f>I38-'Other national data'!M348</f>
        <v>33345.576020051187</v>
      </c>
      <c r="J51" s="187"/>
      <c r="K51" s="187"/>
      <c r="L51" s="187"/>
      <c r="M51" s="186"/>
      <c r="N51" s="187"/>
      <c r="O51" s="185"/>
      <c r="P51" s="36"/>
      <c r="Q51" s="36"/>
      <c r="R51" s="36"/>
      <c r="S51" s="36"/>
      <c r="T51" s="36"/>
    </row>
    <row r="52" spans="1:20" s="188" customFormat="1" x14ac:dyDescent="0.25">
      <c r="A52" s="185"/>
      <c r="B52" s="186"/>
      <c r="C52" s="187"/>
      <c r="D52" s="187"/>
      <c r="E52" s="187"/>
      <c r="F52" s="814" t="s">
        <v>67</v>
      </c>
      <c r="G52" s="993">
        <f>G39-'Other national data'!K349</f>
        <v>10232.060042588268</v>
      </c>
      <c r="H52" s="621">
        <f>H39-'Other national data'!L349</f>
        <v>90735.094885390819</v>
      </c>
      <c r="I52" s="994">
        <f>I39-'Other national data'!M349</f>
        <v>100581.33822935272</v>
      </c>
      <c r="J52" s="187"/>
      <c r="K52" s="187"/>
      <c r="L52" s="187"/>
      <c r="M52" s="186"/>
      <c r="N52" s="187"/>
      <c r="O52" s="185"/>
      <c r="P52" s="36"/>
      <c r="Q52" s="36"/>
      <c r="R52" s="36"/>
      <c r="S52" s="36"/>
      <c r="T52" s="36"/>
    </row>
    <row r="53" spans="1:20" s="188" customFormat="1" x14ac:dyDescent="0.25">
      <c r="A53" s="185"/>
      <c r="B53" s="186"/>
      <c r="C53" s="187"/>
      <c r="D53" s="187"/>
      <c r="E53" s="187"/>
      <c r="F53" s="814" t="s">
        <v>65</v>
      </c>
      <c r="G53" s="993">
        <f>G40-'Other national data'!K350</f>
        <v>40218.311754003807</v>
      </c>
      <c r="H53" s="621">
        <f>H40-'Other national data'!L350</f>
        <v>0</v>
      </c>
      <c r="I53" s="994">
        <f>I40-'Other national data'!M350</f>
        <v>0</v>
      </c>
      <c r="J53" s="187"/>
      <c r="K53" s="187"/>
      <c r="L53" s="187"/>
      <c r="M53" s="186"/>
      <c r="N53" s="187"/>
      <c r="O53" s="185"/>
      <c r="P53" s="36"/>
      <c r="Q53" s="36"/>
      <c r="R53" s="36"/>
      <c r="S53" s="36"/>
      <c r="T53" s="36"/>
    </row>
    <row r="54" spans="1:20" s="188" customFormat="1" x14ac:dyDescent="0.25">
      <c r="A54" s="185"/>
      <c r="B54" s="186"/>
      <c r="C54" s="187"/>
      <c r="D54" s="187"/>
      <c r="E54" s="187"/>
      <c r="F54" s="186" t="s">
        <v>20</v>
      </c>
      <c r="G54" s="993">
        <f>G41-'Other national data'!K351</f>
        <v>111349.68368570074</v>
      </c>
      <c r="H54" s="621">
        <f>H41-'Other national data'!L351</f>
        <v>94184.522058484348</v>
      </c>
      <c r="I54" s="994">
        <f>I41-'Other national data'!M351</f>
        <v>42098.824486305748</v>
      </c>
      <c r="J54" s="187"/>
      <c r="K54" s="187"/>
      <c r="L54" s="187"/>
      <c r="M54" s="186"/>
      <c r="N54" s="187"/>
      <c r="O54" s="185"/>
      <c r="P54" s="36"/>
      <c r="Q54" s="36"/>
      <c r="R54" s="36"/>
      <c r="S54" s="36"/>
      <c r="T54" s="36"/>
    </row>
    <row r="55" spans="1:20" s="188" customFormat="1" x14ac:dyDescent="0.25">
      <c r="A55" s="185"/>
      <c r="B55" s="186"/>
      <c r="C55" s="187"/>
      <c r="D55" s="187"/>
      <c r="E55" s="187"/>
      <c r="F55" s="380" t="s">
        <v>32</v>
      </c>
      <c r="G55" s="993">
        <f t="shared" ref="G55:I56" si="1">G42</f>
        <v>180513.78522886417</v>
      </c>
      <c r="H55" s="621">
        <f t="shared" si="1"/>
        <v>134787.1537050975</v>
      </c>
      <c r="I55" s="994">
        <f t="shared" si="1"/>
        <v>57510.183937338617</v>
      </c>
      <c r="J55" s="187"/>
      <c r="K55" s="187"/>
      <c r="L55" s="187"/>
      <c r="M55" s="186"/>
      <c r="N55" s="187"/>
      <c r="O55" s="185"/>
      <c r="P55" s="36"/>
      <c r="Q55" s="36"/>
      <c r="R55" s="36"/>
      <c r="S55" s="36"/>
      <c r="T55" s="36"/>
    </row>
    <row r="56" spans="1:20" s="188" customFormat="1" x14ac:dyDescent="0.25">
      <c r="A56" s="185"/>
      <c r="B56" s="186"/>
      <c r="C56" s="187"/>
      <c r="D56" s="187"/>
      <c r="E56" s="187"/>
      <c r="F56" s="186" t="s">
        <v>30</v>
      </c>
      <c r="G56" s="993">
        <f t="shared" si="1"/>
        <v>60969.988171596786</v>
      </c>
      <c r="H56" s="621">
        <f t="shared" si="1"/>
        <v>16882.428894806329</v>
      </c>
      <c r="I56" s="994">
        <f t="shared" si="1"/>
        <v>51.029786553472981</v>
      </c>
      <c r="J56" s="187"/>
      <c r="K56" s="187"/>
      <c r="L56" s="187"/>
      <c r="M56" s="186"/>
      <c r="N56" s="187"/>
      <c r="O56" s="185"/>
      <c r="P56" s="36"/>
      <c r="Q56" s="36"/>
      <c r="R56" s="36"/>
      <c r="S56" s="36"/>
      <c r="T56" s="36"/>
    </row>
    <row r="57" spans="1:20" s="188" customFormat="1" x14ac:dyDescent="0.25">
      <c r="A57" s="185"/>
      <c r="B57" s="186"/>
      <c r="C57" s="187"/>
      <c r="D57" s="187"/>
      <c r="E57" s="187"/>
      <c r="F57" s="186" t="s">
        <v>27</v>
      </c>
      <c r="G57" s="995">
        <f>G44-'Other national data'!K352</f>
        <v>21442.256314035705</v>
      </c>
      <c r="H57" s="996">
        <f>H44-'Other national data'!L352</f>
        <v>45634.56789220537</v>
      </c>
      <c r="I57" s="997">
        <f>I44-'Other national data'!M352</f>
        <v>0</v>
      </c>
      <c r="J57" s="187"/>
      <c r="K57" s="187"/>
      <c r="L57" s="187"/>
      <c r="M57" s="186"/>
      <c r="N57" s="187"/>
      <c r="O57" s="185"/>
      <c r="P57" s="36"/>
      <c r="Q57" s="36"/>
      <c r="R57" s="36"/>
      <c r="S57" s="36"/>
      <c r="T57" s="36"/>
    </row>
    <row r="58" spans="1:20" s="188" customFormat="1" x14ac:dyDescent="0.25">
      <c r="A58" s="185"/>
      <c r="B58" s="186"/>
      <c r="C58" s="187"/>
      <c r="D58" s="187"/>
      <c r="E58" s="187"/>
      <c r="F58" s="762" t="s">
        <v>37</v>
      </c>
      <c r="G58" s="763" t="str">
        <f>IF(ROUND(SUM(G48:G57),-3)=ROUND(G29-SUM('Other national data'!K347:K352),-3),"Ok","Error")</f>
        <v>Ok</v>
      </c>
      <c r="H58" s="763" t="str">
        <f>IF(ROUND(SUM(H48:H57),-3)=ROUND(H29-SUM('Other national data'!L347:L352),-3),"Ok","Error")</f>
        <v>Ok</v>
      </c>
      <c r="I58" s="763" t="str">
        <f>IF(ROUND(SUM(I48:I57),-3)=ROUND(I29-SUM('Other national data'!M347:M352),-3),"Ok","Error")</f>
        <v>Ok</v>
      </c>
      <c r="J58" s="187"/>
      <c r="K58" s="187"/>
      <c r="L58" s="187"/>
      <c r="M58" s="186"/>
      <c r="N58" s="187"/>
      <c r="O58" s="185"/>
      <c r="P58" s="36"/>
      <c r="Q58" s="36"/>
      <c r="R58" s="36"/>
      <c r="S58" s="36"/>
      <c r="T58" s="36"/>
    </row>
    <row r="59" spans="1:20" ht="15.75" x14ac:dyDescent="0.25">
      <c r="A59" s="130"/>
      <c r="B59" s="130"/>
      <c r="C59" s="130"/>
      <c r="D59" s="130"/>
      <c r="E59" s="130"/>
      <c r="F59" s="130"/>
      <c r="G59" s="130"/>
      <c r="H59" s="130"/>
      <c r="I59" s="130"/>
      <c r="J59" s="130"/>
      <c r="K59" s="130"/>
      <c r="L59" s="130"/>
      <c r="M59" s="130"/>
      <c r="N59" s="130"/>
      <c r="O59" s="130"/>
    </row>
    <row r="60" spans="1:20" ht="15.75" x14ac:dyDescent="0.25">
      <c r="A60" s="131"/>
      <c r="B60" s="131" t="s">
        <v>461</v>
      </c>
      <c r="C60" s="363" t="s">
        <v>986</v>
      </c>
      <c r="D60" s="131"/>
      <c r="E60" s="131"/>
      <c r="F60" s="131"/>
      <c r="G60" s="131"/>
      <c r="H60" s="131"/>
      <c r="I60" s="131"/>
      <c r="J60" s="131"/>
      <c r="K60" s="131"/>
      <c r="L60" s="131"/>
      <c r="M60" s="132"/>
      <c r="N60" s="131"/>
      <c r="O60" s="131"/>
    </row>
    <row r="61" spans="1:20" s="188" customFormat="1" x14ac:dyDescent="0.25">
      <c r="A61" s="201"/>
      <c r="B61" s="191"/>
      <c r="O61" s="201"/>
      <c r="P61" s="36"/>
      <c r="Q61" s="36"/>
      <c r="R61" s="36"/>
      <c r="S61" s="36"/>
      <c r="T61" s="36"/>
    </row>
    <row r="62" spans="1:20" s="188" customFormat="1" x14ac:dyDescent="0.2">
      <c r="A62" s="201"/>
      <c r="B62" s="799" t="s">
        <v>125</v>
      </c>
      <c r="C62" s="2586" t="s">
        <v>803</v>
      </c>
      <c r="D62" s="11"/>
      <c r="E62" s="11"/>
      <c r="F62" s="102" t="s">
        <v>794</v>
      </c>
      <c r="G62" s="810" t="s">
        <v>16</v>
      </c>
      <c r="H62" s="810" t="s">
        <v>17</v>
      </c>
      <c r="I62" s="810" t="s">
        <v>18</v>
      </c>
      <c r="J62" s="11"/>
      <c r="K62" s="11"/>
      <c r="L62" s="11"/>
      <c r="M62" s="1520" t="s">
        <v>104</v>
      </c>
      <c r="N62" s="2586" t="s">
        <v>764</v>
      </c>
      <c r="O62" s="201"/>
      <c r="P62" s="36"/>
      <c r="Q62" s="36"/>
      <c r="R62" s="36"/>
      <c r="S62" s="36"/>
      <c r="T62" s="36"/>
    </row>
    <row r="63" spans="1:20" s="188" customFormat="1" x14ac:dyDescent="0.2">
      <c r="A63" s="201"/>
      <c r="B63" s="800"/>
      <c r="C63" s="2588"/>
      <c r="D63" s="11"/>
      <c r="E63" s="11"/>
      <c r="F63" s="789" t="s">
        <v>42</v>
      </c>
      <c r="G63" s="2050">
        <v>16999.688000000027</v>
      </c>
      <c r="H63" s="2051">
        <v>25735.292000000001</v>
      </c>
      <c r="I63" s="2052">
        <v>82030.09</v>
      </c>
      <c r="J63" s="11"/>
      <c r="L63" s="11"/>
      <c r="M63" s="221"/>
      <c r="N63" s="2588"/>
      <c r="O63" s="201"/>
      <c r="P63" s="1051">
        <f>IF(AND(ISNUMBER(G63),'Validn data - hide'!C460&gt;0),IF(G63/'Validn data - hide'!C460-1&gt;'Validn data - hide'!$L460,1,IF(G63/'Validn data - hide'!C460-1&lt;-'Validn data - hide'!$L460,-1,0)),0)</f>
        <v>-1</v>
      </c>
      <c r="Q63" s="1051">
        <f>IF(AND(ISNUMBER(H63),'Validn data - hide'!D460&gt;0),IF(H63/'Validn data - hide'!D460-1&gt;'Validn data - hide'!$L460,1,IF(H63/'Validn data - hide'!D460-1&lt;-'Validn data - hide'!$L460,-1,0)),0)</f>
        <v>1</v>
      </c>
      <c r="R63" s="1051">
        <f>IF(AND(ISNUMBER(I63),'Validn data - hide'!E460&gt;0),IF(I63/'Validn data - hide'!E460-1&gt;'Validn data - hide'!$L460,1,IF(I63/'Validn data - hide'!E460-1&lt;-'Validn data - hide'!$L460,-1,0)),0)</f>
        <v>0</v>
      </c>
      <c r="S63" s="36"/>
      <c r="T63" s="36"/>
    </row>
    <row r="64" spans="1:20" s="188" customFormat="1" x14ac:dyDescent="0.2">
      <c r="A64" s="201"/>
      <c r="B64" s="795" t="s">
        <v>353</v>
      </c>
      <c r="C64" s="797" t="s">
        <v>645</v>
      </c>
      <c r="F64" s="789" t="s">
        <v>46</v>
      </c>
      <c r="G64" s="2053">
        <v>22477.952999999998</v>
      </c>
      <c r="H64" s="2054">
        <v>26333.402000000002</v>
      </c>
      <c r="I64" s="2055">
        <v>296257.255</v>
      </c>
      <c r="J64" s="11"/>
      <c r="M64" s="113" t="s">
        <v>100</v>
      </c>
      <c r="N64" s="37" t="s">
        <v>102</v>
      </c>
      <c r="O64" s="201"/>
      <c r="P64" s="1051">
        <f>IF(AND(ISNUMBER(G64),'Validn data - hide'!C461&gt;0),IF(G64/'Validn data - hide'!C461-1&gt;'Validn data - hide'!$L461,1,IF(G64/'Validn data - hide'!C461-1&lt;-'Validn data - hide'!$L461,-1,0)),0)</f>
        <v>-1</v>
      </c>
      <c r="Q64" s="1051">
        <f>IF(AND(ISNUMBER(H64),'Validn data - hide'!D461&gt;0),IF(H64/'Validn data - hide'!D461-1&gt;'Validn data - hide'!$L461,1,IF(H64/'Validn data - hide'!D461-1&lt;-'Validn data - hide'!$L461,-1,0)),0)</f>
        <v>0</v>
      </c>
      <c r="R64" s="1051">
        <f>IF(AND(ISNUMBER(I64),'Validn data - hide'!E461&gt;0),IF(I64/'Validn data - hide'!E461-1&gt;'Validn data - hide'!$L461,1,IF(I64/'Validn data - hide'!E461-1&lt;-'Validn data - hide'!$L461,-1,0)),0)</f>
        <v>1</v>
      </c>
      <c r="S64" s="36"/>
      <c r="T64" s="36"/>
    </row>
    <row r="65" spans="1:20" s="188" customFormat="1" x14ac:dyDescent="0.2">
      <c r="A65" s="201"/>
      <c r="B65" s="796"/>
      <c r="C65" s="390" t="s">
        <v>534</v>
      </c>
      <c r="F65" s="790" t="s">
        <v>44</v>
      </c>
      <c r="G65" s="2053">
        <v>3757.1729999999998</v>
      </c>
      <c r="H65" s="2054">
        <v>2803.8820000000001</v>
      </c>
      <c r="I65" s="2055">
        <v>27619.664999999997</v>
      </c>
      <c r="J65" s="11"/>
      <c r="M65" s="113" t="s">
        <v>10</v>
      </c>
      <c r="N65" s="1328" t="s">
        <v>1107</v>
      </c>
      <c r="O65" s="201"/>
      <c r="P65" s="1051">
        <f>IF(AND(ISNUMBER(G65),'Validn data - hide'!C462&gt;0),IF(G65/'Validn data - hide'!C462-1&gt;'Validn data - hide'!$L462,1,IF(G65/'Validn data - hide'!C462-1&lt;-'Validn data - hide'!$L462,-1,0)),0)</f>
        <v>-1</v>
      </c>
      <c r="Q65" s="1051">
        <f>IF(AND(ISNUMBER(H65),'Validn data - hide'!D462&gt;0),IF(H65/'Validn data - hide'!D462-1&gt;'Validn data - hide'!$L462,1,IF(H65/'Validn data - hide'!D462-1&lt;-'Validn data - hide'!$L462,-1,0)),0)</f>
        <v>1</v>
      </c>
      <c r="R65" s="1051">
        <f>IF(AND(ISNUMBER(I65),'Validn data - hide'!E462&gt;0),IF(I65/'Validn data - hide'!E462-1&gt;'Validn data - hide'!$L462,1,IF(I65/'Validn data - hide'!E462-1&lt;-'Validn data - hide'!$L462,-1,0)),0)</f>
        <v>-1</v>
      </c>
      <c r="S65" s="36"/>
      <c r="T65" s="36"/>
    </row>
    <row r="66" spans="1:20" s="188" customFormat="1" ht="13.5" customHeight="1" x14ac:dyDescent="0.2">
      <c r="A66" s="201"/>
      <c r="C66" s="2606" t="s">
        <v>980</v>
      </c>
      <c r="F66" s="790" t="s">
        <v>777</v>
      </c>
      <c r="G66" s="2053">
        <v>38506.174500000001</v>
      </c>
      <c r="H66" s="2054">
        <v>70834.330500000011</v>
      </c>
      <c r="I66" s="2055">
        <v>695474.29499999993</v>
      </c>
      <c r="J66" s="11"/>
      <c r="M66" s="113" t="s">
        <v>352</v>
      </c>
      <c r="N66" s="1329" t="s">
        <v>1022</v>
      </c>
      <c r="O66" s="201"/>
      <c r="P66" s="1051">
        <f>IF(AND(ISNUMBER(G66),'Validn data - hide'!C463&gt;0),IF(G66/'Validn data - hide'!C463-1&gt;'Validn data - hide'!$L463,1,IF(G66/'Validn data - hide'!C463-1&lt;-'Validn data - hide'!$L463,-1,0)),0)</f>
        <v>-1</v>
      </c>
      <c r="Q66" s="1051">
        <f>IF(AND(ISNUMBER(H66),'Validn data - hide'!D463&gt;0),IF(H66/'Validn data - hide'!D463-1&gt;'Validn data - hide'!$L463,1,IF(H66/'Validn data - hide'!D463-1&lt;-'Validn data - hide'!$L463,-1,0)),0)</f>
        <v>1</v>
      </c>
      <c r="R66" s="1051">
        <f>IF(AND(ISNUMBER(I66),'Validn data - hide'!E463&gt;0),IF(I66/'Validn data - hide'!E463-1&gt;'Validn data - hide'!$L463,1,IF(I66/'Validn data - hide'!E463-1&lt;-'Validn data - hide'!$L463,-1,0)),0)</f>
        <v>0</v>
      </c>
      <c r="S66" s="36"/>
      <c r="T66" s="36"/>
    </row>
    <row r="67" spans="1:20" s="188" customFormat="1" ht="12.75" customHeight="1" x14ac:dyDescent="0.2">
      <c r="A67" s="201"/>
      <c r="C67" s="2606"/>
      <c r="F67" s="789" t="s">
        <v>778</v>
      </c>
      <c r="G67" s="2053">
        <v>2659.5802041961188</v>
      </c>
      <c r="H67" s="2054">
        <v>13134.085982710349</v>
      </c>
      <c r="I67" s="2055">
        <v>3942.5838130935335</v>
      </c>
      <c r="J67" s="11"/>
      <c r="K67" s="389"/>
      <c r="M67" s="113" t="s">
        <v>99</v>
      </c>
      <c r="N67" s="1606">
        <v>42586</v>
      </c>
      <c r="O67" s="201"/>
      <c r="P67" s="1051">
        <f>IF(AND(ISNUMBER(G67),'Validn data - hide'!C464&gt;0),IF(G67/'Validn data - hide'!C464-1&gt;'Validn data - hide'!$L464,1,IF(G67/'Validn data - hide'!C464-1&lt;-'Validn data - hide'!$L464,-1,0)),0)</f>
        <v>0</v>
      </c>
      <c r="Q67" s="1051">
        <f>IF(AND(ISNUMBER(H67),'Validn data - hide'!D464&gt;0),IF(H67/'Validn data - hide'!D464-1&gt;'Validn data - hide'!$L464,1,IF(H67/'Validn data - hide'!D464-1&lt;-'Validn data - hide'!$L464,-1,0)),0)</f>
        <v>0</v>
      </c>
      <c r="R67" s="1051">
        <f>IF(AND(ISNUMBER(I67),'Validn data - hide'!E464&gt;0),IF(I67/'Validn data - hide'!E464-1&gt;'Validn data - hide'!$L464,1,IF(I67/'Validn data - hide'!E464-1&lt;-'Validn data - hide'!$L464,-1,0)),0)</f>
        <v>0</v>
      </c>
      <c r="S67" s="36"/>
      <c r="T67" s="36"/>
    </row>
    <row r="68" spans="1:20" s="389" customFormat="1" x14ac:dyDescent="0.2">
      <c r="A68" s="201"/>
      <c r="C68" s="2606" t="s">
        <v>981</v>
      </c>
      <c r="D68" s="442"/>
      <c r="F68" s="789" t="s">
        <v>779</v>
      </c>
      <c r="G68" s="2053">
        <v>1097.5999999999999</v>
      </c>
      <c r="H68" s="2054">
        <v>274.39999999999998</v>
      </c>
      <c r="I68" s="2055">
        <v>0</v>
      </c>
      <c r="J68" s="11"/>
      <c r="M68" s="113" t="s">
        <v>658</v>
      </c>
      <c r="N68" s="1328" t="s">
        <v>681</v>
      </c>
      <c r="O68" s="201"/>
      <c r="P68" s="1051">
        <f>IF(AND(ISNUMBER(G68),'Validn data - hide'!C465&gt;0),IF(G68/'Validn data - hide'!C465-1&gt;'Validn data - hide'!$L465,1,IF(G68/'Validn data - hide'!C465-1&lt;-'Validn data - hide'!$L465,-1,0)),0)</f>
        <v>0</v>
      </c>
      <c r="Q68" s="1051">
        <f>IF(AND(ISNUMBER(H68),'Validn data - hide'!D465&gt;0),IF(H68/'Validn data - hide'!D465-1&gt;'Validn data - hide'!$L465,1,IF(H68/'Validn data - hide'!D465-1&lt;-'Validn data - hide'!$L465,-1,0)),0)</f>
        <v>0</v>
      </c>
      <c r="R68" s="1051">
        <f>IF(AND(ISNUMBER(I68),'Validn data - hide'!E465&gt;0),IF(I68/'Validn data - hide'!E465-1&gt;'Validn data - hide'!$L465,1,IF(I68/'Validn data - hide'!E465-1&lt;-'Validn data - hide'!$L465,-1,0)),0)</f>
        <v>0</v>
      </c>
      <c r="S68" s="36"/>
      <c r="T68" s="36"/>
    </row>
    <row r="69" spans="1:20" s="389" customFormat="1" x14ac:dyDescent="0.2">
      <c r="A69" s="201"/>
      <c r="C69" s="2606"/>
      <c r="D69" s="442"/>
      <c r="F69" s="789" t="s">
        <v>54</v>
      </c>
      <c r="G69" s="2053">
        <v>582.16033660786456</v>
      </c>
      <c r="H69" s="2054">
        <v>27551.965102726095</v>
      </c>
      <c r="I69" s="2055">
        <v>709.87456066604022</v>
      </c>
      <c r="J69" s="11"/>
      <c r="O69" s="201"/>
      <c r="P69" s="1051">
        <f>IF(AND(ISNUMBER(G69),'Validn data - hide'!C466&gt;0),IF(G69/'Validn data - hide'!C466-1&gt;'Validn data - hide'!$L466,1,IF(G69/'Validn data - hide'!C466-1&lt;-'Validn data - hide'!$L466,-1,0)),0)</f>
        <v>-1</v>
      </c>
      <c r="Q69" s="1051">
        <f>IF(AND(ISNUMBER(H69),'Validn data - hide'!D466&gt;0),IF(H69/'Validn data - hide'!D466-1&gt;'Validn data - hide'!$L466,1,IF(H69/'Validn data - hide'!D466-1&lt;-'Validn data - hide'!$L466,-1,0)),0)</f>
        <v>1</v>
      </c>
      <c r="R69" s="1051">
        <f>IF(AND(ISNUMBER(I69),'Validn data - hide'!E466&gt;0),IF(I69/'Validn data - hide'!E466-1&gt;'Validn data - hide'!$L466,1,IF(I69/'Validn data - hide'!E466-1&lt;-'Validn data - hide'!$L466,-1,0)),0)</f>
        <v>-1</v>
      </c>
      <c r="S69" s="36"/>
      <c r="T69" s="36"/>
    </row>
    <row r="70" spans="1:20" s="389" customFormat="1" x14ac:dyDescent="0.2">
      <c r="A70" s="201"/>
      <c r="C70" s="2606" t="s">
        <v>982</v>
      </c>
      <c r="D70" s="442"/>
      <c r="F70" s="789" t="s">
        <v>780</v>
      </c>
      <c r="G70" s="2053">
        <v>62606.811545334655</v>
      </c>
      <c r="H70" s="2054">
        <v>359621.74462753779</v>
      </c>
      <c r="I70" s="2055">
        <v>132622.98382712749</v>
      </c>
      <c r="J70" s="11"/>
      <c r="O70" s="201"/>
      <c r="P70" s="1051">
        <f>IF(AND(ISNUMBER(G70),'Validn data - hide'!C467&gt;0),IF(G70/'Validn data - hide'!C467-1&gt;'Validn data - hide'!$L467,1,IF(G70/'Validn data - hide'!C467-1&lt;-'Validn data - hide'!$L467,-1,0)),0)</f>
        <v>0</v>
      </c>
      <c r="Q70" s="1051">
        <f>IF(AND(ISNUMBER(H70),'Validn data - hide'!D467&gt;0),IF(H70/'Validn data - hide'!D467-1&gt;'Validn data - hide'!$L467,1,IF(H70/'Validn data - hide'!D467-1&lt;-'Validn data - hide'!$L467,-1,0)),0)</f>
        <v>0</v>
      </c>
      <c r="R70" s="1051">
        <f>IF(AND(ISNUMBER(I70),'Validn data - hide'!E467&gt;0),IF(I70/'Validn data - hide'!E467-1&gt;'Validn data - hide'!$L467,1,IF(I70/'Validn data - hide'!E467-1&lt;-'Validn data - hide'!$L467,-1,0)),0)</f>
        <v>0</v>
      </c>
      <c r="S70" s="36"/>
      <c r="T70" s="36"/>
    </row>
    <row r="71" spans="1:20" s="389" customFormat="1" x14ac:dyDescent="0.2">
      <c r="A71" s="201"/>
      <c r="C71" s="2606"/>
      <c r="D71" s="442"/>
      <c r="F71" s="789" t="s">
        <v>781</v>
      </c>
      <c r="G71" s="2053">
        <v>4124.46</v>
      </c>
      <c r="H71" s="2054">
        <v>0</v>
      </c>
      <c r="I71" s="2055">
        <v>0</v>
      </c>
      <c r="J71" s="11"/>
      <c r="O71" s="201"/>
      <c r="P71" s="1051">
        <f>IF(AND(ISNUMBER(G71),'Validn data - hide'!C468&gt;0),IF(G71/'Validn data - hide'!C468-1&gt;'Validn data - hide'!$L468,1,IF(G71/'Validn data - hide'!C468-1&lt;-'Validn data - hide'!$L468,-1,0)),0)</f>
        <v>1</v>
      </c>
      <c r="Q71" s="1051">
        <f>IF(AND(ISNUMBER(H71),'Validn data - hide'!D468&gt;0),IF(H71/'Validn data - hide'!D468-1&gt;'Validn data - hide'!$L468,1,IF(H71/'Validn data - hide'!D468-1&lt;-'Validn data - hide'!$L468,-1,0)),0)</f>
        <v>0</v>
      </c>
      <c r="R71" s="1051">
        <f>IF(AND(ISNUMBER(I71),'Validn data - hide'!E468&gt;0),IF(I71/'Validn data - hide'!E468-1&gt;'Validn data - hide'!$L468,1,IF(I71/'Validn data - hide'!E468-1&lt;-'Validn data - hide'!$L468,-1,0)),0)</f>
        <v>0</v>
      </c>
      <c r="S71" s="36"/>
      <c r="T71" s="36"/>
    </row>
    <row r="72" spans="1:20" s="389" customFormat="1" x14ac:dyDescent="0.2">
      <c r="A72" s="201"/>
      <c r="C72" s="2606"/>
      <c r="D72" s="442"/>
      <c r="F72" s="789" t="s">
        <v>782</v>
      </c>
      <c r="G72" s="2053">
        <v>65393.221190603217</v>
      </c>
      <c r="H72" s="2054">
        <v>102108.45656593349</v>
      </c>
      <c r="I72" s="2055">
        <v>3885.1522434633125</v>
      </c>
      <c r="J72" s="11"/>
      <c r="O72" s="201"/>
      <c r="P72" s="1051">
        <f>IF(AND(ISNUMBER(G72),'Validn data - hide'!C469&gt;0),IF(G72/'Validn data - hide'!C469-1&gt;'Validn data - hide'!$L469,1,IF(G72/'Validn data - hide'!C469-1&lt;-'Validn data - hide'!$L469,-1,0)),0)</f>
        <v>-1</v>
      </c>
      <c r="Q72" s="1051">
        <f>IF(AND(ISNUMBER(H72),'Validn data - hide'!D469&gt;0),IF(H72/'Validn data - hide'!D469-1&gt;'Validn data - hide'!$L469,1,IF(H72/'Validn data - hide'!D469-1&lt;-'Validn data - hide'!$L469,-1,0)),0)</f>
        <v>1</v>
      </c>
      <c r="R72" s="1051">
        <f>IF(AND(ISNUMBER(I72),'Validn data - hide'!E469&gt;0),IF(I72/'Validn data - hide'!E469-1&gt;'Validn data - hide'!$L469,1,IF(I72/'Validn data - hide'!E469-1&lt;-'Validn data - hide'!$L469,-1,0)),0)</f>
        <v>-1</v>
      </c>
      <c r="S72" s="36"/>
      <c r="T72" s="36"/>
    </row>
    <row r="73" spans="1:20" s="389" customFormat="1" x14ac:dyDescent="0.2">
      <c r="A73" s="201"/>
      <c r="B73" s="784" t="s">
        <v>646</v>
      </c>
      <c r="C73" s="492" t="s">
        <v>122</v>
      </c>
      <c r="D73" s="442"/>
      <c r="F73" s="789" t="s">
        <v>89</v>
      </c>
      <c r="G73" s="2053"/>
      <c r="H73" s="2054"/>
      <c r="I73" s="2055"/>
      <c r="J73" s="11"/>
      <c r="O73" s="201"/>
      <c r="P73" s="1051">
        <f>IF(AND(ISNUMBER(G73),'Validn data - hide'!C470&gt;0),IF(G73/'Validn data - hide'!C470-1&gt;'Validn data - hide'!$L470,1,IF(G73/'Validn data - hide'!C470-1&lt;-'Validn data - hide'!$L470,-1,0)),0)</f>
        <v>0</v>
      </c>
      <c r="Q73" s="1051">
        <f>IF(AND(ISNUMBER(H73),'Validn data - hide'!D470&gt;0),IF(H73/'Validn data - hide'!D470-1&gt;'Validn data - hide'!$L470,1,IF(H73/'Validn data - hide'!D470-1&lt;-'Validn data - hide'!$L470,-1,0)),0)</f>
        <v>0</v>
      </c>
      <c r="R73" s="1051">
        <f>IF(AND(ISNUMBER(I73),'Validn data - hide'!E470&gt;0),IF(I73/'Validn data - hide'!E470-1&gt;'Validn data - hide'!$L470,1,IF(I73/'Validn data - hide'!E470-1&lt;-'Validn data - hide'!$L470,-1,0)),0)</f>
        <v>0</v>
      </c>
      <c r="S73" s="36"/>
      <c r="T73" s="36"/>
    </row>
    <row r="74" spans="1:20" s="389" customFormat="1" x14ac:dyDescent="0.2">
      <c r="A74" s="201"/>
      <c r="B74" s="785" t="s">
        <v>42</v>
      </c>
      <c r="C74" s="786" t="s">
        <v>42</v>
      </c>
      <c r="D74" s="442"/>
      <c r="F74" s="790" t="s">
        <v>783</v>
      </c>
      <c r="G74" s="2053">
        <v>40789.57</v>
      </c>
      <c r="H74" s="2054">
        <v>4197.72</v>
      </c>
      <c r="I74" s="2055">
        <v>0</v>
      </c>
      <c r="J74" s="11"/>
      <c r="O74" s="201"/>
      <c r="P74" s="1051">
        <f>IF(AND(ISNUMBER(G74),'Validn data - hide'!C471&gt;0),IF(G74/'Validn data - hide'!C471-1&gt;'Validn data - hide'!$L471,1,IF(G74/'Validn data - hide'!C471-1&lt;-'Validn data - hide'!$L471,-1,0)),0)</f>
        <v>0</v>
      </c>
      <c r="Q74" s="1051">
        <f>IF(AND(ISNUMBER(H74),'Validn data - hide'!D471&gt;0),IF(H74/'Validn data - hide'!D471-1&gt;'Validn data - hide'!$L471,1,IF(H74/'Validn data - hide'!D471-1&lt;-'Validn data - hide'!$L471,-1,0)),0)</f>
        <v>0</v>
      </c>
      <c r="R74" s="1051">
        <f>IF(AND(ISNUMBER(I74),'Validn data - hide'!E471&gt;0),IF(I74/'Validn data - hide'!E471-1&gt;'Validn data - hide'!$L471,1,IF(I74/'Validn data - hide'!E471-1&lt;-'Validn data - hide'!$L471,-1,0)),0)</f>
        <v>0</v>
      </c>
      <c r="S74" s="36"/>
      <c r="T74" s="36"/>
    </row>
    <row r="75" spans="1:20" s="389" customFormat="1" x14ac:dyDescent="0.2">
      <c r="A75" s="201"/>
      <c r="B75" s="785" t="s">
        <v>46</v>
      </c>
      <c r="C75" s="786" t="s">
        <v>46</v>
      </c>
      <c r="D75" s="442"/>
      <c r="F75" s="790" t="s">
        <v>784</v>
      </c>
      <c r="G75" s="2053">
        <v>0</v>
      </c>
      <c r="H75" s="2054">
        <v>8637.4499999999989</v>
      </c>
      <c r="I75" s="2055">
        <v>0</v>
      </c>
      <c r="J75" s="11"/>
      <c r="O75" s="201"/>
      <c r="P75" s="1051">
        <f>IF(AND(ISNUMBER(G75),'Validn data - hide'!C472&gt;0),IF(G75/'Validn data - hide'!C472-1&gt;'Validn data - hide'!$L472,1,IF(G75/'Validn data - hide'!C472-1&lt;-'Validn data - hide'!$L472,-1,0)),0)</f>
        <v>0</v>
      </c>
      <c r="Q75" s="1051">
        <f>IF(AND(ISNUMBER(H75),'Validn data - hide'!D472&gt;0),IF(H75/'Validn data - hide'!D472-1&gt;'Validn data - hide'!$L472,1,IF(H75/'Validn data - hide'!D472-1&lt;-'Validn data - hide'!$L472,-1,0)),0)</f>
        <v>1</v>
      </c>
      <c r="R75" s="1051">
        <f>IF(AND(ISNUMBER(I75),'Validn data - hide'!E472&gt;0),IF(I75/'Validn data - hide'!E472-1&gt;'Validn data - hide'!$L472,1,IF(I75/'Validn data - hide'!E472-1&lt;-'Validn data - hide'!$L472,-1,0)),0)</f>
        <v>0</v>
      </c>
      <c r="S75" s="36"/>
      <c r="T75" s="36"/>
    </row>
    <row r="76" spans="1:20" s="389" customFormat="1" x14ac:dyDescent="0.2">
      <c r="A76" s="201"/>
      <c r="B76" s="787" t="s">
        <v>44</v>
      </c>
      <c r="C76" s="788" t="s">
        <v>44</v>
      </c>
      <c r="D76" s="442"/>
      <c r="F76" s="790" t="s">
        <v>30</v>
      </c>
      <c r="G76" s="2053">
        <v>47020.800000000003</v>
      </c>
      <c r="H76" s="2054">
        <v>277.2</v>
      </c>
      <c r="I76" s="2055">
        <v>0</v>
      </c>
      <c r="J76" s="11"/>
      <c r="O76" s="201"/>
      <c r="P76" s="1051">
        <f>IF(AND(ISNUMBER(G76),'Validn data - hide'!C473&gt;0),IF(G76/'Validn data - hide'!C473-1&gt;'Validn data - hide'!$L473,1,IF(G76/'Validn data - hide'!C473-1&lt;-'Validn data - hide'!$L473,-1,0)),0)</f>
        <v>1</v>
      </c>
      <c r="Q76" s="1051">
        <f>IF(AND(ISNUMBER(H76),'Validn data - hide'!D473&gt;0),IF(H76/'Validn data - hide'!D473-1&gt;'Validn data - hide'!$L473,1,IF(H76/'Validn data - hide'!D473-1&lt;-'Validn data - hide'!$L473,-1,0)),0)</f>
        <v>-1</v>
      </c>
      <c r="R76" s="1051">
        <f>IF(AND(ISNUMBER(I76),'Validn data - hide'!E473&gt;0),IF(I76/'Validn data - hide'!E473-1&gt;'Validn data - hide'!$L473,1,IF(I76/'Validn data - hide'!E473-1&lt;-'Validn data - hide'!$L473,-1,0)),0)</f>
        <v>0</v>
      </c>
      <c r="S76" s="36"/>
      <c r="T76" s="36"/>
    </row>
    <row r="77" spans="1:20" s="389" customFormat="1" x14ac:dyDescent="0.2">
      <c r="A77" s="201"/>
      <c r="B77" s="787" t="s">
        <v>777</v>
      </c>
      <c r="C77" s="782" t="s">
        <v>47</v>
      </c>
      <c r="D77" s="442"/>
      <c r="F77" s="790" t="s">
        <v>785</v>
      </c>
      <c r="G77" s="2053">
        <v>0</v>
      </c>
      <c r="H77" s="2054">
        <v>200</v>
      </c>
      <c r="I77" s="2055">
        <v>0</v>
      </c>
      <c r="J77" s="11"/>
      <c r="O77" s="201"/>
      <c r="P77" s="1051">
        <f>IF(AND(ISNUMBER(G77),'Validn data - hide'!C474&gt;0),IF(G77/'Validn data - hide'!C474-1&gt;'Validn data - hide'!$L474,1,IF(G77/'Validn data - hide'!C474-1&lt;-'Validn data - hide'!$L474,-1,0)),0)</f>
        <v>0</v>
      </c>
      <c r="Q77" s="1051">
        <f>IF(AND(ISNUMBER(H77),'Validn data - hide'!D474&gt;0),IF(H77/'Validn data - hide'!D474-1&gt;'Validn data - hide'!$L474,1,IF(H77/'Validn data - hide'!D474-1&lt;-'Validn data - hide'!$L474,-1,0)),0)</f>
        <v>1</v>
      </c>
      <c r="R77" s="1051">
        <f>IF(AND(ISNUMBER(I77),'Validn data - hide'!E474&gt;0),IF(I77/'Validn data - hide'!E474-1&gt;'Validn data - hide'!$L474,1,IF(I77/'Validn data - hide'!E474-1&lt;-'Validn data - hide'!$L474,-1,0)),0)</f>
        <v>0</v>
      </c>
      <c r="S77" s="36"/>
      <c r="T77" s="36"/>
    </row>
    <row r="78" spans="1:20" s="389" customFormat="1" x14ac:dyDescent="0.2">
      <c r="A78" s="201"/>
      <c r="B78" s="785" t="s">
        <v>778</v>
      </c>
      <c r="C78" s="782" t="s">
        <v>52</v>
      </c>
      <c r="D78" s="442"/>
      <c r="F78" s="790" t="s">
        <v>786</v>
      </c>
      <c r="G78" s="2053">
        <v>0</v>
      </c>
      <c r="H78" s="2054">
        <v>300</v>
      </c>
      <c r="I78" s="2055">
        <v>0</v>
      </c>
      <c r="J78" s="11"/>
      <c r="O78" s="201"/>
      <c r="P78" s="1051">
        <f>IF(AND(ISNUMBER(G78),'Validn data - hide'!C475&gt;0),IF(G78/'Validn data - hide'!C475-1&gt;'Validn data - hide'!$L475,1,IF(G78/'Validn data - hide'!C475-1&lt;-'Validn data - hide'!$L475,-1,0)),0)</f>
        <v>0</v>
      </c>
      <c r="Q78" s="1051">
        <f>IF(AND(ISNUMBER(H78),'Validn data - hide'!D475&gt;0),IF(H78/'Validn data - hide'!D475-1&gt;'Validn data - hide'!$L475,1,IF(H78/'Validn data - hide'!D475-1&lt;-'Validn data - hide'!$L475,-1,0)),0)</f>
        <v>1</v>
      </c>
      <c r="R78" s="1051">
        <f>IF(AND(ISNUMBER(I78),'Validn data - hide'!E475&gt;0),IF(I78/'Validn data - hide'!E475-1&gt;'Validn data - hide'!$L475,1,IF(I78/'Validn data - hide'!E475-1&lt;-'Validn data - hide'!$L475,-1,0)),0)</f>
        <v>0</v>
      </c>
      <c r="S78" s="36"/>
      <c r="T78" s="36"/>
    </row>
    <row r="79" spans="1:20" s="389" customFormat="1" x14ac:dyDescent="0.2">
      <c r="A79" s="201"/>
      <c r="B79" s="785" t="s">
        <v>779</v>
      </c>
      <c r="C79" s="782" t="s">
        <v>52</v>
      </c>
      <c r="D79" s="442"/>
      <c r="F79" s="790" t="s">
        <v>507</v>
      </c>
      <c r="G79" s="2053">
        <v>2900</v>
      </c>
      <c r="H79" s="2054">
        <v>3100.0000000000005</v>
      </c>
      <c r="I79" s="2055">
        <v>0</v>
      </c>
      <c r="J79" s="11"/>
      <c r="O79" s="201"/>
      <c r="P79" s="1051">
        <f>IF(AND(ISNUMBER(G79),'Validn data - hide'!C476&gt;0),IF(G79/'Validn data - hide'!C476-1&gt;'Validn data - hide'!$L476,1,IF(G79/'Validn data - hide'!C476-1&lt;-'Validn data - hide'!$L476,-1,0)),0)</f>
        <v>0</v>
      </c>
      <c r="Q79" s="1051">
        <f>IF(AND(ISNUMBER(H79),'Validn data - hide'!D476&gt;0),IF(H79/'Validn data - hide'!D476-1&gt;'Validn data - hide'!$L476,1,IF(H79/'Validn data - hide'!D476-1&lt;-'Validn data - hide'!$L476,-1,0)),0)</f>
        <v>0</v>
      </c>
      <c r="R79" s="1051">
        <f>IF(AND(ISNUMBER(I79),'Validn data - hide'!E476&gt;0),IF(I79/'Validn data - hide'!E476-1&gt;'Validn data - hide'!$L476,1,IF(I79/'Validn data - hide'!E476-1&lt;-'Validn data - hide'!$L476,-1,0)),0)</f>
        <v>0</v>
      </c>
      <c r="S79" s="36"/>
      <c r="T79" s="36"/>
    </row>
    <row r="80" spans="1:20" s="389" customFormat="1" x14ac:dyDescent="0.2">
      <c r="A80" s="201"/>
      <c r="B80" s="785" t="s">
        <v>54</v>
      </c>
      <c r="C80" s="782" t="s">
        <v>54</v>
      </c>
      <c r="D80" s="442"/>
      <c r="F80" s="790" t="s">
        <v>787</v>
      </c>
      <c r="G80" s="2053">
        <v>0</v>
      </c>
      <c r="H80" s="2054">
        <v>2400</v>
      </c>
      <c r="I80" s="2055">
        <v>0</v>
      </c>
      <c r="J80" s="11"/>
      <c r="O80" s="201"/>
      <c r="P80" s="1051">
        <f>IF(AND(ISNUMBER(G80),'Validn data - hide'!C477&gt;0),IF(G80/'Validn data - hide'!C477-1&gt;'Validn data - hide'!$L477,1,IF(G80/'Validn data - hide'!C477-1&lt;-'Validn data - hide'!$L477,-1,0)),0)</f>
        <v>0</v>
      </c>
      <c r="Q80" s="1051">
        <f>IF(AND(ISNUMBER(H80),'Validn data - hide'!D477&gt;0),IF(H80/'Validn data - hide'!D477-1&gt;'Validn data - hide'!$L477,1,IF(H80/'Validn data - hide'!D477-1&lt;-'Validn data - hide'!$L477,-1,0)),0)</f>
        <v>0</v>
      </c>
      <c r="R80" s="1051">
        <f>IF(AND(ISNUMBER(I80),'Validn data - hide'!E477&gt;0),IF(I80/'Validn data - hide'!E477-1&gt;'Validn data - hide'!$L477,1,IF(I80/'Validn data - hide'!E477-1&lt;-'Validn data - hide'!$L477,-1,0)),0)</f>
        <v>0</v>
      </c>
      <c r="S80" s="36"/>
      <c r="T80" s="36"/>
    </row>
    <row r="81" spans="1:20" s="389" customFormat="1" x14ac:dyDescent="0.2">
      <c r="A81" s="201"/>
      <c r="B81" s="785" t="s">
        <v>780</v>
      </c>
      <c r="C81" s="782" t="s">
        <v>56</v>
      </c>
      <c r="D81" s="442"/>
      <c r="F81" s="790" t="s">
        <v>788</v>
      </c>
      <c r="G81" s="2053"/>
      <c r="H81" s="2054"/>
      <c r="I81" s="2055"/>
      <c r="J81" s="11"/>
      <c r="O81" s="201"/>
      <c r="P81" s="1051">
        <f>IF(AND(ISNUMBER(G81),'Validn data - hide'!C478&gt;0),IF(G81/'Validn data - hide'!C478-1&gt;'Validn data - hide'!$L478,1,IF(G81/'Validn data - hide'!C478-1&lt;-'Validn data - hide'!$L478,-1,0)),0)</f>
        <v>0</v>
      </c>
      <c r="Q81" s="1051">
        <f>IF(AND(ISNUMBER(H81),'Validn data - hide'!D478&gt;0),IF(H81/'Validn data - hide'!D478-1&gt;'Validn data - hide'!$L478,1,IF(H81/'Validn data - hide'!D478-1&lt;-'Validn data - hide'!$L478,-1,0)),0)</f>
        <v>0</v>
      </c>
      <c r="R81" s="1051">
        <f>IF(AND(ISNUMBER(I81),'Validn data - hide'!E478&gt;0),IF(I81/'Validn data - hide'!E478-1&gt;'Validn data - hide'!$L478,1,IF(I81/'Validn data - hide'!E478-1&lt;-'Validn data - hide'!$L478,-1,0)),0)</f>
        <v>0</v>
      </c>
      <c r="S81" s="36"/>
      <c r="T81" s="36"/>
    </row>
    <row r="82" spans="1:20" s="389" customFormat="1" x14ac:dyDescent="0.2">
      <c r="A82" s="201"/>
      <c r="B82" s="785" t="s">
        <v>781</v>
      </c>
      <c r="C82" s="782" t="s">
        <v>56</v>
      </c>
      <c r="D82" s="442"/>
      <c r="F82" s="790" t="s">
        <v>33</v>
      </c>
      <c r="G82" s="2053"/>
      <c r="H82" s="2054"/>
      <c r="I82" s="2055"/>
      <c r="J82" s="11"/>
      <c r="O82" s="201"/>
      <c r="P82" s="1051">
        <f>IF(AND(ISNUMBER(G82),'Validn data - hide'!C479&gt;0),IF(G82/'Validn data - hide'!C479-1&gt;'Validn data - hide'!$L479,1,IF(G82/'Validn data - hide'!C479-1&lt;-'Validn data - hide'!$L479,-1,0)),0)</f>
        <v>0</v>
      </c>
      <c r="Q82" s="1051">
        <f>IF(AND(ISNUMBER(H82),'Validn data - hide'!D479&gt;0),IF(H82/'Validn data - hide'!D479-1&gt;'Validn data - hide'!$L479,1,IF(H82/'Validn data - hide'!D479-1&lt;-'Validn data - hide'!$L479,-1,0)),0)</f>
        <v>0</v>
      </c>
      <c r="R82" s="1051">
        <f>IF(AND(ISNUMBER(I82),'Validn data - hide'!E479&gt;0),IF(I82/'Validn data - hide'!E479-1&gt;'Validn data - hide'!$L479,1,IF(I82/'Validn data - hide'!E479-1&lt;-'Validn data - hide'!$L479,-1,0)),0)</f>
        <v>0</v>
      </c>
      <c r="S82" s="36"/>
      <c r="T82" s="36"/>
    </row>
    <row r="83" spans="1:20" s="389" customFormat="1" x14ac:dyDescent="0.2">
      <c r="A83" s="201"/>
      <c r="B83" s="785" t="s">
        <v>782</v>
      </c>
      <c r="C83" s="782" t="s">
        <v>74</v>
      </c>
      <c r="D83" s="442"/>
      <c r="F83" s="790" t="s">
        <v>538</v>
      </c>
      <c r="G83" s="2053">
        <v>2900</v>
      </c>
      <c r="H83" s="2054">
        <v>500</v>
      </c>
      <c r="I83" s="2055">
        <v>0</v>
      </c>
      <c r="J83" s="11"/>
      <c r="O83" s="201"/>
      <c r="P83" s="1051">
        <f>IF(AND(ISNUMBER(G83),'Validn data - hide'!C480&gt;0),IF(G83/'Validn data - hide'!C480-1&gt;'Validn data - hide'!$L480,1,IF(G83/'Validn data - hide'!C480-1&lt;-'Validn data - hide'!$L480,-1,0)),0)</f>
        <v>1</v>
      </c>
      <c r="Q83" s="1051">
        <f>IF(AND(ISNUMBER(H83),'Validn data - hide'!D480&gt;0),IF(H83/'Validn data - hide'!D480-1&gt;'Validn data - hide'!$L480,1,IF(H83/'Validn data - hide'!D480-1&lt;-'Validn data - hide'!$L480,-1,0)),0)</f>
        <v>0</v>
      </c>
      <c r="R83" s="1051">
        <f>IF(AND(ISNUMBER(I83),'Validn data - hide'!E480&gt;0),IF(I83/'Validn data - hide'!E480-1&gt;'Validn data - hide'!$L480,1,IF(I83/'Validn data - hide'!E480-1&lt;-'Validn data - hide'!$L480,-1,0)),0)</f>
        <v>0</v>
      </c>
      <c r="S83" s="36"/>
      <c r="T83" s="36"/>
    </row>
    <row r="84" spans="1:20" s="389" customFormat="1" x14ac:dyDescent="0.2">
      <c r="A84" s="201"/>
      <c r="B84" s="785" t="s">
        <v>89</v>
      </c>
      <c r="C84" s="782" t="s">
        <v>89</v>
      </c>
      <c r="D84" s="442"/>
      <c r="F84" s="790" t="s">
        <v>789</v>
      </c>
      <c r="G84" s="2053">
        <v>1200</v>
      </c>
      <c r="H84" s="2054">
        <v>1300</v>
      </c>
      <c r="I84" s="2055">
        <v>0</v>
      </c>
      <c r="J84" s="11"/>
      <c r="O84" s="201"/>
      <c r="P84" s="1051">
        <f>IF(AND(ISNUMBER(G84),'Validn data - hide'!C481&gt;0),IF(G84/'Validn data - hide'!C481-1&gt;'Validn data - hide'!$L481,1,IF(G84/'Validn data - hide'!C481-1&lt;-'Validn data - hide'!$L481,-1,0)),0)</f>
        <v>0</v>
      </c>
      <c r="Q84" s="1051">
        <f>IF(AND(ISNUMBER(H84),'Validn data - hide'!D481&gt;0),IF(H84/'Validn data - hide'!D481-1&gt;'Validn data - hide'!$L481,1,IF(H84/'Validn data - hide'!D481-1&lt;-'Validn data - hide'!$L481,-1,0)),0)</f>
        <v>1</v>
      </c>
      <c r="R84" s="1051">
        <f>IF(AND(ISNUMBER(I84),'Validn data - hide'!E481&gt;0),IF(I84/'Validn data - hide'!E481-1&gt;'Validn data - hide'!$L481,1,IF(I84/'Validn data - hide'!E481-1&lt;-'Validn data - hide'!$L481,-1,0)),0)</f>
        <v>0</v>
      </c>
      <c r="S84" s="36"/>
      <c r="T84" s="36"/>
    </row>
    <row r="85" spans="1:20" s="389" customFormat="1" x14ac:dyDescent="0.2">
      <c r="A85" s="201"/>
      <c r="B85" s="787" t="s">
        <v>783</v>
      </c>
      <c r="C85" s="782" t="s">
        <v>76</v>
      </c>
      <c r="D85" s="442"/>
      <c r="F85" s="790" t="s">
        <v>790</v>
      </c>
      <c r="G85" s="2053">
        <v>100</v>
      </c>
      <c r="H85" s="2054">
        <v>200</v>
      </c>
      <c r="I85" s="2055">
        <v>0</v>
      </c>
      <c r="J85" s="11"/>
      <c r="O85" s="201"/>
      <c r="P85" s="1051">
        <f>IF(AND(ISNUMBER(G85),'Validn data - hide'!C482&gt;0),IF(G85/'Validn data - hide'!C482-1&gt;'Validn data - hide'!$L482,1,IF(G85/'Validn data - hide'!C482-1&lt;-'Validn data - hide'!$L482,-1,0)),0)</f>
        <v>-1</v>
      </c>
      <c r="Q85" s="1051">
        <f>IF(AND(ISNUMBER(H85),'Validn data - hide'!D482&gt;0),IF(H85/'Validn data - hide'!D482-1&gt;'Validn data - hide'!$L482,1,IF(H85/'Validn data - hide'!D482-1&lt;-'Validn data - hide'!$L482,-1,0)),0)</f>
        <v>0</v>
      </c>
      <c r="R85" s="1051">
        <f>IF(AND(ISNUMBER(I85),'Validn data - hide'!E482&gt;0),IF(I85/'Validn data - hide'!E482-1&gt;'Validn data - hide'!$L482,1,IF(I85/'Validn data - hide'!E482-1&lt;-'Validn data - hide'!$L482,-1,0)),0)</f>
        <v>0</v>
      </c>
      <c r="S85" s="36"/>
      <c r="T85" s="36"/>
    </row>
    <row r="86" spans="1:20" s="389" customFormat="1" x14ac:dyDescent="0.2">
      <c r="A86" s="201"/>
      <c r="B86" s="787" t="s">
        <v>784</v>
      </c>
      <c r="C86" s="782" t="s">
        <v>79</v>
      </c>
      <c r="D86" s="442"/>
      <c r="F86" s="790" t="s">
        <v>791</v>
      </c>
      <c r="G86" s="2053">
        <v>100</v>
      </c>
      <c r="H86" s="2054">
        <v>1100</v>
      </c>
      <c r="I86" s="2055">
        <v>0</v>
      </c>
      <c r="J86" s="11"/>
      <c r="O86" s="201"/>
      <c r="P86" s="1051">
        <f>IF(AND(ISNUMBER(G86),'Validn data - hide'!C483&gt;0),IF(G86/'Validn data - hide'!C483-1&gt;'Validn data - hide'!$L483,1,IF(G86/'Validn data - hide'!C483-1&lt;-'Validn data - hide'!$L483,-1,0)),0)</f>
        <v>-1</v>
      </c>
      <c r="Q86" s="1051">
        <f>IF(AND(ISNUMBER(H86),'Validn data - hide'!D483&gt;0),IF(H86/'Validn data - hide'!D483-1&gt;'Validn data - hide'!$L483,1,IF(H86/'Validn data - hide'!D483-1&lt;-'Validn data - hide'!$L483,-1,0)),0)</f>
        <v>0</v>
      </c>
      <c r="R86" s="1051">
        <f>IF(AND(ISNUMBER(I86),'Validn data - hide'!E483&gt;0),IF(I86/'Validn data - hide'!E483-1&gt;'Validn data - hide'!$L483,1,IF(I86/'Validn data - hide'!E483-1&lt;-'Validn data - hide'!$L483,-1,0)),0)</f>
        <v>0</v>
      </c>
      <c r="S86" s="36"/>
      <c r="T86" s="36"/>
    </row>
    <row r="87" spans="1:20" s="389" customFormat="1" x14ac:dyDescent="0.2">
      <c r="A87" s="201"/>
      <c r="B87" s="787" t="s">
        <v>30</v>
      </c>
      <c r="C87" s="786" t="s">
        <v>30</v>
      </c>
      <c r="D87" s="442"/>
      <c r="F87" s="790" t="s">
        <v>792</v>
      </c>
      <c r="G87" s="2053">
        <v>100</v>
      </c>
      <c r="H87" s="2054">
        <v>0</v>
      </c>
      <c r="I87" s="2055">
        <v>0</v>
      </c>
      <c r="J87" s="11"/>
      <c r="O87" s="201"/>
      <c r="P87" s="1051">
        <f>IF(AND(ISNUMBER(G87),'Validn data - hide'!C484&gt;0),IF(G87/'Validn data - hide'!C484-1&gt;'Validn data - hide'!$L484,1,IF(G87/'Validn data - hide'!C484-1&lt;-'Validn data - hide'!$L484,-1,0)),0)</f>
        <v>-1</v>
      </c>
      <c r="Q87" s="1051">
        <f>IF(AND(ISNUMBER(H87),'Validn data - hide'!D484&gt;0),IF(H87/'Validn data - hide'!D484-1&gt;'Validn data - hide'!$L484,1,IF(H87/'Validn data - hide'!D484-1&lt;-'Validn data - hide'!$L484,-1,0)),0)</f>
        <v>0</v>
      </c>
      <c r="R87" s="1051">
        <f>IF(AND(ISNUMBER(I87),'Validn data - hide'!E484&gt;0),IF(I87/'Validn data - hide'!E484-1&gt;'Validn data - hide'!$L484,1,IF(I87/'Validn data - hide'!E484-1&lt;-'Validn data - hide'!$L484,-1,0)),0)</f>
        <v>0</v>
      </c>
      <c r="S87" s="36"/>
      <c r="T87" s="36"/>
    </row>
    <row r="88" spans="1:20" s="389" customFormat="1" x14ac:dyDescent="0.2">
      <c r="A88" s="201"/>
      <c r="B88" s="787" t="s">
        <v>785</v>
      </c>
      <c r="C88" s="782" t="s">
        <v>96</v>
      </c>
      <c r="D88" s="442"/>
      <c r="F88" s="1559" t="s">
        <v>793</v>
      </c>
      <c r="G88" s="2056"/>
      <c r="H88" s="2057"/>
      <c r="I88" s="2058"/>
      <c r="O88" s="201"/>
      <c r="P88" s="1051">
        <f>IF(AND(ISNUMBER(G88),'Validn data - hide'!C485&gt;0),IF(G88/'Validn data - hide'!C485-1&gt;'Validn data - hide'!$L485,1,IF(G88/'Validn data - hide'!C485-1&lt;-'Validn data - hide'!$L485,-1,0)),0)</f>
        <v>0</v>
      </c>
      <c r="Q88" s="1051">
        <f>IF(AND(ISNUMBER(H88),'Validn data - hide'!D485&gt;0),IF(H88/'Validn data - hide'!D485-1&gt;'Validn data - hide'!$L485,1,IF(H88/'Validn data - hide'!D485-1&lt;-'Validn data - hide'!$L485,-1,0)),0)</f>
        <v>0</v>
      </c>
      <c r="R88" s="1051">
        <f>IF(AND(ISNUMBER(I88),'Validn data - hide'!E485&gt;0),IF(I88/'Validn data - hide'!E485-1&gt;'Validn data - hide'!$L485,1,IF(I88/'Validn data - hide'!E485-1&lt;-'Validn data - hide'!$L485,-1,0)),0)</f>
        <v>0</v>
      </c>
      <c r="S88" s="36"/>
      <c r="T88" s="36"/>
    </row>
    <row r="89" spans="1:20" s="389" customFormat="1" x14ac:dyDescent="0.2">
      <c r="A89" s="201"/>
      <c r="B89" s="787" t="s">
        <v>786</v>
      </c>
      <c r="C89" s="782" t="s">
        <v>96</v>
      </c>
      <c r="D89" s="442"/>
      <c r="F89" s="790" t="s">
        <v>26</v>
      </c>
      <c r="G89" s="2053">
        <v>3757.8850000000002</v>
      </c>
      <c r="H89" s="2054">
        <v>97.85</v>
      </c>
      <c r="I89" s="2055">
        <v>0</v>
      </c>
      <c r="J89" s="11"/>
      <c r="O89" s="201"/>
      <c r="P89" s="1051">
        <f>IF(AND(ISNUMBER(G89),'Validn data - hide'!C486&gt;0),IF(G89/'Validn data - hide'!C486-1&gt;'Validn data - hide'!$L486,1,IF(G89/'Validn data - hide'!C486-1&lt;-'Validn data - hide'!$L486,-1,0)),0)</f>
        <v>0</v>
      </c>
      <c r="Q89" s="1051">
        <f>IF(AND(ISNUMBER(H89),'Validn data - hide'!D486&gt;0),IF(H89/'Validn data - hide'!D486-1&gt;'Validn data - hide'!$L486,1,IF(H89/'Validn data - hide'!D486-1&lt;-'Validn data - hide'!$L486,-1,0)),0)</f>
        <v>1</v>
      </c>
      <c r="R89" s="1051">
        <f>IF(AND(ISNUMBER(I89),'Validn data - hide'!E486&gt;0),IF(I89/'Validn data - hide'!E486-1&gt;'Validn data - hide'!$L486,1,IF(I89/'Validn data - hide'!E486-1&lt;-'Validn data - hide'!$L486,-1,0)),0)</f>
        <v>0</v>
      </c>
      <c r="S89" s="36"/>
      <c r="T89" s="36"/>
    </row>
    <row r="90" spans="1:20" s="389" customFormat="1" x14ac:dyDescent="0.2">
      <c r="A90" s="201"/>
      <c r="B90" s="787" t="s">
        <v>507</v>
      </c>
      <c r="C90" s="786" t="s">
        <v>91</v>
      </c>
      <c r="D90" s="443"/>
      <c r="F90" s="789" t="s">
        <v>61</v>
      </c>
      <c r="G90" s="2053">
        <v>0</v>
      </c>
      <c r="H90" s="2054">
        <v>12135.2</v>
      </c>
      <c r="I90" s="2055">
        <v>0</v>
      </c>
      <c r="J90" s="11"/>
      <c r="O90" s="201"/>
      <c r="P90" s="1051">
        <f>IF(AND(ISNUMBER(G90),'Validn data - hide'!C487&gt;0),IF(G90/'Validn data - hide'!C487-1&gt;'Validn data - hide'!$L487,1,IF(G90/'Validn data - hide'!C487-1&lt;-'Validn data - hide'!$L487,-1,0)),0)</f>
        <v>0</v>
      </c>
      <c r="Q90" s="1051">
        <f>IF(AND(ISNUMBER(H90),'Validn data - hide'!D487&gt;0),IF(H90/'Validn data - hide'!D487-1&gt;'Validn data - hide'!$L487,1,IF(H90/'Validn data - hide'!D487-1&lt;-'Validn data - hide'!$L487,-1,0)),0)</f>
        <v>1</v>
      </c>
      <c r="R90" s="1051">
        <f>IF(AND(ISNUMBER(I90),'Validn data - hide'!E487&gt;0),IF(I90/'Validn data - hide'!E487-1&gt;'Validn data - hide'!$L487,1,IF(I90/'Validn data - hide'!E487-1&lt;-'Validn data - hide'!$L487,-1,0)),0)</f>
        <v>0</v>
      </c>
      <c r="S90" s="36"/>
      <c r="T90" s="36"/>
    </row>
    <row r="91" spans="1:20" s="389" customFormat="1" x14ac:dyDescent="0.2">
      <c r="A91" s="201"/>
      <c r="B91" s="787" t="s">
        <v>787</v>
      </c>
      <c r="C91" s="786" t="s">
        <v>93</v>
      </c>
      <c r="D91" s="443"/>
      <c r="F91" s="789" t="s">
        <v>63</v>
      </c>
      <c r="G91" s="2053">
        <v>96482.92</v>
      </c>
      <c r="H91" s="2054">
        <v>24742.628000000001</v>
      </c>
      <c r="I91" s="2055">
        <v>9869.4519999999993</v>
      </c>
      <c r="J91" s="11"/>
      <c r="O91" s="201"/>
      <c r="P91" s="1051">
        <f>IF(AND(ISNUMBER(G91),'Validn data - hide'!C488&gt;0),IF(G91/'Validn data - hide'!C488-1&gt;'Validn data - hide'!$L488,1,IF(G91/'Validn data - hide'!C488-1&lt;-'Validn data - hide'!$L488,-1,0)),0)</f>
        <v>1</v>
      </c>
      <c r="Q91" s="1051">
        <f>IF(AND(ISNUMBER(H91),'Validn data - hide'!D488&gt;0),IF(H91/'Validn data - hide'!D488-1&gt;'Validn data - hide'!$L488,1,IF(H91/'Validn data - hide'!D488-1&lt;-'Validn data - hide'!$L488,-1,0)),0)</f>
        <v>-1</v>
      </c>
      <c r="R91" s="1051">
        <f>IF(AND(ISNUMBER(I91),'Validn data - hide'!E488&gt;0),IF(I91/'Validn data - hide'!E488-1&gt;'Validn data - hide'!$L488,1,IF(I91/'Validn data - hide'!E488-1&lt;-'Validn data - hide'!$L488,-1,0)),0)</f>
        <v>1</v>
      </c>
      <c r="S91" s="36"/>
      <c r="T91" s="36"/>
    </row>
    <row r="92" spans="1:20" s="389" customFormat="1" x14ac:dyDescent="0.2">
      <c r="A92" s="201"/>
      <c r="B92" s="787" t="s">
        <v>788</v>
      </c>
      <c r="C92" s="782" t="s">
        <v>96</v>
      </c>
      <c r="D92" s="443"/>
      <c r="F92" s="789" t="s">
        <v>65</v>
      </c>
      <c r="G92" s="2053"/>
      <c r="H92" s="2059"/>
      <c r="I92" s="2055">
        <v>0</v>
      </c>
      <c r="J92" s="11"/>
      <c r="O92" s="201"/>
      <c r="P92" s="1051">
        <f>IF(AND(ISNUMBER(G92),'Validn data - hide'!C489&gt;0),IF(G92/'Validn data - hide'!C489-1&gt;'Validn data - hide'!$L489,1,IF(G92/'Validn data - hide'!C489-1&lt;-'Validn data - hide'!$L489,-1,0)),0)</f>
        <v>0</v>
      </c>
      <c r="Q92" s="1051">
        <f>IF(AND(ISNUMBER(H92),'Validn data - hide'!D489&gt;0),IF(H92/'Validn data - hide'!D489-1&gt;'Validn data - hide'!$L489,1,IF(H92/'Validn data - hide'!D489-1&lt;-'Validn data - hide'!$L489,-1,0)),0)</f>
        <v>0</v>
      </c>
      <c r="R92" s="1051">
        <f>IF(AND(ISNUMBER(I92),'Validn data - hide'!E489&gt;0),IF(I92/'Validn data - hide'!E489-1&gt;'Validn data - hide'!$L489,1,IF(I92/'Validn data - hide'!E489-1&lt;-'Validn data - hide'!$L489,-1,0)),0)</f>
        <v>-1</v>
      </c>
      <c r="S92" s="36"/>
      <c r="T92" s="36"/>
    </row>
    <row r="93" spans="1:20" s="389" customFormat="1" x14ac:dyDescent="0.2">
      <c r="A93" s="201"/>
      <c r="B93" s="787" t="s">
        <v>33</v>
      </c>
      <c r="C93" s="782" t="s">
        <v>96</v>
      </c>
      <c r="D93" s="443"/>
      <c r="F93" s="789" t="s">
        <v>24</v>
      </c>
      <c r="G93" s="2053">
        <v>1561.6399999999999</v>
      </c>
      <c r="H93" s="2054">
        <v>47894.18</v>
      </c>
      <c r="I93" s="2055">
        <v>8370.18</v>
      </c>
      <c r="J93" s="11"/>
      <c r="O93" s="201"/>
      <c r="P93" s="1051">
        <f>IF(AND(ISNUMBER(G93),'Validn data - hide'!C490&gt;0),IF(G93/'Validn data - hide'!C490-1&gt;'Validn data - hide'!$L490,1,IF(G93/'Validn data - hide'!C490-1&lt;-'Validn data - hide'!$L490,-1,0)),0)</f>
        <v>0</v>
      </c>
      <c r="Q93" s="1051">
        <f>IF(AND(ISNUMBER(H93),'Validn data - hide'!D490&gt;0),IF(H93/'Validn data - hide'!D490-1&gt;'Validn data - hide'!$L490,1,IF(H93/'Validn data - hide'!D490-1&lt;-'Validn data - hide'!$L490,-1,0)),0)</f>
        <v>-1</v>
      </c>
      <c r="R93" s="1051">
        <f>IF(AND(ISNUMBER(I93),'Validn data - hide'!E490&gt;0),IF(I93/'Validn data - hide'!E490-1&gt;'Validn data - hide'!$L490,1,IF(I93/'Validn data - hide'!E490-1&lt;-'Validn data - hide'!$L490,-1,0)),0)</f>
        <v>-1</v>
      </c>
      <c r="S93" s="36"/>
      <c r="T93" s="36"/>
    </row>
    <row r="94" spans="1:20" s="389" customFormat="1" x14ac:dyDescent="0.25">
      <c r="A94" s="201"/>
      <c r="B94" s="787" t="s">
        <v>538</v>
      </c>
      <c r="C94" s="786" t="s">
        <v>90</v>
      </c>
      <c r="D94" s="443"/>
      <c r="F94" s="1288" t="s">
        <v>492</v>
      </c>
      <c r="G94" s="2053">
        <v>0</v>
      </c>
      <c r="H94" s="2054">
        <v>0</v>
      </c>
      <c r="I94" s="2055">
        <v>5609.34</v>
      </c>
      <c r="J94" s="11"/>
      <c r="O94" s="201"/>
      <c r="P94" s="1051">
        <f>IF(AND(ISNUMBER(G94),'Validn data - hide'!C491&gt;0),IF(G94/'Validn data - hide'!C491-1&gt;'Validn data - hide'!$L491,1,IF(G94/'Validn data - hide'!C491-1&lt;-'Validn data - hide'!$L491,-1,0)),0)</f>
        <v>0</v>
      </c>
      <c r="Q94" s="1051">
        <f>IF(AND(ISNUMBER(H94),'Validn data - hide'!D491&gt;0),IF(H94/'Validn data - hide'!D491-1&gt;'Validn data - hide'!$L491,1,IF(H94/'Validn data - hide'!D491-1&lt;-'Validn data - hide'!$L491,-1,0)),0)</f>
        <v>0</v>
      </c>
      <c r="R94" s="1051">
        <f>IF(AND(ISNUMBER(I94),'Validn data - hide'!E491&gt;0),IF(I94/'Validn data - hide'!E491-1&gt;'Validn data - hide'!$L491,1,IF(I94/'Validn data - hide'!E491-1&lt;-'Validn data - hide'!$L491,-1,0)),0)</f>
        <v>-1</v>
      </c>
      <c r="S94" s="36"/>
      <c r="T94" s="36"/>
    </row>
    <row r="95" spans="1:20" s="389" customFormat="1" x14ac:dyDescent="0.25">
      <c r="A95" s="201"/>
      <c r="B95" s="787" t="s">
        <v>789</v>
      </c>
      <c r="C95" s="786" t="s">
        <v>94</v>
      </c>
      <c r="D95" s="443"/>
      <c r="F95" s="1288" t="s">
        <v>800</v>
      </c>
      <c r="G95" s="2060">
        <v>114721.79999999999</v>
      </c>
      <c r="H95" s="2061">
        <v>0</v>
      </c>
      <c r="I95" s="2062">
        <v>0</v>
      </c>
      <c r="J95" s="11"/>
      <c r="O95" s="201"/>
      <c r="P95" s="1051">
        <f>IF(AND(ISNUMBER(G95),'Validn data - hide'!C492&gt;0),IF(G95/'Validn data - hide'!C492-1&gt;'Validn data - hide'!$L492,1,IF(G95/'Validn data - hide'!C492-1&lt;-'Validn data - hide'!$L492,-1,0)),0)</f>
        <v>0</v>
      </c>
      <c r="Q95" s="1051">
        <f>IF(AND(ISNUMBER(H95),'Validn data - hide'!D492&gt;0),IF(H95/'Validn data - hide'!D492-1&gt;'Validn data - hide'!$L492,1,IF(H95/'Validn data - hide'!D492-1&lt;-'Validn data - hide'!$L492,-1,0)),0)</f>
        <v>0</v>
      </c>
      <c r="R95" s="1051">
        <f>IF(AND(ISNUMBER(I95),'Validn data - hide'!E492&gt;0),IF(I95/'Validn data - hide'!E492-1&gt;'Validn data - hide'!$L492,1,IF(I95/'Validn data - hide'!E492-1&lt;-'Validn data - hide'!$L492,-1,0)),0)</f>
        <v>0</v>
      </c>
      <c r="S95" s="36"/>
      <c r="T95" s="36"/>
    </row>
    <row r="96" spans="1:20" s="389" customFormat="1" x14ac:dyDescent="0.25">
      <c r="A96" s="201"/>
      <c r="B96" s="787" t="s">
        <v>790</v>
      </c>
      <c r="C96" s="786" t="s">
        <v>95</v>
      </c>
      <c r="D96" s="443"/>
      <c r="J96" s="819" t="s">
        <v>659</v>
      </c>
      <c r="K96" s="820" t="str">
        <f>IF(SUM(J63:J96)=SUM(J99:J124)+SUMIF(C74:C106,"Exclude",J63:J96),"Ok","Error")</f>
        <v>Ok</v>
      </c>
      <c r="O96" s="201"/>
      <c r="Q96" s="1051"/>
      <c r="R96" s="1051"/>
      <c r="S96" s="36"/>
      <c r="T96" s="36"/>
    </row>
    <row r="97" spans="1:20" s="389" customFormat="1" x14ac:dyDescent="0.2">
      <c r="A97" s="201"/>
      <c r="B97" s="787" t="s">
        <v>791</v>
      </c>
      <c r="C97" s="782" t="s">
        <v>96</v>
      </c>
      <c r="D97" s="443"/>
      <c r="O97" s="201"/>
      <c r="P97" s="1051"/>
      <c r="Q97" s="1051"/>
      <c r="R97" s="1051"/>
      <c r="S97" s="36"/>
      <c r="T97" s="36"/>
    </row>
    <row r="98" spans="1:20" s="389" customFormat="1" x14ac:dyDescent="0.2">
      <c r="A98" s="201"/>
      <c r="B98" s="787" t="s">
        <v>792</v>
      </c>
      <c r="C98" s="786" t="s">
        <v>92</v>
      </c>
      <c r="D98" s="443"/>
      <c r="F98" s="1287" t="s">
        <v>795</v>
      </c>
      <c r="G98" s="180" t="s">
        <v>16</v>
      </c>
      <c r="H98" s="180" t="s">
        <v>17</v>
      </c>
      <c r="I98" s="1318" t="s">
        <v>18</v>
      </c>
      <c r="O98" s="201"/>
      <c r="P98" s="1051"/>
      <c r="Q98" s="1051"/>
      <c r="R98" s="1051"/>
      <c r="S98" s="36"/>
      <c r="T98" s="36"/>
    </row>
    <row r="99" spans="1:20" s="389" customFormat="1" x14ac:dyDescent="0.2">
      <c r="A99" s="201"/>
      <c r="B99" s="787" t="s">
        <v>793</v>
      </c>
      <c r="C99" s="815" t="s">
        <v>532</v>
      </c>
      <c r="D99" s="443"/>
      <c r="F99" s="244" t="s">
        <v>42</v>
      </c>
      <c r="G99" s="1289">
        <f t="shared" ref="G99:I106" si="2">SUMIF($C$74:$C$105,$F99,G$63:G$94)</f>
        <v>16999.688000000027</v>
      </c>
      <c r="H99" s="1290">
        <f t="shared" si="2"/>
        <v>25735.292000000001</v>
      </c>
      <c r="I99" s="1553">
        <f t="shared" si="2"/>
        <v>82030.09</v>
      </c>
      <c r="O99" s="201"/>
      <c r="P99" s="1051"/>
      <c r="Q99" s="1051"/>
      <c r="R99" s="1051"/>
      <c r="S99" s="36"/>
      <c r="T99" s="36"/>
    </row>
    <row r="100" spans="1:20" s="389" customFormat="1" ht="12.75" customHeight="1" x14ac:dyDescent="0.2">
      <c r="A100" s="201"/>
      <c r="B100" s="787" t="s">
        <v>26</v>
      </c>
      <c r="C100" s="782" t="s">
        <v>83</v>
      </c>
      <c r="D100" s="443"/>
      <c r="F100" s="244" t="s">
        <v>44</v>
      </c>
      <c r="G100" s="1291">
        <f t="shared" si="2"/>
        <v>3757.1729999999998</v>
      </c>
      <c r="H100" s="1292">
        <f t="shared" si="2"/>
        <v>2803.8820000000001</v>
      </c>
      <c r="I100" s="1554">
        <f t="shared" si="2"/>
        <v>27619.664999999997</v>
      </c>
      <c r="O100" s="201"/>
      <c r="P100" s="1051"/>
      <c r="Q100" s="1051"/>
      <c r="R100" s="1051"/>
      <c r="S100" s="36"/>
      <c r="T100" s="36"/>
    </row>
    <row r="101" spans="1:20" s="389" customFormat="1" x14ac:dyDescent="0.25">
      <c r="A101" s="201"/>
      <c r="B101" s="785" t="s">
        <v>61</v>
      </c>
      <c r="C101" s="786" t="s">
        <v>61</v>
      </c>
      <c r="D101" s="443"/>
      <c r="F101" s="244" t="s">
        <v>46</v>
      </c>
      <c r="G101" s="1291">
        <f t="shared" si="2"/>
        <v>22477.952999999998</v>
      </c>
      <c r="H101" s="1292">
        <f t="shared" si="2"/>
        <v>26333.402000000002</v>
      </c>
      <c r="I101" s="1554">
        <f t="shared" si="2"/>
        <v>296257.255</v>
      </c>
      <c r="O101" s="201"/>
      <c r="P101" s="1051"/>
      <c r="Q101" s="1051"/>
      <c r="R101" s="1051"/>
      <c r="S101" s="36"/>
      <c r="T101" s="36"/>
    </row>
    <row r="102" spans="1:20" s="389" customFormat="1" x14ac:dyDescent="0.25">
      <c r="A102" s="201"/>
      <c r="B102" s="785" t="s">
        <v>63</v>
      </c>
      <c r="C102" s="786" t="s">
        <v>63</v>
      </c>
      <c r="D102" s="443"/>
      <c r="F102" s="244" t="s">
        <v>47</v>
      </c>
      <c r="G102" s="1291">
        <f t="shared" si="2"/>
        <v>38506.174500000001</v>
      </c>
      <c r="H102" s="1292">
        <f t="shared" si="2"/>
        <v>70834.330500000011</v>
      </c>
      <c r="I102" s="1554">
        <f t="shared" si="2"/>
        <v>695474.29499999993</v>
      </c>
      <c r="O102" s="201"/>
      <c r="P102" s="1051"/>
      <c r="Q102" s="1051"/>
      <c r="R102" s="1051"/>
      <c r="S102" s="36"/>
      <c r="T102" s="36"/>
    </row>
    <row r="103" spans="1:20" s="389" customFormat="1" x14ac:dyDescent="0.25">
      <c r="A103" s="201"/>
      <c r="B103" s="785" t="s">
        <v>65</v>
      </c>
      <c r="C103" s="786" t="s">
        <v>65</v>
      </c>
      <c r="D103" s="443"/>
      <c r="F103" s="244" t="s">
        <v>49</v>
      </c>
      <c r="G103" s="1291">
        <f t="shared" si="2"/>
        <v>0</v>
      </c>
      <c r="H103" s="1292">
        <f t="shared" si="2"/>
        <v>0</v>
      </c>
      <c r="I103" s="1554">
        <f t="shared" si="2"/>
        <v>5609.34</v>
      </c>
      <c r="O103" s="201"/>
      <c r="P103" s="1051"/>
      <c r="Q103" s="1051"/>
      <c r="R103" s="1051"/>
      <c r="S103" s="36"/>
      <c r="T103" s="36"/>
    </row>
    <row r="104" spans="1:20" s="389" customFormat="1" x14ac:dyDescent="0.25">
      <c r="A104" s="201"/>
      <c r="B104" s="785" t="s">
        <v>24</v>
      </c>
      <c r="C104" s="786" t="s">
        <v>67</v>
      </c>
      <c r="D104" s="443"/>
      <c r="F104" s="244" t="s">
        <v>56</v>
      </c>
      <c r="G104" s="1291">
        <f t="shared" si="2"/>
        <v>66731.271545334661</v>
      </c>
      <c r="H104" s="1292">
        <f t="shared" si="2"/>
        <v>359621.74462753779</v>
      </c>
      <c r="I104" s="1554">
        <f t="shared" si="2"/>
        <v>132622.98382712749</v>
      </c>
      <c r="O104" s="201"/>
      <c r="P104" s="1051"/>
      <c r="Q104" s="1051"/>
      <c r="R104" s="1051"/>
      <c r="S104" s="36"/>
      <c r="T104" s="36"/>
    </row>
    <row r="105" spans="1:20" s="389" customFormat="1" x14ac:dyDescent="0.25">
      <c r="A105" s="201"/>
      <c r="B105" s="817" t="s">
        <v>492</v>
      </c>
      <c r="C105" s="65" t="s">
        <v>49</v>
      </c>
      <c r="D105" s="443"/>
      <c r="F105" s="244" t="s">
        <v>52</v>
      </c>
      <c r="G105" s="1291">
        <f t="shared" si="2"/>
        <v>3757.1802041961187</v>
      </c>
      <c r="H105" s="1292">
        <f t="shared" si="2"/>
        <v>13408.485982710348</v>
      </c>
      <c r="I105" s="1554">
        <f t="shared" si="2"/>
        <v>3942.5838130935335</v>
      </c>
      <c r="O105" s="201"/>
      <c r="P105" s="1051"/>
      <c r="Q105" s="1051"/>
      <c r="R105" s="1051"/>
      <c r="S105" s="36"/>
      <c r="T105" s="36"/>
    </row>
    <row r="106" spans="1:20" s="389" customFormat="1" x14ac:dyDescent="0.25">
      <c r="A106" s="201"/>
      <c r="B106" s="817" t="s">
        <v>800</v>
      </c>
      <c r="C106" s="1558" t="s">
        <v>983</v>
      </c>
      <c r="D106" s="443"/>
      <c r="F106" s="244" t="s">
        <v>54</v>
      </c>
      <c r="G106" s="1291">
        <f t="shared" si="2"/>
        <v>582.16033660786456</v>
      </c>
      <c r="H106" s="1292">
        <f t="shared" si="2"/>
        <v>27551.965102726095</v>
      </c>
      <c r="I106" s="1554">
        <f t="shared" si="2"/>
        <v>709.87456066604022</v>
      </c>
      <c r="O106" s="201"/>
      <c r="P106" s="1051"/>
      <c r="Q106" s="1051"/>
      <c r="R106" s="1051"/>
      <c r="S106" s="36"/>
      <c r="T106" s="36"/>
    </row>
    <row r="107" spans="1:20" s="389" customFormat="1" x14ac:dyDescent="0.25">
      <c r="A107" s="201"/>
      <c r="B107" s="1270" t="s">
        <v>720</v>
      </c>
      <c r="C107" s="816" t="s">
        <v>979</v>
      </c>
      <c r="D107" s="443"/>
      <c r="F107" s="244" t="s">
        <v>61</v>
      </c>
      <c r="G107" s="1291">
        <f t="shared" ref="G107:H110" si="3">SUMIF($C$74:$C$105,$F107,G$63:G$94)+G$95*SUMIF($F$37:$F$40,$F107,G$37:G$40)/SUM(G$37:G$40)</f>
        <v>71066.601769911475</v>
      </c>
      <c r="H107" s="1292">
        <f t="shared" si="3"/>
        <v>12135.2</v>
      </c>
      <c r="I107" s="1554">
        <f t="shared" ref="H107:I124" si="4">SUMIF($C$74:$C$105,$F107,I$63:I$94)</f>
        <v>0</v>
      </c>
      <c r="O107" s="201"/>
      <c r="P107" s="1051"/>
      <c r="Q107" s="1051"/>
      <c r="R107" s="1051"/>
      <c r="S107" s="36"/>
      <c r="T107" s="36"/>
    </row>
    <row r="108" spans="1:20" s="389" customFormat="1" ht="12.75" customHeight="1" x14ac:dyDescent="0.25">
      <c r="A108" s="201"/>
      <c r="B108" s="1494"/>
      <c r="C108" s="2631" t="s">
        <v>916</v>
      </c>
      <c r="D108" s="443"/>
      <c r="F108" s="244" t="s">
        <v>63</v>
      </c>
      <c r="G108" s="1291">
        <f t="shared" si="3"/>
        <v>129985.74654867256</v>
      </c>
      <c r="H108" s="1292">
        <f t="shared" si="3"/>
        <v>24742.628000000001</v>
      </c>
      <c r="I108" s="1554">
        <f t="shared" si="4"/>
        <v>9869.4519999999993</v>
      </c>
      <c r="O108" s="201"/>
      <c r="P108" s="1051"/>
      <c r="Q108" s="1051"/>
      <c r="R108" s="1051"/>
      <c r="S108" s="36"/>
      <c r="T108" s="36"/>
    </row>
    <row r="109" spans="1:20" s="389" customFormat="1" x14ac:dyDescent="0.25">
      <c r="A109" s="201"/>
      <c r="B109" s="1494"/>
      <c r="C109" s="2632"/>
      <c r="D109" s="443"/>
      <c r="F109" s="244" t="s">
        <v>67</v>
      </c>
      <c r="G109" s="1291">
        <f t="shared" si="3"/>
        <v>3592.1143362831854</v>
      </c>
      <c r="H109" s="1292">
        <f t="shared" si="3"/>
        <v>47894.18</v>
      </c>
      <c r="I109" s="1554">
        <f t="shared" si="4"/>
        <v>8370.18</v>
      </c>
      <c r="O109" s="201"/>
      <c r="P109" s="1051"/>
      <c r="Q109" s="1051"/>
      <c r="R109" s="1051"/>
      <c r="S109" s="36"/>
      <c r="T109" s="36"/>
    </row>
    <row r="110" spans="1:20" s="389" customFormat="1" x14ac:dyDescent="0.25">
      <c r="A110" s="201"/>
      <c r="B110" s="818"/>
      <c r="C110" s="2633"/>
      <c r="D110" s="443"/>
      <c r="F110" s="244" t="s">
        <v>65</v>
      </c>
      <c r="G110" s="1291">
        <f t="shared" si="3"/>
        <v>8121.897345132742</v>
      </c>
      <c r="H110" s="1292">
        <f t="shared" si="3"/>
        <v>0</v>
      </c>
      <c r="I110" s="1554">
        <f t="shared" si="4"/>
        <v>0</v>
      </c>
      <c r="K110" s="1560"/>
      <c r="O110" s="201"/>
      <c r="P110" s="1051"/>
      <c r="Q110" s="1051"/>
      <c r="R110" s="1051"/>
      <c r="S110" s="36"/>
      <c r="T110" s="36"/>
    </row>
    <row r="111" spans="1:20" s="389" customFormat="1" x14ac:dyDescent="0.25">
      <c r="A111" s="201"/>
      <c r="D111" s="443"/>
      <c r="F111" s="244" t="s">
        <v>74</v>
      </c>
      <c r="G111" s="1291">
        <f>SUMIF($C$74:$C$105,$F111,G$63:G$94)+G$95*G$54/SUM(G$50:G$54)*IFERROR(G72/SUM(G$72:G$75),25%)</f>
        <v>77935.591742582314</v>
      </c>
      <c r="H111" s="1292">
        <f>SUMIF($C$74:$C$105,$F111,H$63:H$94)+H$95*H$54/SUM(H$50:H$54)*IFERROR(H72/SUM(H$72:H$75),25%)</f>
        <v>102108.45656593349</v>
      </c>
      <c r="I111" s="1554">
        <f t="shared" si="4"/>
        <v>3885.1522434633125</v>
      </c>
      <c r="O111" s="201"/>
      <c r="P111" s="1051"/>
      <c r="Q111" s="1051"/>
      <c r="R111" s="1051"/>
      <c r="S111" s="36"/>
      <c r="T111" s="36"/>
    </row>
    <row r="112" spans="1:20" s="389" customFormat="1" x14ac:dyDescent="0.25">
      <c r="A112" s="201"/>
      <c r="D112" s="443"/>
      <c r="F112" s="244" t="s">
        <v>89</v>
      </c>
      <c r="G112" s="1291">
        <f t="shared" ref="G112:H114" si="5">SUMIF($C$74:$C$105,$F112,G$63:G$94)+G$95*G$54/SUM(G$50:G$54)*IFERROR(G73/SUM(G$72:G$75),25%)</f>
        <v>0</v>
      </c>
      <c r="H112" s="1292">
        <f t="shared" si="5"/>
        <v>0</v>
      </c>
      <c r="I112" s="1554">
        <f t="shared" si="4"/>
        <v>0</v>
      </c>
      <c r="O112" s="201"/>
      <c r="P112" s="1051"/>
      <c r="Q112" s="1051"/>
      <c r="R112" s="1051"/>
      <c r="S112" s="36"/>
      <c r="T112" s="36"/>
    </row>
    <row r="113" spans="1:20" s="389" customFormat="1" x14ac:dyDescent="0.25">
      <c r="A113" s="201"/>
      <c r="D113" s="443"/>
      <c r="F113" s="244" t="s">
        <v>76</v>
      </c>
      <c r="G113" s="1291">
        <f t="shared" si="5"/>
        <v>48612.978791940732</v>
      </c>
      <c r="H113" s="1292">
        <f t="shared" si="5"/>
        <v>4197.72</v>
      </c>
      <c r="I113" s="1554">
        <f t="shared" si="4"/>
        <v>0</v>
      </c>
      <c r="O113" s="201"/>
      <c r="P113" s="1051"/>
      <c r="Q113" s="1051"/>
      <c r="R113" s="1051"/>
      <c r="S113" s="36"/>
      <c r="T113" s="36"/>
    </row>
    <row r="114" spans="1:20" s="389" customFormat="1" x14ac:dyDescent="0.25">
      <c r="A114" s="201"/>
      <c r="D114" s="443"/>
      <c r="F114" s="244" t="s">
        <v>79</v>
      </c>
      <c r="G114" s="1291">
        <f t="shared" si="5"/>
        <v>0</v>
      </c>
      <c r="H114" s="1292">
        <f t="shared" si="5"/>
        <v>8637.4499999999989</v>
      </c>
      <c r="I114" s="1554">
        <f t="shared" si="4"/>
        <v>0</v>
      </c>
      <c r="O114" s="201"/>
      <c r="P114" s="1051"/>
      <c r="Q114" s="1051"/>
      <c r="R114" s="1051"/>
      <c r="S114" s="36"/>
      <c r="T114" s="36"/>
    </row>
    <row r="115" spans="1:20" s="389" customFormat="1" x14ac:dyDescent="0.25">
      <c r="A115" s="201"/>
      <c r="D115" s="443"/>
      <c r="F115" s="244" t="s">
        <v>90</v>
      </c>
      <c r="G115" s="1291">
        <f t="shared" ref="G115:G124" si="6">SUMIF($C$74:$C$105,$F115,G$63:G$94)</f>
        <v>2900</v>
      </c>
      <c r="H115" s="1292">
        <f t="shared" si="4"/>
        <v>500</v>
      </c>
      <c r="I115" s="1554">
        <f t="shared" si="4"/>
        <v>0</v>
      </c>
      <c r="O115" s="201"/>
      <c r="P115" s="1051"/>
      <c r="Q115" s="1051"/>
      <c r="R115" s="1051"/>
      <c r="S115" s="36"/>
      <c r="T115" s="36"/>
    </row>
    <row r="116" spans="1:20" s="389" customFormat="1" x14ac:dyDescent="0.25">
      <c r="A116" s="201"/>
      <c r="D116" s="443"/>
      <c r="F116" s="244" t="s">
        <v>91</v>
      </c>
      <c r="G116" s="1291">
        <f t="shared" si="6"/>
        <v>2900</v>
      </c>
      <c r="H116" s="1292">
        <f t="shared" si="4"/>
        <v>3100.0000000000005</v>
      </c>
      <c r="I116" s="1554">
        <f t="shared" si="4"/>
        <v>0</v>
      </c>
      <c r="O116" s="201"/>
      <c r="P116" s="1051"/>
      <c r="Q116" s="1051"/>
      <c r="R116" s="1051"/>
      <c r="S116" s="36"/>
      <c r="T116" s="36"/>
    </row>
    <row r="117" spans="1:20" s="389" customFormat="1" x14ac:dyDescent="0.25">
      <c r="A117" s="201"/>
      <c r="D117" s="443"/>
      <c r="F117" s="244" t="s">
        <v>92</v>
      </c>
      <c r="G117" s="1291">
        <f t="shared" si="6"/>
        <v>100</v>
      </c>
      <c r="H117" s="1292">
        <f t="shared" si="4"/>
        <v>0</v>
      </c>
      <c r="I117" s="1554">
        <f t="shared" si="4"/>
        <v>0</v>
      </c>
      <c r="O117" s="201"/>
      <c r="P117" s="1051"/>
      <c r="Q117" s="1051"/>
      <c r="R117" s="1051"/>
      <c r="S117" s="36"/>
      <c r="T117" s="36"/>
    </row>
    <row r="118" spans="1:20" s="389" customFormat="1" x14ac:dyDescent="0.25">
      <c r="A118" s="201"/>
      <c r="D118" s="443"/>
      <c r="F118" s="244" t="s">
        <v>93</v>
      </c>
      <c r="G118" s="1291">
        <f t="shared" si="6"/>
        <v>0</v>
      </c>
      <c r="H118" s="1292">
        <f t="shared" si="4"/>
        <v>2400</v>
      </c>
      <c r="I118" s="1554">
        <f t="shared" si="4"/>
        <v>0</v>
      </c>
      <c r="O118" s="201"/>
      <c r="P118" s="1051"/>
      <c r="Q118" s="1051"/>
      <c r="R118" s="1051"/>
      <c r="S118" s="36"/>
      <c r="T118" s="36"/>
    </row>
    <row r="119" spans="1:20" s="389" customFormat="1" x14ac:dyDescent="0.25">
      <c r="A119" s="201"/>
      <c r="D119" s="443"/>
      <c r="F119" s="244" t="s">
        <v>94</v>
      </c>
      <c r="G119" s="1291">
        <f t="shared" si="6"/>
        <v>1200</v>
      </c>
      <c r="H119" s="1292">
        <f t="shared" si="4"/>
        <v>1300</v>
      </c>
      <c r="I119" s="1554">
        <f t="shared" si="4"/>
        <v>0</v>
      </c>
      <c r="O119" s="201"/>
      <c r="P119" s="1051"/>
      <c r="Q119" s="1051"/>
      <c r="R119" s="1051"/>
      <c r="S119" s="36"/>
      <c r="T119" s="36"/>
    </row>
    <row r="120" spans="1:20" s="389" customFormat="1" x14ac:dyDescent="0.25">
      <c r="A120" s="201"/>
      <c r="D120" s="443"/>
      <c r="F120" s="244" t="s">
        <v>95</v>
      </c>
      <c r="G120" s="1291">
        <f t="shared" si="6"/>
        <v>100</v>
      </c>
      <c r="H120" s="1292">
        <f t="shared" si="4"/>
        <v>200</v>
      </c>
      <c r="I120" s="1554">
        <f t="shared" si="4"/>
        <v>0</v>
      </c>
      <c r="O120" s="201"/>
      <c r="P120" s="1051"/>
      <c r="Q120" s="1051"/>
      <c r="R120" s="1051"/>
      <c r="S120" s="36"/>
      <c r="T120" s="36"/>
    </row>
    <row r="121" spans="1:20" s="389" customFormat="1" x14ac:dyDescent="0.25">
      <c r="A121" s="201"/>
      <c r="D121" s="443"/>
      <c r="F121" s="244" t="s">
        <v>96</v>
      </c>
      <c r="G121" s="1291">
        <f t="shared" si="6"/>
        <v>100</v>
      </c>
      <c r="H121" s="1292">
        <f t="shared" si="4"/>
        <v>1600</v>
      </c>
      <c r="I121" s="1554">
        <f t="shared" si="4"/>
        <v>0</v>
      </c>
      <c r="O121" s="201"/>
      <c r="P121" s="1051"/>
      <c r="Q121" s="1051"/>
      <c r="R121" s="1051"/>
      <c r="S121" s="36"/>
      <c r="T121" s="36"/>
    </row>
    <row r="122" spans="1:20" s="389" customFormat="1" x14ac:dyDescent="0.25">
      <c r="A122" s="201"/>
      <c r="D122" s="443"/>
      <c r="F122" s="1286" t="s">
        <v>30</v>
      </c>
      <c r="G122" s="1291">
        <f t="shared" si="6"/>
        <v>47020.800000000003</v>
      </c>
      <c r="H122" s="1292">
        <f t="shared" si="4"/>
        <v>277.2</v>
      </c>
      <c r="I122" s="1554">
        <f t="shared" si="4"/>
        <v>0</v>
      </c>
      <c r="M122" s="1270" t="s">
        <v>393</v>
      </c>
      <c r="N122" s="2586" t="s">
        <v>984</v>
      </c>
      <c r="O122" s="201"/>
      <c r="P122" s="1051"/>
      <c r="Q122" s="1051"/>
      <c r="R122" s="1051"/>
      <c r="S122" s="36"/>
      <c r="T122" s="36"/>
    </row>
    <row r="123" spans="1:20" s="389" customFormat="1" x14ac:dyDescent="0.25">
      <c r="A123" s="201"/>
      <c r="D123" s="443"/>
      <c r="F123" s="244" t="s">
        <v>83</v>
      </c>
      <c r="G123" s="1291">
        <f t="shared" si="6"/>
        <v>3757.8850000000002</v>
      </c>
      <c r="H123" s="1292">
        <f t="shared" si="4"/>
        <v>97.85</v>
      </c>
      <c r="I123" s="1554">
        <f t="shared" si="4"/>
        <v>0</v>
      </c>
      <c r="M123" s="818"/>
      <c r="N123" s="2588"/>
      <c r="O123" s="201"/>
      <c r="P123" s="1051"/>
      <c r="Q123" s="1051"/>
      <c r="R123" s="1051"/>
      <c r="S123" s="36"/>
      <c r="T123" s="36"/>
    </row>
    <row r="124" spans="1:20" s="389" customFormat="1" x14ac:dyDescent="0.25">
      <c r="A124" s="201"/>
      <c r="D124" s="443"/>
      <c r="F124" s="244" t="s">
        <v>568</v>
      </c>
      <c r="G124" s="1293">
        <f t="shared" si="6"/>
        <v>0</v>
      </c>
      <c r="H124" s="1294">
        <f t="shared" si="4"/>
        <v>0</v>
      </c>
      <c r="I124" s="1555">
        <f t="shared" si="4"/>
        <v>0</v>
      </c>
      <c r="M124" s="113" t="s">
        <v>100</v>
      </c>
      <c r="N124" s="37" t="s">
        <v>102</v>
      </c>
      <c r="O124" s="201"/>
      <c r="P124" s="1051"/>
      <c r="Q124" s="1051"/>
      <c r="R124" s="1051"/>
      <c r="S124" s="36"/>
      <c r="T124" s="36"/>
    </row>
    <row r="125" spans="1:20" s="389" customFormat="1" x14ac:dyDescent="0.25">
      <c r="A125" s="201"/>
      <c r="D125" s="443"/>
      <c r="O125" s="201"/>
      <c r="P125" s="1051"/>
      <c r="Q125" s="1051"/>
      <c r="R125" s="1051"/>
      <c r="S125" s="36"/>
      <c r="T125" s="36"/>
    </row>
    <row r="126" spans="1:20" ht="15.75" x14ac:dyDescent="0.25">
      <c r="A126" s="131"/>
      <c r="B126" s="131"/>
      <c r="C126" s="131"/>
      <c r="D126" s="131"/>
      <c r="E126" s="131"/>
      <c r="F126" s="131"/>
      <c r="G126" s="131"/>
      <c r="H126" s="131"/>
      <c r="I126" s="131"/>
      <c r="J126" s="131"/>
      <c r="K126" s="131"/>
      <c r="L126" s="131"/>
      <c r="M126" s="131"/>
      <c r="N126" s="131"/>
      <c r="O126" s="131"/>
      <c r="P126" s="1051"/>
      <c r="Q126" s="1051"/>
      <c r="R126" s="1051"/>
    </row>
    <row r="127" spans="1:20" ht="15.75" x14ac:dyDescent="0.25">
      <c r="A127" s="133"/>
      <c r="B127" s="134" t="s">
        <v>462</v>
      </c>
      <c r="C127" s="364" t="s">
        <v>574</v>
      </c>
      <c r="D127" s="133"/>
      <c r="E127" s="133"/>
      <c r="F127" s="133"/>
      <c r="G127" s="133"/>
      <c r="H127" s="133"/>
      <c r="I127" s="133"/>
      <c r="J127" s="133"/>
      <c r="K127" s="133"/>
      <c r="L127" s="133"/>
      <c r="M127" s="135"/>
      <c r="N127" s="133"/>
      <c r="O127" s="133"/>
      <c r="P127" s="1051"/>
      <c r="Q127" s="1051"/>
      <c r="R127" s="1051"/>
    </row>
    <row r="128" spans="1:20" s="188" customFormat="1" x14ac:dyDescent="0.25">
      <c r="A128" s="204"/>
      <c r="B128" s="192"/>
      <c r="C128" s="11"/>
      <c r="D128" s="11"/>
      <c r="E128" s="11"/>
      <c r="F128" s="11"/>
      <c r="G128" s="11"/>
      <c r="H128" s="11"/>
      <c r="I128" s="11"/>
      <c r="J128" s="11"/>
      <c r="K128" s="11"/>
      <c r="L128" s="11"/>
      <c r="M128" s="11"/>
      <c r="N128" s="11"/>
      <c r="O128" s="205"/>
      <c r="P128" s="1051"/>
      <c r="Q128" s="1051"/>
      <c r="R128" s="1051"/>
      <c r="S128" s="36"/>
      <c r="T128" s="36"/>
    </row>
    <row r="129" spans="1:20" s="188" customFormat="1" x14ac:dyDescent="0.25">
      <c r="A129" s="204"/>
      <c r="B129" s="97"/>
      <c r="C129" s="37" t="s">
        <v>576</v>
      </c>
      <c r="D129" s="11"/>
      <c r="E129" s="11"/>
      <c r="F129" s="11"/>
      <c r="G129" s="11"/>
      <c r="H129" s="11"/>
      <c r="I129" s="11"/>
      <c r="J129" s="11"/>
      <c r="K129" s="11"/>
      <c r="L129" s="11"/>
      <c r="M129" s="11"/>
      <c r="N129" s="11"/>
      <c r="O129" s="205"/>
      <c r="P129" s="1051"/>
      <c r="Q129" s="1051"/>
      <c r="R129" s="1051"/>
      <c r="S129" s="36"/>
      <c r="T129" s="36"/>
    </row>
    <row r="130" spans="1:20" s="188" customFormat="1" x14ac:dyDescent="0.25">
      <c r="A130" s="204"/>
      <c r="B130" s="191"/>
      <c r="C130" s="199"/>
      <c r="D130" s="197"/>
      <c r="E130" s="197"/>
      <c r="F130" s="197"/>
      <c r="G130" s="197"/>
      <c r="H130" s="197"/>
      <c r="I130" s="197"/>
      <c r="J130" s="197"/>
      <c r="K130" s="197"/>
      <c r="L130" s="197"/>
      <c r="M130" s="197"/>
      <c r="N130" s="197"/>
      <c r="O130" s="205"/>
      <c r="P130" s="36"/>
      <c r="Q130" s="36"/>
      <c r="R130" s="36"/>
      <c r="S130" s="36"/>
      <c r="T130" s="36"/>
    </row>
    <row r="131" spans="1:20" s="15" customFormat="1" ht="15.75" x14ac:dyDescent="0.25">
      <c r="A131" s="133"/>
      <c r="B131" s="133"/>
      <c r="C131" s="133"/>
      <c r="D131" s="133"/>
      <c r="E131" s="133"/>
      <c r="F131" s="133"/>
      <c r="G131" s="133"/>
      <c r="H131" s="133"/>
      <c r="I131" s="133"/>
      <c r="J131" s="133"/>
      <c r="K131" s="133"/>
      <c r="L131" s="133"/>
      <c r="M131" s="133"/>
      <c r="N131" s="133"/>
      <c r="O131" s="133"/>
      <c r="P131" s="36"/>
      <c r="Q131" s="36"/>
      <c r="R131" s="36"/>
      <c r="S131" s="36"/>
      <c r="T131" s="36"/>
    </row>
    <row r="132" spans="1:20" ht="15.75" x14ac:dyDescent="0.25">
      <c r="B132" s="143" t="s">
        <v>579</v>
      </c>
      <c r="M132" s="19"/>
    </row>
    <row r="133" spans="1:20" x14ac:dyDescent="0.25">
      <c r="B133" s="472" t="s">
        <v>361</v>
      </c>
      <c r="E133" s="16"/>
      <c r="F133" s="122"/>
      <c r="G133" s="434" t="s">
        <v>113</v>
      </c>
      <c r="H133" s="435" t="s">
        <v>114</v>
      </c>
      <c r="I133" s="436" t="s">
        <v>38</v>
      </c>
      <c r="J133" s="6" t="s">
        <v>88</v>
      </c>
      <c r="L133" s="6" t="s">
        <v>368</v>
      </c>
    </row>
    <row r="134" spans="1:20" x14ac:dyDescent="0.2">
      <c r="B134" s="7"/>
      <c r="C134" s="7"/>
      <c r="D134" s="7"/>
      <c r="E134" s="7"/>
      <c r="F134" s="138" t="s">
        <v>143</v>
      </c>
      <c r="G134" s="417">
        <f>$J134*IF(ISNUMBER('Other national data'!K423),'Other national data'!K423,'Other national data'!L423)</f>
        <v>321.52015027215884</v>
      </c>
      <c r="H134" s="418">
        <f>J134-G134</f>
        <v>2471.7412100374727</v>
      </c>
      <c r="I134" s="419">
        <f>$J134*'Other national data'!N423</f>
        <v>2.7932613603096315E-11</v>
      </c>
      <c r="J134" s="1495">
        <f>SUMIFS('Basel data'!E:E,'Basel data'!A:A,L134,'Basel data'!G:G,$B$1)+SUMIFS('Basel data'!F:F,'Basel data'!A:A,L134,'Basel data'!G:G,$B$1)+SUMIFS('Basel data'!E:E,'Basel data'!C:C,L134,'Basel data'!G:G,$B$1)+SUMIFS('Basel data'!F:F,'Basel data'!C:C,L134,'Basel data'!G:G,$B$1)</f>
        <v>2793.2613603096315</v>
      </c>
      <c r="L134" s="121" t="s">
        <v>142</v>
      </c>
      <c r="O134" s="36" t="str">
        <f>IF(ROUND(SUM(G134:I134),0)=ROUND(J134,0),"OK","Error")</f>
        <v>OK</v>
      </c>
    </row>
    <row r="135" spans="1:20" x14ac:dyDescent="0.2">
      <c r="B135" s="7"/>
      <c r="C135" s="7"/>
      <c r="D135" s="7"/>
      <c r="E135" s="7"/>
      <c r="F135" s="138" t="s">
        <v>152</v>
      </c>
      <c r="G135" s="123">
        <f>$J135*IF(ISNUMBER('Other national data'!K424),'Other national data'!K424,'Other national data'!L424)</f>
        <v>44.633975725079445</v>
      </c>
      <c r="H135" s="420">
        <f t="shared" ref="H135:H150" si="7">J135-G135</f>
        <v>1543.4990332599186</v>
      </c>
      <c r="I135" s="421">
        <f>$J135*'Other national data'!N424</f>
        <v>1.588133008984998E-11</v>
      </c>
      <c r="J135" s="1495">
        <f>SUMIFS('Basel data'!E:E,'Basel data'!A:A,L135,'Basel data'!G:G,$B$1)+SUMIFS('Basel data'!F:F,'Basel data'!A:A,L135,'Basel data'!G:G,$B$1)+SUMIFS('Basel data'!E:E,'Basel data'!C:C,L135,'Basel data'!G:G,$B$1)+SUMIFS('Basel data'!F:F,'Basel data'!C:C,L135,'Basel data'!G:G,$B$1)</f>
        <v>1588.133008984998</v>
      </c>
      <c r="L135" s="121" t="s">
        <v>151</v>
      </c>
      <c r="O135" s="36" t="str">
        <f t="shared" ref="O135:O150" si="8">IF(ROUND(SUM(G135:I135),0)=ROUND(J135,0),"OK","Error")</f>
        <v>OK</v>
      </c>
    </row>
    <row r="136" spans="1:20" x14ac:dyDescent="0.2">
      <c r="B136" s="7"/>
      <c r="C136" s="7"/>
      <c r="D136" s="7"/>
      <c r="E136" s="7"/>
      <c r="F136" s="138" t="s">
        <v>156</v>
      </c>
      <c r="G136" s="123">
        <f>$J136*IF(ISNUMBER('Other national data'!K425),'Other national data'!K425,'Other national data'!L425)</f>
        <v>99.586799417772937</v>
      </c>
      <c r="H136" s="420">
        <f t="shared" si="7"/>
        <v>84160.997870557272</v>
      </c>
      <c r="I136" s="421">
        <f>$J136*'Other national data'!N425</f>
        <v>8.4260584669975043E-10</v>
      </c>
      <c r="J136" s="1495">
        <f>SUMIFS('Basel data'!E:E,'Basel data'!A:A,L136,'Basel data'!G:G,$B$1)+SUMIFS('Basel data'!F:F,'Basel data'!A:A,L136,'Basel data'!G:G,$B$1)+SUMIFS('Basel data'!E:E,'Basel data'!C:C,L136,'Basel data'!G:G,$B$1)+SUMIFS('Basel data'!F:F,'Basel data'!C:C,L136,'Basel data'!G:G,$B$1)</f>
        <v>84260.58466997504</v>
      </c>
      <c r="L136" s="121" t="s">
        <v>155</v>
      </c>
      <c r="O136" s="36" t="str">
        <f t="shared" si="8"/>
        <v>OK</v>
      </c>
    </row>
    <row r="137" spans="1:20" x14ac:dyDescent="0.2">
      <c r="B137" s="7"/>
      <c r="C137" s="7"/>
      <c r="D137" s="7"/>
      <c r="E137" s="7"/>
      <c r="F137" s="138" t="s">
        <v>160</v>
      </c>
      <c r="G137" s="123">
        <f>$J137*IF(ISNUMBER('Other national data'!K426),'Other national data'!K426,'Other national data'!L426)</f>
        <v>12.153278519119601</v>
      </c>
      <c r="H137" s="420">
        <f t="shared" si="7"/>
        <v>8318.5742359089345</v>
      </c>
      <c r="I137" s="421">
        <f>$J137*'Other national data'!N426</f>
        <v>8.3307275144280544E-11</v>
      </c>
      <c r="J137" s="1495">
        <f>SUMIFS('Basel data'!E:E,'Basel data'!A:A,L137,'Basel data'!G:G,$B$1)+SUMIFS('Basel data'!F:F,'Basel data'!A:A,L137,'Basel data'!G:G,$B$1)+SUMIFS('Basel data'!E:E,'Basel data'!C:C,L137,'Basel data'!G:G,$B$1)+SUMIFS('Basel data'!F:F,'Basel data'!C:C,L137,'Basel data'!G:G,$B$1)</f>
        <v>8330.7275144280538</v>
      </c>
      <c r="L137" s="121" t="s">
        <v>159</v>
      </c>
      <c r="O137" s="36" t="str">
        <f t="shared" si="8"/>
        <v>OK</v>
      </c>
    </row>
    <row r="138" spans="1:20" x14ac:dyDescent="0.2">
      <c r="B138" s="7"/>
      <c r="C138" s="7"/>
      <c r="D138" s="7"/>
      <c r="E138" s="7"/>
      <c r="F138" s="138" t="s">
        <v>210</v>
      </c>
      <c r="G138" s="123">
        <f>$J138*IF(ISNUMBER('Other national data'!K427),'Other national data'!K427,'Other national data'!L427)</f>
        <v>0.70506246982895038</v>
      </c>
      <c r="H138" s="420">
        <f t="shared" si="7"/>
        <v>64.166784531527156</v>
      </c>
      <c r="I138" s="421">
        <f>$J138*'Other national data'!N427</f>
        <v>6.4871847001356101E-13</v>
      </c>
      <c r="J138" s="1495">
        <f>SUMIFS('Basel data'!E:E,'Basel data'!A:A,L138,'Basel data'!G:G,$B$1)+SUMIFS('Basel data'!F:F,'Basel data'!A:A,L138,'Basel data'!G:G,$B$1)+SUMIFS('Basel data'!E:E,'Basel data'!C:C,L138,'Basel data'!G:G,$B$1)+SUMIFS('Basel data'!F:F,'Basel data'!C:C,L138,'Basel data'!G:G,$B$1)</f>
        <v>64.871847001356102</v>
      </c>
      <c r="L138" s="121" t="s">
        <v>209</v>
      </c>
      <c r="O138" s="36" t="str">
        <f t="shared" si="8"/>
        <v>OK</v>
      </c>
    </row>
    <row r="139" spans="1:20" x14ac:dyDescent="0.2">
      <c r="B139" s="7"/>
      <c r="C139" s="7"/>
      <c r="D139" s="7"/>
      <c r="E139" s="7"/>
      <c r="F139" s="138" t="s">
        <v>214</v>
      </c>
      <c r="G139" s="123">
        <f>$J139*IF(ISNUMBER('Other national data'!K428),'Other national data'!K428,'Other national data'!L428)</f>
        <v>149.278411549011</v>
      </c>
      <c r="H139" s="420">
        <f t="shared" si="7"/>
        <v>4198.1559225103583</v>
      </c>
      <c r="I139" s="421">
        <f>$J139*'Other national data'!N428</f>
        <v>4.3474343340593697E-11</v>
      </c>
      <c r="J139" s="1495">
        <f>SUMIFS('Basel data'!E:E,'Basel data'!A:A,L139,'Basel data'!G:G,$B$1)+SUMIFS('Basel data'!F:F,'Basel data'!A:A,L139,'Basel data'!G:G,$B$1)+SUMIFS('Basel data'!E:E,'Basel data'!C:C,L139,'Basel data'!G:G,$B$1)+SUMIFS('Basel data'!F:F,'Basel data'!C:C,L139,'Basel data'!G:G,$B$1)</f>
        <v>4347.4343340593696</v>
      </c>
      <c r="L139" s="121" t="s">
        <v>213</v>
      </c>
      <c r="O139" s="36" t="str">
        <f t="shared" si="8"/>
        <v>OK</v>
      </c>
    </row>
    <row r="140" spans="1:20" x14ac:dyDescent="0.2">
      <c r="B140" s="7"/>
      <c r="C140" s="7"/>
      <c r="D140" s="7"/>
      <c r="E140" s="7"/>
      <c r="F140" s="138" t="s">
        <v>220</v>
      </c>
      <c r="G140" s="123">
        <f>$J140*IF(ISNUMBER('Other national data'!K429),'Other national data'!K429,'Other national data'!L429)</f>
        <v>129.63826994113975</v>
      </c>
      <c r="H140" s="420">
        <f t="shared" si="7"/>
        <v>3698.3734668051502</v>
      </c>
      <c r="I140" s="421">
        <f>$J140*'Other national data'!N429</f>
        <v>3.8280117367462901E-11</v>
      </c>
      <c r="J140" s="1495">
        <f>SUMIFS('Basel data'!E:E,'Basel data'!A:A,L140,'Basel data'!G:G,$B$1)+SUMIFS('Basel data'!F:F,'Basel data'!A:A,L140,'Basel data'!G:G,$B$1)+SUMIFS('Basel data'!E:E,'Basel data'!C:C,L140,'Basel data'!G:G,$B$1)+SUMIFS('Basel data'!F:F,'Basel data'!C:C,L140,'Basel data'!G:G,$B$1)</f>
        <v>3828.0117367462899</v>
      </c>
      <c r="L140" s="121" t="s">
        <v>219</v>
      </c>
      <c r="O140" s="36" t="str">
        <f t="shared" si="8"/>
        <v>OK</v>
      </c>
    </row>
    <row r="141" spans="1:20" x14ac:dyDescent="0.2">
      <c r="B141" s="7"/>
      <c r="C141" s="7"/>
      <c r="D141" s="7"/>
      <c r="E141" s="7"/>
      <c r="F141" s="138" t="s">
        <v>230</v>
      </c>
      <c r="G141" s="123">
        <f>$J141*IF(ISNUMBER('Other national data'!K430),'Other national data'!K430,'Other national data'!L430)</f>
        <v>1449.1700337941413</v>
      </c>
      <c r="H141" s="420">
        <f t="shared" si="7"/>
        <v>34.396735128523687</v>
      </c>
      <c r="I141" s="421">
        <f>$J141*'Other national data'!N430</f>
        <v>1.4835667689226648E-11</v>
      </c>
      <c r="J141" s="1495">
        <f>SUMIFS('Basel data'!E:E,'Basel data'!A:A,L141,'Basel data'!G:G,$B$1)+SUMIFS('Basel data'!F:F,'Basel data'!A:A,L141,'Basel data'!G:G,$B$1)+SUMIFS('Basel data'!E:E,'Basel data'!C:C,L141,'Basel data'!G:G,$B$1)+SUMIFS('Basel data'!F:F,'Basel data'!C:C,L141,'Basel data'!G:G,$B$1)</f>
        <v>1483.566768922665</v>
      </c>
      <c r="L141" s="121" t="s">
        <v>229</v>
      </c>
      <c r="O141" s="36" t="str">
        <f t="shared" si="8"/>
        <v>OK</v>
      </c>
    </row>
    <row r="142" spans="1:20" x14ac:dyDescent="0.2">
      <c r="B142" s="7"/>
      <c r="C142" s="7"/>
      <c r="D142" s="7"/>
      <c r="E142" s="7"/>
      <c r="F142" s="138" t="s">
        <v>238</v>
      </c>
      <c r="G142" s="123">
        <f>$J142*IF(ISNUMBER('Other national data'!K431),'Other national data'!K431,'Other national data'!L431)</f>
        <v>61.630067289270457</v>
      </c>
      <c r="H142" s="420">
        <f t="shared" si="7"/>
        <v>99169.944254194546</v>
      </c>
      <c r="I142" s="421">
        <f>$J142*'Other national data'!N431</f>
        <v>9.9231574321483806E-10</v>
      </c>
      <c r="J142" s="1495">
        <f>SUMIFS('Basel data'!E:E,'Basel data'!A:A,L142,'Basel data'!G:G,$B$1)+SUMIFS('Basel data'!F:F,'Basel data'!A:A,L142,'Basel data'!G:G,$B$1)+SUMIFS('Basel data'!E:E,'Basel data'!C:C,L142,'Basel data'!G:G,$B$1)+SUMIFS('Basel data'!F:F,'Basel data'!C:C,L142,'Basel data'!G:G,$B$1)</f>
        <v>99231.574321483815</v>
      </c>
      <c r="L142" s="121" t="s">
        <v>237</v>
      </c>
      <c r="O142" s="36" t="str">
        <f t="shared" si="8"/>
        <v>OK</v>
      </c>
    </row>
    <row r="143" spans="1:20" x14ac:dyDescent="0.2">
      <c r="B143" s="7"/>
      <c r="C143" s="7"/>
      <c r="D143" s="7"/>
      <c r="E143" s="7"/>
      <c r="F143" s="138" t="s">
        <v>246</v>
      </c>
      <c r="G143" s="123">
        <f>$J143*IF(ISNUMBER('Other national data'!K432),'Other national data'!K432,'Other national data'!L432)</f>
        <v>1601.3202420433797</v>
      </c>
      <c r="H143" s="420">
        <f t="shared" si="7"/>
        <v>103653.07826930817</v>
      </c>
      <c r="I143" s="421">
        <f>$J143*'Other national data'!N432</f>
        <v>1.0525439851135155E-9</v>
      </c>
      <c r="J143" s="1495">
        <f>SUMIFS('Basel data'!E:E,'Basel data'!A:A,L143,'Basel data'!G:G,$B$1)+SUMIFS('Basel data'!F:F,'Basel data'!A:A,L143,'Basel data'!G:G,$B$1)+SUMIFS('Basel data'!E:E,'Basel data'!C:C,L143,'Basel data'!G:G,$B$1)+SUMIFS('Basel data'!F:F,'Basel data'!C:C,L143,'Basel data'!G:G,$B$1)</f>
        <v>105254.39851135155</v>
      </c>
      <c r="L143" s="121" t="s">
        <v>245</v>
      </c>
      <c r="O143" s="36" t="str">
        <f t="shared" si="8"/>
        <v>OK</v>
      </c>
    </row>
    <row r="144" spans="1:20" x14ac:dyDescent="0.2">
      <c r="B144" s="7"/>
      <c r="C144" s="7"/>
      <c r="D144" s="7"/>
      <c r="E144" s="7"/>
      <c r="F144" s="138" t="s">
        <v>256</v>
      </c>
      <c r="G144" s="123">
        <f>$J144*IF(ISNUMBER('Other national data'!K433),'Other national data'!K433,'Other national data'!L433)</f>
        <v>28.020698307749949</v>
      </c>
      <c r="H144" s="420">
        <f t="shared" si="7"/>
        <v>1068.723834472569</v>
      </c>
      <c r="I144" s="421">
        <f>$J144*'Other national data'!N433</f>
        <v>1.0967445327803189E-11</v>
      </c>
      <c r="J144" s="1495">
        <f>SUMIFS('Basel data'!E:E,'Basel data'!A:A,L144,'Basel data'!G:G,$B$1)+SUMIFS('Basel data'!F:F,'Basel data'!A:A,L144,'Basel data'!G:G,$B$1)+SUMIFS('Basel data'!E:E,'Basel data'!C:C,L144,'Basel data'!G:G,$B$1)+SUMIFS('Basel data'!F:F,'Basel data'!C:C,L144,'Basel data'!G:G,$B$1)</f>
        <v>1096.7445327803189</v>
      </c>
      <c r="L144" s="121" t="s">
        <v>255</v>
      </c>
      <c r="O144" s="36" t="str">
        <f t="shared" si="8"/>
        <v>OK</v>
      </c>
    </row>
    <row r="145" spans="2:18" x14ac:dyDescent="0.2">
      <c r="B145" s="7"/>
      <c r="C145" s="7"/>
      <c r="D145" s="7"/>
      <c r="E145" s="7"/>
      <c r="F145" s="139" t="s">
        <v>343</v>
      </c>
      <c r="G145" s="123">
        <f>$J145*IF(ISNUMBER('Other national data'!K434),'Other national data'!K434,'Other national data'!L434)</f>
        <v>11230.438600165435</v>
      </c>
      <c r="H145" s="420">
        <f t="shared" si="7"/>
        <v>935.96554856668445</v>
      </c>
      <c r="I145" s="421">
        <f>$J145*'Other national data'!N434</f>
        <v>1.216640414873212E-10</v>
      </c>
      <c r="J145" s="1495">
        <f>SUMIFS('Basel data'!E:E,'Basel data'!A:A,L145,'Basel data'!G:G,$B$1)+SUMIFS('Basel data'!F:F,'Basel data'!A:A,L145,'Basel data'!G:G,$B$1)+SUMIFS('Basel data'!E:E,'Basel data'!C:C,L145,'Basel data'!G:G,$B$1)+SUMIFS('Basel data'!F:F,'Basel data'!C:C,L145,'Basel data'!G:G,$B$1)</f>
        <v>12166.404148732119</v>
      </c>
      <c r="L145" s="121" t="s">
        <v>281</v>
      </c>
      <c r="O145" s="36" t="str">
        <f t="shared" si="8"/>
        <v>OK</v>
      </c>
      <c r="P145" s="1051"/>
      <c r="Q145" s="1051"/>
      <c r="R145" s="1051"/>
    </row>
    <row r="146" spans="2:18" x14ac:dyDescent="0.2">
      <c r="B146" s="7"/>
      <c r="C146" s="7"/>
      <c r="D146" s="7"/>
      <c r="E146" s="7"/>
      <c r="F146" s="139" t="s">
        <v>97</v>
      </c>
      <c r="G146" s="123">
        <f>$J146*IF(ISNUMBER('Other national data'!K435),'Other national data'!K435,'Other national data'!L435)</f>
        <v>58576.719964319564</v>
      </c>
      <c r="H146" s="420">
        <f t="shared" si="7"/>
        <v>0</v>
      </c>
      <c r="I146" s="421">
        <f>$J146*'Other national data'!N435</f>
        <v>5.8576719964319561E-10</v>
      </c>
      <c r="J146" s="1495">
        <f>SUMIFS('Basel data'!E:E,'Basel data'!A:A,L146,'Basel data'!G:G,$B$1)+SUMIFS('Basel data'!F:F,'Basel data'!A:A,L146,'Basel data'!G:G,$B$1)+SUMIFS('Basel data'!E:E,'Basel data'!C:C,L146,'Basel data'!G:G,$B$1)+SUMIFS('Basel data'!F:F,'Basel data'!C:C,L146,'Basel data'!G:G,$B$1)</f>
        <v>58576.719964319564</v>
      </c>
      <c r="L146" s="121" t="s">
        <v>293</v>
      </c>
      <c r="O146" s="36" t="str">
        <f t="shared" si="8"/>
        <v>OK</v>
      </c>
    </row>
    <row r="147" spans="2:18" x14ac:dyDescent="0.2">
      <c r="B147" s="7"/>
      <c r="C147" s="7"/>
      <c r="D147" s="7"/>
      <c r="E147" s="7"/>
      <c r="F147" s="139" t="s">
        <v>345</v>
      </c>
      <c r="G147" s="2541">
        <f>$J147*'Other national data'!O443</f>
        <v>12990.122038260133</v>
      </c>
      <c r="H147" s="2542">
        <f t="shared" si="7"/>
        <v>115371.93924524993</v>
      </c>
      <c r="I147" s="421">
        <f>$J147*'Other national data'!N436</f>
        <v>0</v>
      </c>
      <c r="J147" s="1495">
        <f>SUMIFS('Basel data'!E:E,'Basel data'!A:A,L147,'Basel data'!G:G,$B$1)+SUMIFS('Basel data'!F:F,'Basel data'!A:A,L147,'Basel data'!G:G,$B$1)+SUMIFS('Basel data'!E:E,'Basel data'!C:C,L147,'Basel data'!G:G,$B$1)+SUMIFS('Basel data'!F:F,'Basel data'!C:C,L147,'Basel data'!G:G,$B$1)-SUM(J145:J146)</f>
        <v>128362.06128351006</v>
      </c>
      <c r="K147" s="142"/>
      <c r="L147" s="121" t="s">
        <v>277</v>
      </c>
      <c r="O147" s="36" t="str">
        <f t="shared" si="8"/>
        <v>OK</v>
      </c>
    </row>
    <row r="148" spans="2:18" x14ac:dyDescent="0.2">
      <c r="B148" s="7"/>
      <c r="C148" s="7"/>
      <c r="D148" s="7"/>
      <c r="E148" s="7"/>
      <c r="F148" s="138" t="s">
        <v>297</v>
      </c>
      <c r="G148" s="123">
        <f>$J148*IF(ISNUMBER('Other national data'!K437),'Other national data'!K437,'Other national data'!L437)</f>
        <v>2358.6232724775573</v>
      </c>
      <c r="H148" s="420">
        <f t="shared" si="7"/>
        <v>3.3458484017596675</v>
      </c>
      <c r="I148" s="421">
        <f>$J148*'Other national data'!N437</f>
        <v>2.361969120879317E-11</v>
      </c>
      <c r="J148" s="1495">
        <f>SUMIFS('Basel data'!E:E,'Basel data'!A:A,L148,'Basel data'!G:G,$B$1)+SUMIFS('Basel data'!F:F,'Basel data'!A:A,L148,'Basel data'!G:G,$B$1)+SUMIFS('Basel data'!E:E,'Basel data'!C:C,L148,'Basel data'!G:G,$B$1)+SUMIFS('Basel data'!F:F,'Basel data'!C:C,L148,'Basel data'!G:G,$B$1)</f>
        <v>2361.969120879317</v>
      </c>
      <c r="L148" s="121" t="s">
        <v>296</v>
      </c>
      <c r="O148" s="36" t="str">
        <f t="shared" si="8"/>
        <v>OK</v>
      </c>
    </row>
    <row r="149" spans="2:18" x14ac:dyDescent="0.2">
      <c r="B149" s="7"/>
      <c r="C149" s="7"/>
      <c r="D149" s="7"/>
      <c r="E149" s="7"/>
      <c r="F149" s="1283" t="s">
        <v>39</v>
      </c>
      <c r="G149" s="123">
        <f>$J149*IF(ISNUMBER('Other national data'!K438),'Other national data'!K438,'Other national data'!L438)</f>
        <v>22058.873479366212</v>
      </c>
      <c r="H149" s="420">
        <f t="shared" si="7"/>
        <v>47572.626116652013</v>
      </c>
      <c r="I149" s="421">
        <f>$J149*'Other national data'!N438</f>
        <v>6.9631499596018223E-10</v>
      </c>
      <c r="J149" s="1495">
        <f>SUMIFS('Basel data'!E:E,'Basel data'!A:A,L149,'Basel data'!G:G,$B$1)+SUMIFS('Basel data'!F:F,'Basel data'!A:A,L149,'Basel data'!G:G,$B$1)+SUMIFS('Basel data'!E:E,'Basel data'!C:C,L149,'Basel data'!G:G,$B$1)+SUMIFS('Basel data'!F:F,'Basel data'!C:C,L149,'Basel data'!G:G,$B$1)</f>
        <v>69631.499596018228</v>
      </c>
      <c r="L149" s="1275" t="s">
        <v>309</v>
      </c>
      <c r="O149" s="36" t="str">
        <f t="shared" si="8"/>
        <v>OK</v>
      </c>
    </row>
    <row r="150" spans="2:18" x14ac:dyDescent="0.2">
      <c r="C150" s="7"/>
      <c r="D150" s="7"/>
      <c r="E150" s="7"/>
      <c r="F150" s="1283" t="s">
        <v>904</v>
      </c>
      <c r="G150" s="422">
        <f>$J150*IF(ISNUMBER('Other national data'!K439),'Other national data'!K439,'Other national data'!L439)</f>
        <v>267.28697340087302</v>
      </c>
      <c r="H150" s="423">
        <f t="shared" si="7"/>
        <v>27.396914773589458</v>
      </c>
      <c r="I150" s="424">
        <f>$J150*'Other national data'!N439</f>
        <v>2.9468388817446249E-12</v>
      </c>
      <c r="J150" s="1495">
        <f>SUMIFS('Basel data'!E:E,'Basel data'!A:A,L150,'Basel data'!G:G,$B$1)+SUMIFS('Basel data'!F:F,'Basel data'!A:A,L150,'Basel data'!G:G,$B$1)+SUMIFS('Basel data'!E:E,'Basel data'!C:C,L150,'Basel data'!G:G,$B$1)+SUMIFS('Basel data'!F:F,'Basel data'!C:C,L150,'Basel data'!G:G,$B$1)-J149</f>
        <v>294.68388817446248</v>
      </c>
      <c r="L150" s="121" t="s">
        <v>303</v>
      </c>
      <c r="O150" s="36" t="str">
        <f t="shared" si="8"/>
        <v>OK</v>
      </c>
    </row>
    <row r="151" spans="2:18" x14ac:dyDescent="0.25">
      <c r="J151" s="1318">
        <f>SUM(J134:J150)</f>
        <v>583672.64660767687</v>
      </c>
      <c r="M151" s="35" t="str">
        <f>IF(SUM(SUMIF('Basel data'!G:G,B1,'Basel data'!E:E),SUMIF('Basel data'!G:G,B1,'Basel data'!F:F))=J151,"OK","Error")</f>
        <v>OK</v>
      </c>
      <c r="N151" s="19"/>
    </row>
    <row r="152" spans="2:18" x14ac:dyDescent="0.25">
      <c r="M152" s="19"/>
    </row>
    <row r="153" spans="2:18" x14ac:dyDescent="0.25">
      <c r="K153" s="126"/>
      <c r="M153" s="19"/>
    </row>
    <row r="154" spans="2:18" ht="15.75" x14ac:dyDescent="0.25">
      <c r="B154" s="143" t="s">
        <v>585</v>
      </c>
      <c r="F154" s="143" t="s">
        <v>586</v>
      </c>
      <c r="K154" s="126"/>
      <c r="M154" s="19"/>
    </row>
    <row r="155" spans="2:18" x14ac:dyDescent="0.25">
      <c r="B155" s="2704" t="s">
        <v>1108</v>
      </c>
      <c r="C155" s="2705"/>
      <c r="D155" s="2706"/>
      <c r="E155" s="473"/>
      <c r="F155" s="2618"/>
      <c r="G155" s="2619"/>
      <c r="H155" s="2619"/>
      <c r="I155" s="2619"/>
      <c r="J155" s="2619"/>
      <c r="K155" s="2619"/>
      <c r="L155" s="2619"/>
      <c r="M155" s="2619"/>
      <c r="N155" s="2620"/>
    </row>
    <row r="156" spans="2:18" x14ac:dyDescent="0.25">
      <c r="B156" s="2615" t="s">
        <v>1109</v>
      </c>
      <c r="C156" s="2616"/>
      <c r="D156" s="2617"/>
      <c r="E156" s="473"/>
      <c r="F156" s="2615"/>
      <c r="G156" s="2616"/>
      <c r="H156" s="2616"/>
      <c r="I156" s="2616"/>
      <c r="J156" s="2616"/>
      <c r="K156" s="2616"/>
      <c r="L156" s="2616"/>
      <c r="M156" s="2616"/>
      <c r="N156" s="2617"/>
    </row>
    <row r="157" spans="2:18" x14ac:dyDescent="0.25">
      <c r="B157" s="2615" t="s">
        <v>1110</v>
      </c>
      <c r="C157" s="2616"/>
      <c r="D157" s="2617"/>
      <c r="E157" s="473"/>
      <c r="F157" s="2615"/>
      <c r="G157" s="2616"/>
      <c r="H157" s="2616"/>
      <c r="I157" s="2616"/>
      <c r="J157" s="2616"/>
      <c r="K157" s="2616"/>
      <c r="L157" s="2616"/>
      <c r="M157" s="2616"/>
      <c r="N157" s="2617"/>
    </row>
    <row r="158" spans="2:18" x14ac:dyDescent="0.25">
      <c r="B158" s="2615"/>
      <c r="C158" s="2616"/>
      <c r="D158" s="2617"/>
      <c r="E158" s="473"/>
      <c r="F158" s="2615"/>
      <c r="G158" s="2616"/>
      <c r="H158" s="2616"/>
      <c r="I158" s="2616"/>
      <c r="J158" s="2616"/>
      <c r="K158" s="2616"/>
      <c r="L158" s="2616"/>
      <c r="M158" s="2616"/>
      <c r="N158" s="2617"/>
    </row>
    <row r="159" spans="2:18" x14ac:dyDescent="0.25">
      <c r="B159" s="2615"/>
      <c r="C159" s="2616"/>
      <c r="D159" s="2617"/>
      <c r="E159" s="473"/>
      <c r="F159" s="2615"/>
      <c r="G159" s="2616"/>
      <c r="H159" s="2616"/>
      <c r="I159" s="2616"/>
      <c r="J159" s="2616"/>
      <c r="K159" s="2616"/>
      <c r="L159" s="2616"/>
      <c r="M159" s="2616"/>
      <c r="N159" s="2617"/>
    </row>
    <row r="160" spans="2:18" x14ac:dyDescent="0.25">
      <c r="B160" s="2615"/>
      <c r="C160" s="2616"/>
      <c r="D160" s="2617"/>
      <c r="E160" s="473"/>
      <c r="F160" s="2615"/>
      <c r="G160" s="2616"/>
      <c r="H160" s="2616"/>
      <c r="I160" s="2616"/>
      <c r="J160" s="2616"/>
      <c r="K160" s="2616"/>
      <c r="L160" s="2616"/>
      <c r="M160" s="2616"/>
      <c r="N160" s="2617"/>
    </row>
    <row r="161" spans="2:18" x14ac:dyDescent="0.25">
      <c r="B161" s="2707" t="s">
        <v>1111</v>
      </c>
      <c r="C161" s="2708"/>
      <c r="D161" s="2709"/>
      <c r="E161" s="473"/>
      <c r="F161" s="2615"/>
      <c r="G161" s="2616"/>
      <c r="H161" s="2616"/>
      <c r="I161" s="2616"/>
      <c r="J161" s="2616"/>
      <c r="K161" s="2616"/>
      <c r="L161" s="2616"/>
      <c r="M161" s="2616"/>
      <c r="N161" s="2617"/>
    </row>
    <row r="162" spans="2:18" x14ac:dyDescent="0.25">
      <c r="B162" s="2615" t="s">
        <v>1112</v>
      </c>
      <c r="C162" s="2616"/>
      <c r="D162" s="2617"/>
      <c r="E162" s="473"/>
      <c r="F162" s="2615"/>
      <c r="G162" s="2616"/>
      <c r="H162" s="2616"/>
      <c r="I162" s="2616"/>
      <c r="J162" s="2616"/>
      <c r="K162" s="2616"/>
      <c r="L162" s="2616"/>
      <c r="M162" s="2616"/>
      <c r="N162" s="2617"/>
    </row>
    <row r="163" spans="2:18" x14ac:dyDescent="0.25">
      <c r="B163" s="2615"/>
      <c r="C163" s="2616"/>
      <c r="D163" s="2617"/>
      <c r="E163" s="473"/>
      <c r="F163" s="2615"/>
      <c r="G163" s="2616"/>
      <c r="H163" s="2616"/>
      <c r="I163" s="2616"/>
      <c r="J163" s="2616"/>
      <c r="K163" s="2616"/>
      <c r="L163" s="2616"/>
      <c r="M163" s="2616"/>
      <c r="N163" s="2617"/>
    </row>
    <row r="164" spans="2:18" ht="53.25" customHeight="1" x14ac:dyDescent="0.25">
      <c r="B164" s="2615" t="s">
        <v>1113</v>
      </c>
      <c r="C164" s="2616"/>
      <c r="D164" s="2617"/>
      <c r="E164" s="473"/>
      <c r="F164" s="2615"/>
      <c r="G164" s="2616"/>
      <c r="H164" s="2616"/>
      <c r="I164" s="2616"/>
      <c r="J164" s="2616"/>
      <c r="K164" s="2616"/>
      <c r="L164" s="2616"/>
      <c r="M164" s="2616"/>
      <c r="N164" s="2617"/>
    </row>
    <row r="165" spans="2:18" x14ac:dyDescent="0.25">
      <c r="B165" s="2615"/>
      <c r="C165" s="2616"/>
      <c r="D165" s="2617"/>
      <c r="E165" s="473"/>
      <c r="F165" s="2615"/>
      <c r="G165" s="2616"/>
      <c r="H165" s="2616"/>
      <c r="I165" s="2616"/>
      <c r="J165" s="2616"/>
      <c r="K165" s="2616"/>
      <c r="L165" s="2616"/>
      <c r="M165" s="2616"/>
      <c r="N165" s="2617"/>
    </row>
    <row r="166" spans="2:18" x14ac:dyDescent="0.25">
      <c r="B166" s="2615"/>
      <c r="C166" s="2616"/>
      <c r="D166" s="2617"/>
      <c r="E166" s="473"/>
      <c r="F166" s="2615"/>
      <c r="G166" s="2616"/>
      <c r="H166" s="2616"/>
      <c r="I166" s="2616"/>
      <c r="J166" s="2616"/>
      <c r="K166" s="2616"/>
      <c r="L166" s="2616"/>
      <c r="M166" s="2616"/>
      <c r="N166" s="2617"/>
    </row>
    <row r="167" spans="2:18" x14ac:dyDescent="0.25">
      <c r="B167" s="2615"/>
      <c r="C167" s="2616"/>
      <c r="D167" s="2617"/>
      <c r="E167" s="473"/>
      <c r="F167" s="2615"/>
      <c r="G167" s="2616"/>
      <c r="H167" s="2616"/>
      <c r="I167" s="2616"/>
      <c r="J167" s="2616"/>
      <c r="K167" s="2616"/>
      <c r="L167" s="2616"/>
      <c r="M167" s="2616"/>
      <c r="N167" s="2617"/>
    </row>
    <row r="168" spans="2:18" x14ac:dyDescent="0.25">
      <c r="B168" s="2615"/>
      <c r="C168" s="2616"/>
      <c r="D168" s="2617"/>
      <c r="E168" s="473"/>
      <c r="F168" s="2615"/>
      <c r="G168" s="2616"/>
      <c r="H168" s="2616"/>
      <c r="I168" s="2616"/>
      <c r="J168" s="2616"/>
      <c r="K168" s="2616"/>
      <c r="L168" s="2616"/>
      <c r="M168" s="2616"/>
      <c r="N168" s="2617"/>
    </row>
    <row r="169" spans="2:18" x14ac:dyDescent="0.25">
      <c r="B169" s="2615"/>
      <c r="C169" s="2616"/>
      <c r="D169" s="2617"/>
      <c r="E169" s="473"/>
      <c r="F169" s="2615"/>
      <c r="G169" s="2616"/>
      <c r="H169" s="2616"/>
      <c r="I169" s="2616"/>
      <c r="J169" s="2616"/>
      <c r="K169" s="2616"/>
      <c r="L169" s="2616"/>
      <c r="M169" s="2616"/>
      <c r="N169" s="2617"/>
    </row>
    <row r="170" spans="2:18" x14ac:dyDescent="0.25">
      <c r="B170" s="2615"/>
      <c r="C170" s="2616"/>
      <c r="D170" s="2617"/>
      <c r="E170" s="473"/>
      <c r="F170" s="2615"/>
      <c r="G170" s="2616"/>
      <c r="H170" s="2616"/>
      <c r="I170" s="2616"/>
      <c r="J170" s="2616"/>
      <c r="K170" s="2616"/>
      <c r="L170" s="2616"/>
      <c r="M170" s="2616"/>
      <c r="N170" s="2617"/>
    </row>
    <row r="171" spans="2:18" x14ac:dyDescent="0.25">
      <c r="B171" s="2615"/>
      <c r="C171" s="2616"/>
      <c r="D171" s="2617"/>
      <c r="E171" s="473"/>
      <c r="F171" s="2615"/>
      <c r="G171" s="2616"/>
      <c r="H171" s="2616"/>
      <c r="I171" s="2616"/>
      <c r="J171" s="2616"/>
      <c r="K171" s="2616"/>
      <c r="L171" s="2616"/>
      <c r="M171" s="2616"/>
      <c r="N171" s="2617"/>
    </row>
    <row r="172" spans="2:18" x14ac:dyDescent="0.25">
      <c r="B172" s="2615"/>
      <c r="C172" s="2616"/>
      <c r="D172" s="2617"/>
      <c r="E172" s="473"/>
      <c r="F172" s="2615"/>
      <c r="G172" s="2616"/>
      <c r="H172" s="2616"/>
      <c r="I172" s="2616"/>
      <c r="J172" s="2616"/>
      <c r="K172" s="2616"/>
      <c r="L172" s="2616"/>
      <c r="M172" s="2616"/>
      <c r="N172" s="2617"/>
    </row>
    <row r="173" spans="2:18" x14ac:dyDescent="0.25">
      <c r="B173" s="2615"/>
      <c r="C173" s="2616"/>
      <c r="D173" s="2617"/>
      <c r="E173" s="473"/>
      <c r="F173" s="2615"/>
      <c r="G173" s="2616"/>
      <c r="H173" s="2616"/>
      <c r="I173" s="2616"/>
      <c r="J173" s="2616"/>
      <c r="K173" s="2616"/>
      <c r="L173" s="2616"/>
      <c r="M173" s="2616"/>
      <c r="N173" s="2617"/>
    </row>
    <row r="174" spans="2:18" x14ac:dyDescent="0.25">
      <c r="B174" s="2615"/>
      <c r="C174" s="2616"/>
      <c r="D174" s="2617"/>
      <c r="E174" s="473"/>
      <c r="F174" s="2615"/>
      <c r="G174" s="2616"/>
      <c r="H174" s="2616"/>
      <c r="I174" s="2616"/>
      <c r="J174" s="2616"/>
      <c r="K174" s="2616"/>
      <c r="L174" s="2616"/>
      <c r="M174" s="2616"/>
      <c r="N174" s="2617"/>
    </row>
    <row r="175" spans="2:18" x14ac:dyDescent="0.25">
      <c r="B175" s="2615"/>
      <c r="C175" s="2616"/>
      <c r="D175" s="2617"/>
      <c r="E175" s="473"/>
      <c r="F175" s="2615"/>
      <c r="G175" s="2616"/>
      <c r="H175" s="2616"/>
      <c r="I175" s="2616"/>
      <c r="J175" s="2616"/>
      <c r="K175" s="2616"/>
      <c r="L175" s="2616"/>
      <c r="M175" s="2616"/>
      <c r="N175" s="2617"/>
    </row>
    <row r="176" spans="2:18" x14ac:dyDescent="0.25">
      <c r="B176" s="2615"/>
      <c r="C176" s="2616"/>
      <c r="D176" s="2617"/>
      <c r="E176" s="473"/>
      <c r="F176" s="2615"/>
      <c r="G176" s="2616"/>
      <c r="H176" s="2616"/>
      <c r="I176" s="2616"/>
      <c r="J176" s="2616"/>
      <c r="K176" s="2616"/>
      <c r="L176" s="2616"/>
      <c r="M176" s="2616"/>
      <c r="N176" s="2617"/>
      <c r="P176" s="1051"/>
      <c r="Q176" s="1051"/>
      <c r="R176" s="1051"/>
    </row>
    <row r="177" spans="2:20" x14ac:dyDescent="0.25">
      <c r="B177" s="2615"/>
      <c r="C177" s="2616"/>
      <c r="D177" s="2617"/>
      <c r="E177" s="473"/>
      <c r="F177" s="2615"/>
      <c r="G177" s="2616"/>
      <c r="H177" s="2616"/>
      <c r="I177" s="2616"/>
      <c r="J177" s="2616"/>
      <c r="K177" s="2616"/>
      <c r="L177" s="2616"/>
      <c r="M177" s="2616"/>
      <c r="N177" s="2617"/>
    </row>
    <row r="178" spans="2:20" x14ac:dyDescent="0.25">
      <c r="B178" s="2634"/>
      <c r="C178" s="2635"/>
      <c r="D178" s="2636"/>
      <c r="E178" s="473"/>
      <c r="F178" s="2634"/>
      <c r="G178" s="2635"/>
      <c r="H178" s="2635"/>
      <c r="I178" s="2635"/>
      <c r="J178" s="2635"/>
      <c r="K178" s="2635"/>
      <c r="L178" s="2635"/>
      <c r="M178" s="2635"/>
      <c r="N178" s="2636"/>
    </row>
    <row r="179" spans="2:20" x14ac:dyDescent="0.25">
      <c r="C179" s="14"/>
      <c r="D179" s="14"/>
      <c r="E179" s="14"/>
      <c r="F179" s="18"/>
      <c r="L179" s="14"/>
      <c r="N179" s="14"/>
    </row>
    <row r="180" spans="2:20" ht="15.75" x14ac:dyDescent="0.25">
      <c r="B180" s="143"/>
      <c r="C180" s="14"/>
      <c r="D180" s="14"/>
      <c r="E180" s="14"/>
      <c r="F180" s="18"/>
      <c r="L180" s="14"/>
      <c r="N180" s="14"/>
    </row>
    <row r="181" spans="2:20" x14ac:dyDescent="0.25">
      <c r="C181" s="14"/>
      <c r="D181" s="14"/>
      <c r="E181" s="14"/>
      <c r="F181" s="18"/>
      <c r="L181" s="14"/>
      <c r="N181" s="14"/>
    </row>
    <row r="182" spans="2:20" x14ac:dyDescent="0.25">
      <c r="C182" s="14"/>
      <c r="D182" s="14"/>
      <c r="E182" s="14"/>
      <c r="F182" s="18"/>
      <c r="L182" s="14"/>
      <c r="N182" s="14"/>
      <c r="P182" s="302"/>
      <c r="Q182" s="302"/>
      <c r="R182" s="302"/>
      <c r="S182" s="302"/>
      <c r="T182" s="302"/>
    </row>
    <row r="183" spans="2:20" x14ac:dyDescent="0.25">
      <c r="C183" s="14"/>
      <c r="D183" s="14"/>
      <c r="E183" s="14"/>
      <c r="F183" s="17"/>
      <c r="L183" s="14"/>
      <c r="N183" s="14"/>
    </row>
    <row r="185" spans="2:20" x14ac:dyDescent="0.25">
      <c r="B185" s="7"/>
    </row>
    <row r="186" spans="2:20" x14ac:dyDescent="0.25">
      <c r="B186" s="7"/>
    </row>
    <row r="187" spans="2:20" x14ac:dyDescent="0.25">
      <c r="B187" s="7"/>
    </row>
    <row r="188" spans="2:20" x14ac:dyDescent="0.25">
      <c r="B188" s="7"/>
    </row>
    <row r="189" spans="2:20" x14ac:dyDescent="0.25">
      <c r="B189" s="7"/>
    </row>
    <row r="190" spans="2:20" x14ac:dyDescent="0.25">
      <c r="B190" s="7"/>
    </row>
    <row r="191" spans="2:20" x14ac:dyDescent="0.25">
      <c r="B191" s="7"/>
    </row>
    <row r="192" spans="2:20" x14ac:dyDescent="0.25">
      <c r="B192" s="7"/>
    </row>
    <row r="193" spans="2:14" x14ac:dyDescent="0.25">
      <c r="B193" s="7"/>
    </row>
    <row r="194" spans="2:14" x14ac:dyDescent="0.25">
      <c r="B194" s="7"/>
    </row>
    <row r="195" spans="2:14" x14ac:dyDescent="0.25">
      <c r="B195" s="7"/>
    </row>
    <row r="196" spans="2:14" x14ac:dyDescent="0.25">
      <c r="B196" s="7"/>
    </row>
    <row r="197" spans="2:14" x14ac:dyDescent="0.25">
      <c r="B197" s="7"/>
    </row>
    <row r="198" spans="2:14" x14ac:dyDescent="0.25">
      <c r="B198" s="7"/>
      <c r="C198" s="7"/>
      <c r="D198" s="7"/>
      <c r="E198" s="7"/>
      <c r="L198" s="7"/>
      <c r="M198" s="7"/>
      <c r="N198" s="7"/>
    </row>
    <row r="199" spans="2:14" x14ac:dyDescent="0.25">
      <c r="B199" s="7"/>
      <c r="C199" s="7"/>
      <c r="D199" s="7"/>
      <c r="E199" s="7"/>
      <c r="L199" s="7"/>
      <c r="M199" s="7"/>
      <c r="N199" s="7"/>
    </row>
    <row r="200" spans="2:14" x14ac:dyDescent="0.25">
      <c r="B200" s="7"/>
      <c r="C200" s="7"/>
      <c r="D200" s="7"/>
      <c r="E200" s="7"/>
      <c r="L200" s="7"/>
      <c r="M200" s="7"/>
      <c r="N200" s="7"/>
    </row>
    <row r="201" spans="2:14" x14ac:dyDescent="0.25">
      <c r="B201" s="7"/>
      <c r="C201" s="7"/>
      <c r="D201" s="7"/>
      <c r="E201" s="7"/>
      <c r="L201" s="7"/>
      <c r="M201" s="7"/>
      <c r="N201" s="7"/>
    </row>
    <row r="202" spans="2:14" x14ac:dyDescent="0.25">
      <c r="B202" s="7"/>
      <c r="C202" s="7"/>
      <c r="D202" s="7"/>
      <c r="E202" s="7"/>
      <c r="L202" s="7"/>
      <c r="M202" s="7"/>
      <c r="N202" s="7"/>
    </row>
    <row r="203" spans="2:14" x14ac:dyDescent="0.25">
      <c r="B203" s="7"/>
      <c r="C203" s="7"/>
      <c r="D203" s="7"/>
      <c r="E203" s="7"/>
      <c r="L203" s="7"/>
      <c r="M203" s="7"/>
      <c r="N203" s="7"/>
    </row>
    <row r="204" spans="2:14" x14ac:dyDescent="0.25">
      <c r="B204" s="7"/>
      <c r="C204" s="7"/>
      <c r="D204" s="7"/>
      <c r="E204" s="7"/>
      <c r="L204" s="7"/>
      <c r="M204" s="7"/>
      <c r="N204" s="7"/>
    </row>
    <row r="205" spans="2:14" x14ac:dyDescent="0.25">
      <c r="B205" s="7"/>
      <c r="C205" s="7"/>
      <c r="D205" s="7"/>
      <c r="E205" s="7"/>
      <c r="L205" s="7"/>
      <c r="M205" s="7"/>
      <c r="N205" s="7"/>
    </row>
    <row r="206" spans="2:14" x14ac:dyDescent="0.25">
      <c r="B206" s="7"/>
      <c r="C206" s="7"/>
      <c r="D206" s="7"/>
      <c r="E206" s="7"/>
      <c r="L206" s="7"/>
      <c r="M206" s="7"/>
      <c r="N206" s="7"/>
    </row>
    <row r="207" spans="2:14" x14ac:dyDescent="0.25">
      <c r="B207" s="7"/>
      <c r="C207" s="7"/>
      <c r="D207" s="7"/>
      <c r="E207" s="7"/>
      <c r="L207" s="7"/>
      <c r="M207" s="7"/>
      <c r="N207" s="7"/>
    </row>
    <row r="208" spans="2:14" x14ac:dyDescent="0.25">
      <c r="B208" s="7"/>
      <c r="C208" s="7"/>
      <c r="D208" s="7"/>
      <c r="E208" s="7"/>
      <c r="L208" s="7"/>
      <c r="M208" s="7"/>
      <c r="N208" s="7"/>
    </row>
    <row r="209" spans="2:14" x14ac:dyDescent="0.25">
      <c r="B209" s="7"/>
      <c r="C209" s="7"/>
      <c r="D209" s="7"/>
      <c r="E209" s="7"/>
      <c r="L209" s="7"/>
      <c r="M209" s="7"/>
      <c r="N209" s="7"/>
    </row>
    <row r="210" spans="2:14" x14ac:dyDescent="0.25">
      <c r="B210" s="7"/>
      <c r="C210" s="7"/>
      <c r="D210" s="7"/>
      <c r="E210" s="7"/>
      <c r="L210" s="7"/>
      <c r="M210" s="7"/>
      <c r="N210" s="7"/>
    </row>
    <row r="211" spans="2:14" x14ac:dyDescent="0.25">
      <c r="B211" s="7"/>
      <c r="C211" s="7"/>
      <c r="D211" s="7"/>
      <c r="E211" s="7"/>
      <c r="L211" s="7"/>
      <c r="M211" s="7"/>
      <c r="N211" s="7"/>
    </row>
    <row r="212" spans="2:14" x14ac:dyDescent="0.25">
      <c r="B212" s="7"/>
      <c r="C212" s="7"/>
      <c r="D212" s="7"/>
      <c r="E212" s="7"/>
      <c r="L212" s="7"/>
      <c r="M212" s="7"/>
      <c r="N212" s="7"/>
    </row>
    <row r="213" spans="2:14" x14ac:dyDescent="0.25">
      <c r="B213" s="7"/>
      <c r="C213" s="7"/>
      <c r="D213" s="7"/>
      <c r="E213" s="7"/>
      <c r="L213" s="7"/>
      <c r="M213" s="7"/>
      <c r="N213" s="7"/>
    </row>
    <row r="214" spans="2:14" x14ac:dyDescent="0.25">
      <c r="B214" s="7"/>
      <c r="C214" s="7"/>
      <c r="D214" s="7"/>
      <c r="E214" s="7"/>
      <c r="L214" s="7"/>
      <c r="M214" s="7"/>
      <c r="N214" s="7"/>
    </row>
    <row r="215" spans="2:14" x14ac:dyDescent="0.25">
      <c r="B215" s="7"/>
      <c r="C215" s="7"/>
      <c r="D215" s="7"/>
      <c r="E215" s="7"/>
      <c r="L215" s="7"/>
      <c r="M215" s="7"/>
      <c r="N215" s="7"/>
    </row>
    <row r="216" spans="2:14" x14ac:dyDescent="0.25">
      <c r="B216" s="7"/>
      <c r="C216" s="7"/>
      <c r="D216" s="7"/>
      <c r="E216" s="7"/>
      <c r="L216" s="7"/>
      <c r="M216" s="7"/>
      <c r="N216" s="7"/>
    </row>
    <row r="217" spans="2:14" x14ac:dyDescent="0.25">
      <c r="B217" s="7"/>
      <c r="C217" s="7"/>
      <c r="D217" s="7"/>
      <c r="E217" s="7"/>
      <c r="L217" s="7"/>
      <c r="M217" s="7"/>
      <c r="N217" s="7"/>
    </row>
    <row r="218" spans="2:14" x14ac:dyDescent="0.25">
      <c r="B218" s="7"/>
      <c r="C218" s="7"/>
      <c r="D218" s="7"/>
      <c r="E218" s="7"/>
      <c r="L218" s="7"/>
      <c r="M218" s="7"/>
      <c r="N218" s="7"/>
    </row>
    <row r="219" spans="2:14" x14ac:dyDescent="0.25">
      <c r="B219" s="7"/>
      <c r="C219" s="7"/>
      <c r="D219" s="7"/>
      <c r="E219" s="7"/>
      <c r="L219" s="7"/>
      <c r="M219" s="7"/>
      <c r="N219" s="7"/>
    </row>
    <row r="220" spans="2:14" x14ac:dyDescent="0.25">
      <c r="B220" s="7"/>
      <c r="C220" s="7"/>
      <c r="D220" s="7"/>
      <c r="E220" s="7"/>
      <c r="L220" s="7"/>
      <c r="M220" s="7"/>
      <c r="N220" s="7"/>
    </row>
    <row r="221" spans="2:14" x14ac:dyDescent="0.25">
      <c r="B221" s="7"/>
      <c r="C221" s="7"/>
      <c r="D221" s="7"/>
      <c r="E221" s="7"/>
      <c r="L221" s="7"/>
      <c r="M221" s="7"/>
      <c r="N221" s="7"/>
    </row>
    <row r="222" spans="2:14" x14ac:dyDescent="0.25">
      <c r="B222" s="7"/>
      <c r="C222" s="7"/>
      <c r="D222" s="7"/>
      <c r="E222" s="7"/>
      <c r="L222" s="7"/>
      <c r="M222" s="7"/>
      <c r="N222" s="7"/>
    </row>
    <row r="223" spans="2:14" x14ac:dyDescent="0.25">
      <c r="B223" s="7"/>
      <c r="C223" s="7"/>
      <c r="D223" s="7"/>
      <c r="E223" s="7"/>
      <c r="L223" s="7"/>
      <c r="M223" s="7"/>
      <c r="N223" s="7"/>
    </row>
    <row r="224" spans="2:14" x14ac:dyDescent="0.25">
      <c r="B224" s="7"/>
      <c r="C224" s="7"/>
      <c r="D224" s="7"/>
      <c r="E224" s="7"/>
      <c r="L224" s="7"/>
      <c r="M224" s="7"/>
      <c r="N224" s="7"/>
    </row>
    <row r="225" spans="2:14" x14ac:dyDescent="0.25">
      <c r="B225" s="7"/>
      <c r="C225" s="7"/>
      <c r="D225" s="7"/>
      <c r="E225" s="7"/>
      <c r="L225" s="7"/>
      <c r="M225" s="7"/>
      <c r="N225" s="7"/>
    </row>
    <row r="226" spans="2:14" x14ac:dyDescent="0.25">
      <c r="B226" s="7"/>
      <c r="C226" s="7"/>
      <c r="D226" s="7"/>
      <c r="E226" s="7"/>
      <c r="L226" s="7"/>
      <c r="M226" s="7"/>
      <c r="N226" s="7"/>
    </row>
    <row r="227" spans="2:14" x14ac:dyDescent="0.25">
      <c r="B227" s="7"/>
      <c r="C227" s="7"/>
      <c r="D227" s="7"/>
      <c r="E227" s="7"/>
      <c r="L227" s="7"/>
      <c r="M227" s="7"/>
      <c r="N227" s="7"/>
    </row>
    <row r="228" spans="2:14" x14ac:dyDescent="0.25">
      <c r="B228" s="7"/>
      <c r="C228" s="7"/>
      <c r="D228" s="7"/>
      <c r="E228" s="7"/>
      <c r="L228" s="7"/>
      <c r="M228" s="7"/>
      <c r="N228" s="7"/>
    </row>
    <row r="229" spans="2:14" x14ac:dyDescent="0.25">
      <c r="B229" s="7"/>
      <c r="C229" s="7"/>
      <c r="D229" s="7"/>
      <c r="E229" s="7"/>
      <c r="L229" s="7"/>
      <c r="M229" s="7"/>
      <c r="N229" s="7"/>
    </row>
    <row r="230" spans="2:14" x14ac:dyDescent="0.25">
      <c r="B230" s="7"/>
      <c r="C230" s="7"/>
      <c r="D230" s="7"/>
      <c r="E230" s="7"/>
      <c r="L230" s="7"/>
      <c r="M230" s="7"/>
      <c r="N230" s="7"/>
    </row>
    <row r="231" spans="2:14" x14ac:dyDescent="0.25">
      <c r="B231" s="7"/>
      <c r="C231" s="7"/>
      <c r="D231" s="7"/>
      <c r="E231" s="7"/>
      <c r="L231" s="7"/>
      <c r="M231" s="7"/>
      <c r="N231" s="7"/>
    </row>
    <row r="232" spans="2:14" x14ac:dyDescent="0.25">
      <c r="B232" s="7"/>
      <c r="C232" s="7"/>
      <c r="D232" s="7"/>
      <c r="E232" s="7"/>
      <c r="L232" s="7"/>
      <c r="M232" s="7"/>
      <c r="N232" s="7"/>
    </row>
    <row r="233" spans="2:14" x14ac:dyDescent="0.25">
      <c r="B233" s="7"/>
      <c r="C233" s="7"/>
      <c r="D233" s="7"/>
      <c r="E233" s="7"/>
      <c r="L233" s="7"/>
      <c r="M233" s="7"/>
      <c r="N233" s="7"/>
    </row>
    <row r="234" spans="2:14" x14ac:dyDescent="0.25">
      <c r="B234" s="7"/>
      <c r="C234" s="7"/>
      <c r="D234" s="7"/>
      <c r="E234" s="7"/>
      <c r="L234" s="7"/>
      <c r="M234" s="7"/>
      <c r="N234" s="7"/>
    </row>
    <row r="235" spans="2:14" x14ac:dyDescent="0.25">
      <c r="B235" s="7"/>
      <c r="C235" s="7"/>
      <c r="D235" s="7"/>
      <c r="E235" s="7"/>
      <c r="L235" s="7"/>
      <c r="M235" s="7"/>
      <c r="N235" s="7"/>
    </row>
    <row r="236" spans="2:14" x14ac:dyDescent="0.25">
      <c r="B236" s="7"/>
      <c r="C236" s="7"/>
      <c r="D236" s="7"/>
      <c r="E236" s="7"/>
      <c r="L236" s="7"/>
      <c r="M236" s="7"/>
      <c r="N236" s="7"/>
    </row>
    <row r="237" spans="2:14" x14ac:dyDescent="0.25">
      <c r="B237" s="7"/>
      <c r="C237" s="7"/>
      <c r="D237" s="7"/>
      <c r="E237" s="7"/>
      <c r="L237" s="7"/>
      <c r="M237" s="7"/>
      <c r="N237" s="7"/>
    </row>
    <row r="238" spans="2:14" x14ac:dyDescent="0.25">
      <c r="B238" s="7"/>
      <c r="C238" s="7"/>
      <c r="D238" s="7"/>
      <c r="E238" s="7"/>
      <c r="L238" s="7"/>
      <c r="M238" s="7"/>
      <c r="N238" s="7"/>
    </row>
    <row r="239" spans="2:14" x14ac:dyDescent="0.25">
      <c r="B239" s="7"/>
      <c r="C239" s="7"/>
      <c r="D239" s="7"/>
      <c r="E239" s="7"/>
      <c r="L239" s="7"/>
      <c r="M239" s="7"/>
      <c r="N239" s="7"/>
    </row>
    <row r="240" spans="2:14" x14ac:dyDescent="0.25">
      <c r="B240" s="7"/>
      <c r="C240" s="7"/>
      <c r="D240" s="7"/>
      <c r="E240" s="7"/>
      <c r="L240" s="7"/>
      <c r="M240" s="7"/>
      <c r="N240" s="7"/>
    </row>
    <row r="241" spans="2:14" x14ac:dyDescent="0.25">
      <c r="B241" s="7"/>
      <c r="C241" s="7"/>
      <c r="D241" s="7"/>
      <c r="E241" s="7"/>
      <c r="L241" s="7"/>
      <c r="M241" s="7"/>
      <c r="N241" s="7"/>
    </row>
    <row r="242" spans="2:14" x14ac:dyDescent="0.25">
      <c r="B242" s="7"/>
      <c r="C242" s="7"/>
      <c r="D242" s="7"/>
      <c r="E242" s="7"/>
      <c r="L242" s="7"/>
      <c r="M242" s="7"/>
      <c r="N242" s="7"/>
    </row>
    <row r="243" spans="2:14" x14ac:dyDescent="0.25">
      <c r="B243" s="7"/>
      <c r="C243" s="7"/>
      <c r="D243" s="7"/>
      <c r="E243" s="7"/>
      <c r="L243" s="7"/>
      <c r="M243" s="7"/>
      <c r="N243" s="7"/>
    </row>
    <row r="244" spans="2:14" x14ac:dyDescent="0.25">
      <c r="B244" s="7"/>
      <c r="C244" s="7"/>
      <c r="D244" s="7"/>
      <c r="E244" s="7"/>
      <c r="L244" s="7"/>
      <c r="M244" s="7"/>
      <c r="N244" s="7"/>
    </row>
    <row r="245" spans="2:14" x14ac:dyDescent="0.25">
      <c r="B245" s="7"/>
      <c r="C245" s="7"/>
      <c r="D245" s="7"/>
      <c r="E245" s="7"/>
      <c r="L245" s="7"/>
      <c r="M245" s="7"/>
      <c r="N245" s="7"/>
    </row>
    <row r="246" spans="2:14" x14ac:dyDescent="0.25">
      <c r="B246" s="7"/>
      <c r="C246" s="7"/>
      <c r="D246" s="7"/>
      <c r="E246" s="7"/>
      <c r="L246" s="7"/>
      <c r="M246" s="7"/>
      <c r="N246" s="7"/>
    </row>
    <row r="247" spans="2:14" x14ac:dyDescent="0.25">
      <c r="B247" s="7"/>
      <c r="C247" s="7"/>
      <c r="D247" s="7"/>
      <c r="E247" s="7"/>
      <c r="L247" s="7"/>
      <c r="M247" s="7"/>
      <c r="N247" s="7"/>
    </row>
    <row r="248" spans="2:14" x14ac:dyDescent="0.25">
      <c r="B248" s="7"/>
      <c r="C248" s="7"/>
      <c r="D248" s="7"/>
      <c r="E248" s="7"/>
      <c r="L248" s="7"/>
      <c r="M248" s="7"/>
      <c r="N248" s="7"/>
    </row>
    <row r="249" spans="2:14" x14ac:dyDescent="0.25">
      <c r="B249" s="7"/>
      <c r="C249" s="7"/>
      <c r="D249" s="7"/>
      <c r="E249" s="7"/>
      <c r="L249" s="7"/>
      <c r="M249" s="7"/>
      <c r="N249" s="7"/>
    </row>
    <row r="250" spans="2:14" x14ac:dyDescent="0.25">
      <c r="B250" s="7"/>
      <c r="C250" s="7"/>
      <c r="D250" s="7"/>
      <c r="E250" s="7"/>
      <c r="L250" s="7"/>
      <c r="M250" s="7"/>
      <c r="N250" s="7"/>
    </row>
    <row r="251" spans="2:14" x14ac:dyDescent="0.25">
      <c r="B251" s="7"/>
      <c r="C251" s="7"/>
      <c r="D251" s="7"/>
      <c r="E251" s="7"/>
      <c r="L251" s="7"/>
      <c r="M251" s="7"/>
      <c r="N251" s="7"/>
    </row>
    <row r="252" spans="2:14" x14ac:dyDescent="0.25">
      <c r="B252" s="7"/>
      <c r="C252" s="7"/>
      <c r="D252" s="7"/>
      <c r="E252" s="7"/>
      <c r="L252" s="7"/>
      <c r="M252" s="7"/>
      <c r="N252" s="7"/>
    </row>
    <row r="253" spans="2:14" x14ac:dyDescent="0.25">
      <c r="B253" s="7"/>
      <c r="C253" s="7"/>
      <c r="D253" s="7"/>
      <c r="E253" s="7"/>
      <c r="L253" s="7"/>
      <c r="M253" s="7"/>
      <c r="N253" s="7"/>
    </row>
    <row r="254" spans="2:14" x14ac:dyDescent="0.25">
      <c r="B254" s="7"/>
      <c r="C254" s="7"/>
      <c r="D254" s="7"/>
      <c r="E254" s="7"/>
      <c r="L254" s="7"/>
      <c r="M254" s="7"/>
      <c r="N254" s="7"/>
    </row>
    <row r="255" spans="2:14" x14ac:dyDescent="0.25">
      <c r="B255" s="7"/>
      <c r="C255" s="7"/>
      <c r="D255" s="7"/>
      <c r="E255" s="7"/>
      <c r="L255" s="7"/>
      <c r="M255" s="7"/>
      <c r="N255" s="7"/>
    </row>
    <row r="256" spans="2:14" x14ac:dyDescent="0.25">
      <c r="B256" s="7"/>
      <c r="C256" s="7"/>
      <c r="D256" s="7"/>
      <c r="E256" s="7"/>
      <c r="L256" s="7"/>
      <c r="M256" s="7"/>
      <c r="N256" s="7"/>
    </row>
    <row r="257" spans="2:14" x14ac:dyDescent="0.25">
      <c r="B257" s="7"/>
      <c r="C257" s="7"/>
      <c r="D257" s="7"/>
      <c r="E257" s="7"/>
      <c r="L257" s="7"/>
      <c r="M257" s="7"/>
      <c r="N257" s="7"/>
    </row>
    <row r="258" spans="2:14" x14ac:dyDescent="0.25">
      <c r="B258" s="7"/>
      <c r="C258" s="7"/>
      <c r="D258" s="7"/>
      <c r="E258" s="7"/>
      <c r="L258" s="7"/>
      <c r="M258" s="7"/>
      <c r="N258" s="7"/>
    </row>
    <row r="259" spans="2:14" x14ac:dyDescent="0.25">
      <c r="B259" s="7"/>
      <c r="C259" s="7"/>
      <c r="D259" s="7"/>
      <c r="E259" s="7"/>
      <c r="L259" s="7"/>
      <c r="M259" s="7"/>
      <c r="N259" s="7"/>
    </row>
    <row r="260" spans="2:14" x14ac:dyDescent="0.25">
      <c r="B260" s="7"/>
      <c r="C260" s="7"/>
      <c r="D260" s="7"/>
      <c r="E260" s="7"/>
      <c r="L260" s="7"/>
      <c r="M260" s="7"/>
      <c r="N260" s="7"/>
    </row>
    <row r="261" spans="2:14" x14ac:dyDescent="0.25">
      <c r="B261" s="7"/>
      <c r="C261" s="7"/>
      <c r="D261" s="7"/>
      <c r="E261" s="7"/>
      <c r="L261" s="7"/>
      <c r="M261" s="7"/>
      <c r="N261" s="7"/>
    </row>
    <row r="262" spans="2:14" x14ac:dyDescent="0.25">
      <c r="B262" s="7"/>
      <c r="C262" s="7"/>
      <c r="D262" s="7"/>
      <c r="E262" s="7"/>
      <c r="L262" s="7"/>
      <c r="M262" s="7"/>
      <c r="N262" s="7"/>
    </row>
    <row r="263" spans="2:14" x14ac:dyDescent="0.25">
      <c r="B263" s="7"/>
      <c r="C263" s="7"/>
      <c r="D263" s="7"/>
      <c r="E263" s="7"/>
      <c r="L263" s="7"/>
      <c r="M263" s="7"/>
      <c r="N263" s="7"/>
    </row>
    <row r="264" spans="2:14" x14ac:dyDescent="0.25">
      <c r="B264" s="7"/>
      <c r="C264" s="7"/>
      <c r="D264" s="7"/>
      <c r="E264" s="7"/>
      <c r="L264" s="7"/>
      <c r="M264" s="7"/>
      <c r="N264" s="7"/>
    </row>
    <row r="265" spans="2:14" x14ac:dyDescent="0.25">
      <c r="B265" s="7"/>
      <c r="C265" s="7"/>
      <c r="D265" s="7"/>
      <c r="E265" s="7"/>
      <c r="L265" s="7"/>
      <c r="M265" s="7"/>
      <c r="N265" s="7"/>
    </row>
    <row r="266" spans="2:14" x14ac:dyDescent="0.25">
      <c r="B266" s="7"/>
      <c r="C266" s="7"/>
      <c r="D266" s="7"/>
      <c r="E266" s="7"/>
      <c r="L266" s="7"/>
      <c r="M266" s="7"/>
      <c r="N266" s="7"/>
    </row>
    <row r="267" spans="2:14" x14ac:dyDescent="0.25">
      <c r="B267" s="7"/>
      <c r="C267" s="7"/>
      <c r="D267" s="7"/>
      <c r="E267" s="7"/>
      <c r="L267" s="7"/>
      <c r="M267" s="7"/>
      <c r="N267" s="7"/>
    </row>
    <row r="268" spans="2:14" x14ac:dyDescent="0.25">
      <c r="B268" s="7"/>
      <c r="C268" s="7"/>
      <c r="D268" s="7"/>
      <c r="E268" s="7"/>
      <c r="L268" s="7"/>
      <c r="M268" s="7"/>
      <c r="N268" s="7"/>
    </row>
    <row r="269" spans="2:14" x14ac:dyDescent="0.25">
      <c r="B269" s="7"/>
      <c r="C269" s="7"/>
      <c r="D269" s="7"/>
      <c r="E269" s="7"/>
      <c r="L269" s="7"/>
      <c r="M269" s="7"/>
      <c r="N269" s="7"/>
    </row>
    <row r="270" spans="2:14" x14ac:dyDescent="0.25">
      <c r="B270" s="7"/>
      <c r="C270" s="7"/>
      <c r="D270" s="7"/>
      <c r="E270" s="7"/>
      <c r="L270" s="7"/>
      <c r="M270" s="7"/>
      <c r="N270" s="7"/>
    </row>
    <row r="271" spans="2:14" x14ac:dyDescent="0.25">
      <c r="B271" s="7"/>
      <c r="C271" s="7"/>
      <c r="D271" s="7"/>
      <c r="E271" s="7"/>
      <c r="L271" s="7"/>
      <c r="M271" s="7"/>
      <c r="N271" s="7"/>
    </row>
    <row r="272" spans="2:14" x14ac:dyDescent="0.25">
      <c r="B272" s="7"/>
      <c r="C272" s="7"/>
      <c r="D272" s="7"/>
      <c r="E272" s="7"/>
      <c r="L272" s="7"/>
      <c r="M272" s="7"/>
      <c r="N272" s="7"/>
    </row>
    <row r="273" spans="2:14" x14ac:dyDescent="0.25">
      <c r="B273" s="7"/>
      <c r="C273" s="7"/>
      <c r="D273" s="7"/>
      <c r="E273" s="7"/>
      <c r="L273" s="7"/>
      <c r="M273" s="7"/>
      <c r="N273" s="7"/>
    </row>
    <row r="274" spans="2:14" x14ac:dyDescent="0.25">
      <c r="B274" s="7"/>
      <c r="C274" s="7"/>
      <c r="D274" s="7"/>
      <c r="E274" s="7"/>
      <c r="L274" s="7"/>
      <c r="M274" s="7"/>
      <c r="N274" s="7"/>
    </row>
    <row r="275" spans="2:14" x14ac:dyDescent="0.25">
      <c r="B275" s="7"/>
      <c r="C275" s="7"/>
      <c r="D275" s="7"/>
      <c r="E275" s="7"/>
      <c r="L275" s="7"/>
      <c r="M275" s="7"/>
      <c r="N275" s="7"/>
    </row>
    <row r="276" spans="2:14" x14ac:dyDescent="0.25">
      <c r="B276" s="7"/>
      <c r="C276" s="7"/>
      <c r="D276" s="7"/>
      <c r="E276" s="7"/>
      <c r="L276" s="7"/>
      <c r="M276" s="7"/>
      <c r="N276" s="7"/>
    </row>
    <row r="277" spans="2:14" x14ac:dyDescent="0.25">
      <c r="B277" s="7"/>
      <c r="C277" s="7"/>
      <c r="D277" s="7"/>
      <c r="E277" s="7"/>
      <c r="L277" s="7"/>
      <c r="M277" s="7"/>
      <c r="N277" s="7"/>
    </row>
    <row r="278" spans="2:14" x14ac:dyDescent="0.25">
      <c r="B278" s="7"/>
      <c r="C278" s="7"/>
      <c r="D278" s="7"/>
      <c r="E278" s="7"/>
      <c r="L278" s="7"/>
      <c r="M278" s="7"/>
      <c r="N278" s="7"/>
    </row>
    <row r="279" spans="2:14" x14ac:dyDescent="0.25">
      <c r="B279" s="7"/>
      <c r="C279" s="7"/>
      <c r="D279" s="7"/>
      <c r="E279" s="7"/>
      <c r="L279" s="7"/>
      <c r="M279" s="7"/>
      <c r="N279" s="7"/>
    </row>
    <row r="280" spans="2:14" x14ac:dyDescent="0.25">
      <c r="B280" s="7"/>
      <c r="C280" s="7"/>
      <c r="D280" s="7"/>
      <c r="E280" s="7"/>
      <c r="L280" s="7"/>
      <c r="M280" s="7"/>
      <c r="N280" s="7"/>
    </row>
    <row r="281" spans="2:14" x14ac:dyDescent="0.25">
      <c r="B281" s="7"/>
      <c r="C281" s="7"/>
      <c r="D281" s="7"/>
      <c r="E281" s="7"/>
      <c r="L281" s="7"/>
      <c r="M281" s="7"/>
      <c r="N281" s="7"/>
    </row>
    <row r="282" spans="2:14" x14ac:dyDescent="0.25">
      <c r="B282" s="7"/>
      <c r="C282" s="7"/>
      <c r="D282" s="7"/>
      <c r="E282" s="7"/>
      <c r="L282" s="7"/>
      <c r="M282" s="7"/>
      <c r="N282" s="7"/>
    </row>
    <row r="283" spans="2:14" x14ac:dyDescent="0.25">
      <c r="B283" s="7"/>
      <c r="C283" s="7"/>
      <c r="D283" s="7"/>
      <c r="E283" s="7"/>
      <c r="L283" s="7"/>
      <c r="M283" s="7"/>
      <c r="N283" s="7"/>
    </row>
    <row r="284" spans="2:14" x14ac:dyDescent="0.25">
      <c r="B284" s="7"/>
      <c r="C284" s="7"/>
      <c r="D284" s="7"/>
      <c r="E284" s="7"/>
      <c r="L284" s="7"/>
      <c r="M284" s="7"/>
      <c r="N284" s="7"/>
    </row>
  </sheetData>
  <sheetProtection sheet="1" objects="1" scenarios="1"/>
  <mergeCells count="70">
    <mergeCell ref="B172:D172"/>
    <mergeCell ref="F172:N172"/>
    <mergeCell ref="B173:D173"/>
    <mergeCell ref="F173:N173"/>
    <mergeCell ref="B174:D174"/>
    <mergeCell ref="F174:N174"/>
    <mergeCell ref="B178:D178"/>
    <mergeCell ref="F178:N178"/>
    <mergeCell ref="B175:D175"/>
    <mergeCell ref="F175:N175"/>
    <mergeCell ref="B176:D176"/>
    <mergeCell ref="F176:N176"/>
    <mergeCell ref="B177:D177"/>
    <mergeCell ref="F177:N177"/>
    <mergeCell ref="F169:N169"/>
    <mergeCell ref="B170:D170"/>
    <mergeCell ref="F170:N170"/>
    <mergeCell ref="B171:D171"/>
    <mergeCell ref="F171:N171"/>
    <mergeCell ref="B169:D169"/>
    <mergeCell ref="B166:D166"/>
    <mergeCell ref="F166:N166"/>
    <mergeCell ref="B167:D167"/>
    <mergeCell ref="F167:N167"/>
    <mergeCell ref="B168:D168"/>
    <mergeCell ref="F168:N168"/>
    <mergeCell ref="B163:D163"/>
    <mergeCell ref="F163:N163"/>
    <mergeCell ref="B164:D164"/>
    <mergeCell ref="F164:N164"/>
    <mergeCell ref="B165:D165"/>
    <mergeCell ref="F165:N165"/>
    <mergeCell ref="B160:D160"/>
    <mergeCell ref="F160:N160"/>
    <mergeCell ref="B161:D161"/>
    <mergeCell ref="F161:N161"/>
    <mergeCell ref="B162:D162"/>
    <mergeCell ref="F162:N162"/>
    <mergeCell ref="B157:D157"/>
    <mergeCell ref="F157:N157"/>
    <mergeCell ref="B158:D158"/>
    <mergeCell ref="F158:N158"/>
    <mergeCell ref="B159:D159"/>
    <mergeCell ref="F159:N159"/>
    <mergeCell ref="J12:M12"/>
    <mergeCell ref="B156:D156"/>
    <mergeCell ref="F156:N156"/>
    <mergeCell ref="D13:I13"/>
    <mergeCell ref="J13:M13"/>
    <mergeCell ref="M34:M36"/>
    <mergeCell ref="N34:N36"/>
    <mergeCell ref="B155:D155"/>
    <mergeCell ref="F155:N155"/>
    <mergeCell ref="M47:M49"/>
    <mergeCell ref="N47:N49"/>
    <mergeCell ref="C62:C63"/>
    <mergeCell ref="N122:N123"/>
    <mergeCell ref="C34:C35"/>
    <mergeCell ref="N62:N63"/>
    <mergeCell ref="C66:C67"/>
    <mergeCell ref="J4:K4"/>
    <mergeCell ref="N8:N10"/>
    <mergeCell ref="D10:I10"/>
    <mergeCell ref="D11:I11"/>
    <mergeCell ref="J11:M11"/>
    <mergeCell ref="C68:C69"/>
    <mergeCell ref="C70:C72"/>
    <mergeCell ref="C108:C110"/>
    <mergeCell ref="D4:E4"/>
    <mergeCell ref="D12:I12"/>
  </mergeCells>
  <conditionalFormatting sqref="M151">
    <cfRule type="cellIs" dxfId="36" priority="70" operator="equal">
      <formula>"Error"</formula>
    </cfRule>
  </conditionalFormatting>
  <conditionalFormatting sqref="N8:N9">
    <cfRule type="expression" dxfId="35" priority="69">
      <formula>AND(ISNUMBER($D$9),$O$14&gt;0)</formula>
    </cfRule>
  </conditionalFormatting>
  <conditionalFormatting sqref="N11">
    <cfRule type="expression" dxfId="34" priority="68">
      <formula>AND(ISNUMBER($D$9),O11&gt;0)</formula>
    </cfRule>
  </conditionalFormatting>
  <conditionalFormatting sqref="J8:M10">
    <cfRule type="expression" dxfId="33" priority="67">
      <formula>$P$14&lt;0</formula>
    </cfRule>
  </conditionalFormatting>
  <conditionalFormatting sqref="J11:M13">
    <cfRule type="expression" dxfId="32" priority="66">
      <formula>P11&lt;0</formula>
    </cfRule>
  </conditionalFormatting>
  <conditionalFormatting sqref="B10:I10">
    <cfRule type="expression" dxfId="31" priority="65">
      <formula>$D$9&gt;0</formula>
    </cfRule>
  </conditionalFormatting>
  <conditionalFormatting sqref="N12">
    <cfRule type="expression" dxfId="30" priority="57">
      <formula>AND($D$9&gt;1,O12&gt;0)</formula>
    </cfRule>
  </conditionalFormatting>
  <conditionalFormatting sqref="N13">
    <cfRule type="expression" dxfId="29" priority="56">
      <formula>AND($D$9&gt;2,O13&gt;0)</formula>
    </cfRule>
  </conditionalFormatting>
  <conditionalFormatting sqref="D4:E4">
    <cfRule type="expression" dxfId="28" priority="35">
      <formula>COUNTIF(P16:T495,1)&gt;0</formula>
    </cfRule>
  </conditionalFormatting>
  <conditionalFormatting sqref="J4:K4">
    <cfRule type="expression" dxfId="27" priority="34">
      <formula>COUNTIF(P16:T495,-1)&gt;0</formula>
    </cfRule>
  </conditionalFormatting>
  <conditionalFormatting sqref="B11:I13">
    <cfRule type="expression" dxfId="26" priority="25">
      <formula>$D$9=3</formula>
    </cfRule>
  </conditionalFormatting>
  <conditionalFormatting sqref="B11:I12">
    <cfRule type="expression" dxfId="25" priority="24">
      <formula>$D$9=2</formula>
    </cfRule>
  </conditionalFormatting>
  <conditionalFormatting sqref="B11:I11">
    <cfRule type="expression" dxfId="24" priority="23">
      <formula>$D$9=1</formula>
    </cfRule>
  </conditionalFormatting>
  <conditionalFormatting sqref="D11:I11">
    <cfRule type="expression" dxfId="23" priority="22">
      <formula>ISBLANK($D$9)</formula>
    </cfRule>
  </conditionalFormatting>
  <conditionalFormatting sqref="D12:I12">
    <cfRule type="expression" dxfId="22" priority="21">
      <formula>$D$9&lt;2</formula>
    </cfRule>
  </conditionalFormatting>
  <conditionalFormatting sqref="D13:I13">
    <cfRule type="expression" dxfId="21" priority="20">
      <formula>$D$9&lt;3</formula>
    </cfRule>
  </conditionalFormatting>
  <conditionalFormatting sqref="D13:I13">
    <cfRule type="expression" dxfId="20" priority="19">
      <formula>ISBLANK($D$9)</formula>
    </cfRule>
  </conditionalFormatting>
  <conditionalFormatting sqref="G20:I20">
    <cfRule type="expression" dxfId="19" priority="18">
      <formula>$B$14=$R$15</formula>
    </cfRule>
  </conditionalFormatting>
  <conditionalFormatting sqref="G20:I20">
    <cfRule type="expression" dxfId="18" priority="17">
      <formula>P19=-1</formula>
    </cfRule>
  </conditionalFormatting>
  <conditionalFormatting sqref="G20:I20">
    <cfRule type="expression" dxfId="17" priority="16">
      <formula>P19=1</formula>
    </cfRule>
  </conditionalFormatting>
  <conditionalFormatting sqref="N20:N23">
    <cfRule type="expression" dxfId="16" priority="15">
      <formula>$B$14=$R$15</formula>
    </cfRule>
  </conditionalFormatting>
  <conditionalFormatting sqref="G27:I27">
    <cfRule type="expression" dxfId="15" priority="14">
      <formula>P27=-1</formula>
    </cfRule>
  </conditionalFormatting>
  <conditionalFormatting sqref="G27:I27">
    <cfRule type="expression" dxfId="14" priority="12">
      <formula>$B$14=$R$15</formula>
    </cfRule>
  </conditionalFormatting>
  <conditionalFormatting sqref="G27:I27">
    <cfRule type="expression" dxfId="13" priority="10">
      <formula>P27=1</formula>
    </cfRule>
    <cfRule type="expression" dxfId="12" priority="11">
      <formula>P27=-1</formula>
    </cfRule>
  </conditionalFormatting>
  <conditionalFormatting sqref="G27:I27">
    <cfRule type="expression" dxfId="11" priority="13">
      <formula>P27=1</formula>
    </cfRule>
  </conditionalFormatting>
  <conditionalFormatting sqref="N28:N29">
    <cfRule type="expression" dxfId="10" priority="9">
      <formula>$B$14=$R$15</formula>
    </cfRule>
  </conditionalFormatting>
  <conditionalFormatting sqref="N31">
    <cfRule type="expression" dxfId="9" priority="8">
      <formula>$B$14=$R$15</formula>
    </cfRule>
  </conditionalFormatting>
  <conditionalFormatting sqref="N30">
    <cfRule type="expression" dxfId="8" priority="7">
      <formula>$B$14=$R$15</formula>
    </cfRule>
  </conditionalFormatting>
  <conditionalFormatting sqref="G63:I87">
    <cfRule type="expression" dxfId="7" priority="6">
      <formula>$B$14=$R$15</formula>
    </cfRule>
  </conditionalFormatting>
  <conditionalFormatting sqref="G89:I95">
    <cfRule type="expression" dxfId="6" priority="5">
      <formula>$B$14=$R$15</formula>
    </cfRule>
  </conditionalFormatting>
  <conditionalFormatting sqref="G89:I95 G63:I87">
    <cfRule type="expression" dxfId="5" priority="4">
      <formula>P63=-1</formula>
    </cfRule>
  </conditionalFormatting>
  <conditionalFormatting sqref="G89:I95 G63:I87">
    <cfRule type="expression" dxfId="4" priority="3">
      <formula>P63=1</formula>
    </cfRule>
  </conditionalFormatting>
  <conditionalFormatting sqref="N65:N68">
    <cfRule type="expression" dxfId="3" priority="2">
      <formula>$B$14=$R$15</formula>
    </cfRule>
  </conditionalFormatting>
  <conditionalFormatting sqref="O134:O150">
    <cfRule type="cellIs" dxfId="2" priority="1" operator="equal">
      <formula>"Error"</formula>
    </cfRule>
  </conditionalFormatting>
  <dataValidations count="3">
    <dataValidation type="list" allowBlank="1" showInputMessage="1" showErrorMessage="1" error="Please either leave this cell blank or, if you have updated the relevant data, confirm this by clicking on the small arrow to the right of this cell and selecting the available text " sqref="N11:N13">
      <formula1>$R$13</formula1>
    </dataValidation>
    <dataValidation type="list" allowBlank="1" showInputMessage="1" showErrorMessage="1" error="Please select from the two possible options by clicking on the small triangle to the right of this cell" sqref="D11:I13">
      <formula1>$R$11:$R$12</formula1>
    </dataValidation>
    <dataValidation type="list" allowBlank="1" showInputMessage="1" showErrorMessage="1" sqref="D9">
      <formula1>"1,2,3"</formula1>
    </dataValidation>
  </dataValidations>
  <hyperlinks>
    <hyperlink ref="B3" location="Comments_WA" display="Link to the areas for providing general comments or footnotes"/>
    <hyperlink ref="F5" location="WA!B186" display="WA!B186"/>
    <hyperlink ref="M5" location="Data_validn_explan" display="Data_validn_explan"/>
  </hyperlinks>
  <pageMargins left="0.7" right="0.7" top="0.75" bottom="0.75" header="0.3" footer="0.3"/>
  <pageSetup paperSize="9" orientation="portrait" verticalDpi="0" r:id="rId1"/>
  <legacyDrawing r:id="rId2"/>
  <extLst>
    <ext xmlns:x14="http://schemas.microsoft.com/office/spreadsheetml/2009/9/main" uri="{78C0D931-6437-407d-A8EE-F0AAD7539E65}">
      <x14:conditionalFormattings>
        <x14:conditionalFormatting xmlns:xm="http://schemas.microsoft.com/office/excel/2006/main">
          <x14:cfRule type="cellIs" priority="26" operator="equal" id="{8B3BC93A-DD82-45BD-94FF-F57A589AF32C}">
            <xm:f>Intro!$B$37</xm:f>
            <x14:dxf>
              <font>
                <color rgb="FFFF0000"/>
              </font>
            </x14:dxf>
          </x14:cfRule>
          <xm:sqref>D11:I13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89A01945CD6444CA9596BDB31FA19BA" ma:contentTypeVersion="" ma:contentTypeDescription="Create a new document." ma:contentTypeScope="" ma:versionID="446fa5bbe50960877b4eb5856a8f5dff">
  <xsd:schema xmlns:xsd="http://www.w3.org/2001/XMLSchema" xmlns:xs="http://www.w3.org/2001/XMLSchema" xmlns:p="http://schemas.microsoft.com/office/2006/metadata/properties" xmlns:ns2="2ad5b749-a559-4ff7-b337-5976eb7c1197" targetNamespace="http://schemas.microsoft.com/office/2006/metadata/properties" ma:root="true" ma:fieldsID="9256054c2d356cf4becf75f314711db2" ns2:_="">
    <xsd:import namespace="2ad5b749-a559-4ff7-b337-5976eb7c1197"/>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d5b749-a559-4ff7-b337-5976eb7c119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3C477B-0A4C-45A3-8BAF-5A009C3B37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d5b749-a559-4ff7-b337-5976eb7c11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D50F42-F670-49CF-9A05-84ABD7E16F7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2ad5b749-a559-4ff7-b337-5976eb7c1197"/>
    <ds:schemaRef ds:uri="http://www.w3.org/XML/1998/namespace"/>
    <ds:schemaRef ds:uri="http://purl.org/dc/dcmitype/"/>
  </ds:schemaRefs>
</ds:datastoreItem>
</file>

<file path=customXml/itemProps3.xml><?xml version="1.0" encoding="utf-8"?>
<ds:datastoreItem xmlns:ds="http://schemas.openxmlformats.org/officeDocument/2006/customXml" ds:itemID="{24BB1FFC-EC87-4618-9C9E-6950DA6B2E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40</vt:i4>
      </vt:variant>
    </vt:vector>
  </HeadingPairs>
  <TitlesOfParts>
    <vt:vector size="63" baseType="lpstr">
      <vt:lpstr>Intro</vt:lpstr>
      <vt:lpstr>ACT</vt:lpstr>
      <vt:lpstr>NSW</vt:lpstr>
      <vt:lpstr>NT</vt:lpstr>
      <vt:lpstr>Qld</vt:lpstr>
      <vt:lpstr>SA</vt:lpstr>
      <vt:lpstr>Tas</vt:lpstr>
      <vt:lpstr>Vic</vt:lpstr>
      <vt:lpstr>WA</vt:lpstr>
      <vt:lpstr>Basel data</vt:lpstr>
      <vt:lpstr>Other national data</vt:lpstr>
      <vt:lpstr>ACT.</vt:lpstr>
      <vt:lpstr>NSW.</vt:lpstr>
      <vt:lpstr>NT.</vt:lpstr>
      <vt:lpstr>Qld.</vt:lpstr>
      <vt:lpstr>SA.</vt:lpstr>
      <vt:lpstr>Tas.</vt:lpstr>
      <vt:lpstr>Vic.</vt:lpstr>
      <vt:lpstr>WA.</vt:lpstr>
      <vt:lpstr>Trends and nat. data</vt:lpstr>
      <vt:lpstr>Int. comparisons</vt:lpstr>
      <vt:lpstr>Validn data - hide</vt:lpstr>
      <vt:lpstr>Inert fraction composn - hide</vt:lpstr>
      <vt:lpstr>Comments_ACT</vt:lpstr>
      <vt:lpstr>Comments_NSW</vt:lpstr>
      <vt:lpstr>Comments_NT</vt:lpstr>
      <vt:lpstr>Comments_Qld</vt:lpstr>
      <vt:lpstr>Comments_SA</vt:lpstr>
      <vt:lpstr>Comments_Tas</vt:lpstr>
      <vt:lpstr>Comments_Vic</vt:lpstr>
      <vt:lpstr>Comments_WA</vt:lpstr>
      <vt:lpstr>Data_validn_explan</vt:lpstr>
      <vt:lpstr>Hazinput_ACT</vt:lpstr>
      <vt:lpstr>Hazinput_NSW</vt:lpstr>
      <vt:lpstr>Hazinput_NT</vt:lpstr>
      <vt:lpstr>Hazinput_Qld</vt:lpstr>
      <vt:lpstr>Hazinput_SA</vt:lpstr>
      <vt:lpstr>Hazinput_Tas</vt:lpstr>
      <vt:lpstr>Hazinput_Vic</vt:lpstr>
      <vt:lpstr>Hazinput_WA</vt:lpstr>
      <vt:lpstr>Hazstate</vt:lpstr>
      <vt:lpstr>Nat_data_bioen_lfill</vt:lpstr>
      <vt:lpstr>Nat_data_bioen_other</vt:lpstr>
      <vt:lpstr>Nat_data_biosolids</vt:lpstr>
      <vt:lpstr>Nat_data_CandI_rec</vt:lpstr>
      <vt:lpstr>Nat_data_flyash</vt:lpstr>
      <vt:lpstr>Nat_data_hazwaste</vt:lpstr>
      <vt:lpstr>Nat_data_lfill</vt:lpstr>
      <vt:lpstr>Nat_data_plastic</vt:lpstr>
      <vt:lpstr>Nat_data_popn</vt:lpstr>
      <vt:lpstr>Nat_data_recycl_strm</vt:lpstr>
      <vt:lpstr>Not_validated</vt:lpstr>
      <vt:lpstr>Pop_ACT</vt:lpstr>
      <vt:lpstr>Pop_Aus</vt:lpstr>
      <vt:lpstr>Pop_NSW</vt:lpstr>
      <vt:lpstr>Pop_NT</vt:lpstr>
      <vt:lpstr>Pop_Qld</vt:lpstr>
      <vt:lpstr>Pop_SA</vt:lpstr>
      <vt:lpstr>Pop_Tas</vt:lpstr>
      <vt:lpstr>Pop_Vic</vt:lpstr>
      <vt:lpstr>Pop_WA</vt:lpstr>
      <vt:lpstr>ToC_Model_overview</vt:lpstr>
      <vt:lpstr>Validated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love</dc:creator>
  <cp:lastModifiedBy>Joe Pickin</cp:lastModifiedBy>
  <dcterms:created xsi:type="dcterms:W3CDTF">2015-01-27T02:04:44Z</dcterms:created>
  <dcterms:modified xsi:type="dcterms:W3CDTF">2017-06-20T05:45:03Z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0x010100D89A01945CD6444CA9596BDB31FA19BA</vt:lpwstr>
  </property>
</Properties>
</file>